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5940" tabRatio="856" firstSheet="7" activeTab="13"/>
  </bookViews>
  <sheets>
    <sheet name="표지" sheetId="14" r:id="rId1"/>
    <sheet name="가.예산총칙" sheetId="15" r:id="rId2"/>
    <sheet name="나.세입세출(총괄)" sheetId="4" r:id="rId3"/>
    <sheet name="다.보조금세입내역" sheetId="19" r:id="rId4"/>
    <sheet name="다-1.자부담세입내역" sheetId="20" r:id="rId5"/>
    <sheet name="다-2.후원금세입내역 " sheetId="21" r:id="rId6"/>
    <sheet name="라.보조금세출내역" sheetId="6" r:id="rId7"/>
    <sheet name="라-1.자부담세출내역" sheetId="8" r:id="rId8"/>
    <sheet name="라-2.후원금세출내역" sheetId="22" r:id="rId9"/>
    <sheet name="마.개요" sheetId="1" r:id="rId10"/>
    <sheet name="바.증감사유" sheetId="27" r:id="rId11"/>
    <sheet name="예산증감내역" sheetId="24" state="hidden" r:id="rId12"/>
    <sheet name="인건비총계표(보조금)" sheetId="17" r:id="rId13"/>
    <sheet name="인건비총계표(자부담)" sheetId="26" r:id="rId14"/>
    <sheet name="인건비총계표(후원금)" sheetId="18" r:id="rId15"/>
    <sheet name="생활보장급여" sheetId="9" r:id="rId16"/>
    <sheet name="4종" sheetId="13" r:id="rId17"/>
    <sheet name="Sheet1" sheetId="25" r:id="rId18"/>
  </sheets>
  <definedNames>
    <definedName name="F" localSheetId="10">#REF!</definedName>
    <definedName name="F" localSheetId="13">#REF!</definedName>
    <definedName name="F">#REF!</definedName>
    <definedName name="_xlnm.Print_Area" localSheetId="16">'4종'!$A$1:$P$41</definedName>
    <definedName name="_xlnm.Print_Area" localSheetId="1">가.예산총칙!$A$1:$L$58</definedName>
    <definedName name="_xlnm.Print_Area" localSheetId="2">'나.세입세출(총괄)'!$A$1:$N$66</definedName>
    <definedName name="_xlnm.Print_Area" localSheetId="3">다.보조금세입내역!$A$1:$I$43</definedName>
    <definedName name="_xlnm.Print_Area" localSheetId="4">'다-1.자부담세입내역'!$A$1:$H$34</definedName>
    <definedName name="_xlnm.Print_Area" localSheetId="5">'다-2.후원금세입내역 '!$A$1:$H$37</definedName>
    <definedName name="_xlnm.Print_Area" localSheetId="6">라.보조금세출내역!$A$1:$R$124</definedName>
    <definedName name="_xlnm.Print_Area" localSheetId="7">'라-1.자부담세출내역'!$A$1:$Q$91</definedName>
    <definedName name="_xlnm.Print_Area" localSheetId="8">'라-2.후원금세출내역'!$A$1:$Q$95</definedName>
    <definedName name="_xlnm.Print_Area" localSheetId="11">예산증감내역!$A$1:$G$79</definedName>
    <definedName name="_xlnm.Print_Area" localSheetId="12">'인건비총계표(보조금)'!$A$1:$V$720</definedName>
    <definedName name="_xlnm.Print_Area" localSheetId="14">'인건비총계표(후원금)'!$A$1:$U$127</definedName>
    <definedName name="_xlnm.Print_Area" localSheetId="0">표지!$A$1:$A$24</definedName>
    <definedName name="_xlnm.Print_Titles" localSheetId="6">라.보조금세출내역!$3:$5</definedName>
    <definedName name="_xlnm.Print_Titles" localSheetId="7">'라-1.자부담세출내역'!$3:$5</definedName>
    <definedName name="_xlnm.Print_Titles" localSheetId="8">'라-2.후원금세출내역'!$3:$5</definedName>
    <definedName name="_xlnm.Print_Titles" localSheetId="15">생활보장급여!$4:$4</definedName>
    <definedName name="_xlnm.Print_Titles" localSheetId="12">'인건비총계표(보조금)'!$4:$4</definedName>
  </definedNames>
  <calcPr calcId="124519"/>
</workbook>
</file>

<file path=xl/calcChain.xml><?xml version="1.0" encoding="utf-8"?>
<calcChain xmlns="http://schemas.openxmlformats.org/spreadsheetml/2006/main">
  <c r="G27" i="8"/>
  <c r="G26"/>
  <c r="F40"/>
  <c r="F21"/>
  <c r="L8" i="26"/>
  <c r="S8" s="1"/>
  <c r="C31" i="1"/>
  <c r="M17" i="27"/>
  <c r="M40"/>
  <c r="M42"/>
  <c r="M44"/>
  <c r="M50"/>
  <c r="M55"/>
  <c r="M56"/>
  <c r="M57"/>
  <c r="M61"/>
  <c r="M62"/>
  <c r="M63"/>
  <c r="F21"/>
  <c r="F22"/>
  <c r="K66"/>
  <c r="K65" s="1"/>
  <c r="K64" s="1"/>
  <c r="L62"/>
  <c r="L61" s="1"/>
  <c r="L60"/>
  <c r="M60" s="1"/>
  <c r="K60"/>
  <c r="L59"/>
  <c r="K59"/>
  <c r="K58" s="1"/>
  <c r="L56"/>
  <c r="L54"/>
  <c r="M54" s="1"/>
  <c r="K53"/>
  <c r="K52"/>
  <c r="L51"/>
  <c r="M51" s="1"/>
  <c r="K51"/>
  <c r="L49"/>
  <c r="K49"/>
  <c r="K48"/>
  <c r="J48"/>
  <c r="K47"/>
  <c r="E47"/>
  <c r="F47" s="1"/>
  <c r="K46"/>
  <c r="D46"/>
  <c r="L45"/>
  <c r="K45"/>
  <c r="E45"/>
  <c r="F45" s="1"/>
  <c r="D44"/>
  <c r="D43" s="1"/>
  <c r="L43"/>
  <c r="K43"/>
  <c r="E42"/>
  <c r="F42" s="1"/>
  <c r="E41"/>
  <c r="D41"/>
  <c r="D40" s="1"/>
  <c r="D39" s="1"/>
  <c r="L39"/>
  <c r="M39" s="1"/>
  <c r="K39"/>
  <c r="L38"/>
  <c r="K38"/>
  <c r="E38"/>
  <c r="F38" s="1"/>
  <c r="L37"/>
  <c r="K37"/>
  <c r="J37"/>
  <c r="E37"/>
  <c r="F37" s="1"/>
  <c r="D37"/>
  <c r="K36"/>
  <c r="D36"/>
  <c r="K35"/>
  <c r="K34" s="1"/>
  <c r="E35"/>
  <c r="F35" s="1"/>
  <c r="E34"/>
  <c r="F34" s="1"/>
  <c r="E33"/>
  <c r="F33" s="1"/>
  <c r="L32"/>
  <c r="M32" s="1"/>
  <c r="K32"/>
  <c r="E32"/>
  <c r="D32"/>
  <c r="D31" s="1"/>
  <c r="D30" s="1"/>
  <c r="L31"/>
  <c r="M31" s="1"/>
  <c r="K31"/>
  <c r="L30"/>
  <c r="M30" s="1"/>
  <c r="K30"/>
  <c r="K29" s="1"/>
  <c r="K28" s="1"/>
  <c r="E29"/>
  <c r="F29" s="1"/>
  <c r="E28"/>
  <c r="F28" s="1"/>
  <c r="L27"/>
  <c r="K27"/>
  <c r="E27"/>
  <c r="F27" s="1"/>
  <c r="L26"/>
  <c r="K26"/>
  <c r="E26"/>
  <c r="F26" s="1"/>
  <c r="K25"/>
  <c r="E25"/>
  <c r="F25" s="1"/>
  <c r="L24"/>
  <c r="K24"/>
  <c r="E24"/>
  <c r="F24" s="1"/>
  <c r="L23"/>
  <c r="K23"/>
  <c r="L22"/>
  <c r="K22"/>
  <c r="L20"/>
  <c r="K20"/>
  <c r="D20"/>
  <c r="C20"/>
  <c r="L19"/>
  <c r="K19"/>
  <c r="C19"/>
  <c r="K18"/>
  <c r="C18"/>
  <c r="B17"/>
  <c r="L15"/>
  <c r="K15"/>
  <c r="E15"/>
  <c r="F15" s="1"/>
  <c r="K14"/>
  <c r="K13"/>
  <c r="K12"/>
  <c r="E12"/>
  <c r="F12" s="1"/>
  <c r="K11"/>
  <c r="K10"/>
  <c r="K9"/>
  <c r="E9"/>
  <c r="F9" s="1"/>
  <c r="L4"/>
  <c r="K4"/>
  <c r="C30" i="1"/>
  <c r="C29"/>
  <c r="C28"/>
  <c r="C27"/>
  <c r="C23"/>
  <c r="C22"/>
  <c r="C21"/>
  <c r="E10"/>
  <c r="B10"/>
  <c r="C9"/>
  <c r="B9"/>
  <c r="B8"/>
  <c r="B7"/>
  <c r="H16" i="15"/>
  <c r="H14"/>
  <c r="J48" i="4"/>
  <c r="C71" i="24" s="1"/>
  <c r="D41"/>
  <c r="D59"/>
  <c r="D61"/>
  <c r="D63"/>
  <c r="D64"/>
  <c r="D66"/>
  <c r="D68"/>
  <c r="D72"/>
  <c r="D73"/>
  <c r="D76"/>
  <c r="D78"/>
  <c r="D20"/>
  <c r="D21"/>
  <c r="D22"/>
  <c r="D24"/>
  <c r="D25"/>
  <c r="D27"/>
  <c r="D7"/>
  <c r="K35" i="4"/>
  <c r="D54" i="24" s="1"/>
  <c r="K60" i="4"/>
  <c r="K59" s="1"/>
  <c r="K58" s="1"/>
  <c r="D77" i="24" s="1"/>
  <c r="K43" i="4"/>
  <c r="D65" i="24" s="1"/>
  <c r="K45" i="4"/>
  <c r="K46"/>
  <c r="D69" i="24" s="1"/>
  <c r="K47" i="4"/>
  <c r="D70" i="24" s="1"/>
  <c r="K48" i="4"/>
  <c r="D71" i="24" s="1"/>
  <c r="K49" i="4"/>
  <c r="K51"/>
  <c r="D74" i="24" s="1"/>
  <c r="K36" i="4"/>
  <c r="D55" i="24" s="1"/>
  <c r="K37" i="4"/>
  <c r="D56" i="24" s="1"/>
  <c r="K38" i="4"/>
  <c r="D57" i="24" s="1"/>
  <c r="K39" i="4"/>
  <c r="D58" i="24" s="1"/>
  <c r="K30" i="4"/>
  <c r="D51" i="24" s="1"/>
  <c r="K31" i="4"/>
  <c r="D52" i="24" s="1"/>
  <c r="K32" i="4"/>
  <c r="D53" i="24" s="1"/>
  <c r="K22" i="4"/>
  <c r="D45" i="24" s="1"/>
  <c r="K23" i="4"/>
  <c r="D46" i="24" s="1"/>
  <c r="K24" i="4"/>
  <c r="D47" i="24" s="1"/>
  <c r="K25" i="4"/>
  <c r="D48" i="24" s="1"/>
  <c r="K26" i="4"/>
  <c r="D49" i="24" s="1"/>
  <c r="K27" i="4"/>
  <c r="D50" i="24" s="1"/>
  <c r="K18" i="4"/>
  <c r="D42" i="24" s="1"/>
  <c r="K19" i="4"/>
  <c r="D43" i="24" s="1"/>
  <c r="K20" i="4"/>
  <c r="D44" i="24" s="1"/>
  <c r="K15" i="4"/>
  <c r="D40" i="24" s="1"/>
  <c r="K9" i="4"/>
  <c r="D34" i="24" s="1"/>
  <c r="K10" i="4"/>
  <c r="D35" i="24" s="1"/>
  <c r="K11" i="4"/>
  <c r="D36" i="24" s="1"/>
  <c r="K12" i="4"/>
  <c r="D37" i="24" s="1"/>
  <c r="K13" i="4"/>
  <c r="D38" i="24" s="1"/>
  <c r="K14" i="4"/>
  <c r="D39" i="24" s="1"/>
  <c r="K66" i="4"/>
  <c r="K65"/>
  <c r="K64" s="1"/>
  <c r="D79" i="24" s="1"/>
  <c r="K53" i="4"/>
  <c r="K52" s="1"/>
  <c r="D75" i="24" s="1"/>
  <c r="D32" i="4"/>
  <c r="D31" s="1"/>
  <c r="D30" s="1"/>
  <c r="D37"/>
  <c r="D36"/>
  <c r="D41"/>
  <c r="D40" s="1"/>
  <c r="D39" s="1"/>
  <c r="G53" i="22"/>
  <c r="E6"/>
  <c r="E33" i="8"/>
  <c r="E38"/>
  <c r="E46"/>
  <c r="E50"/>
  <c r="E6"/>
  <c r="D46" i="4"/>
  <c r="D26" i="24" s="1"/>
  <c r="D20" i="4"/>
  <c r="D12" i="24" s="1"/>
  <c r="C20" i="4"/>
  <c r="C19"/>
  <c r="C18"/>
  <c r="B6" i="1" s="1"/>
  <c r="B17" i="4"/>
  <c r="E24" i="19"/>
  <c r="E23"/>
  <c r="E22"/>
  <c r="E21"/>
  <c r="E20"/>
  <c r="E18"/>
  <c r="E17"/>
  <c r="E16"/>
  <c r="D25"/>
  <c r="D24"/>
  <c r="D23"/>
  <c r="D22"/>
  <c r="D21"/>
  <c r="F17"/>
  <c r="F21"/>
  <c r="H21" s="1"/>
  <c r="F29"/>
  <c r="F28" s="1"/>
  <c r="E20" i="27" s="1"/>
  <c r="F20" s="1"/>
  <c r="Q7" i="6"/>
  <c r="D16" i="19"/>
  <c r="D20" s="1"/>
  <c r="G10" i="9"/>
  <c r="H10" s="1"/>
  <c r="W9" i="26"/>
  <c r="X9"/>
  <c r="Y9"/>
  <c r="Z9"/>
  <c r="W10"/>
  <c r="X10"/>
  <c r="Y10"/>
  <c r="Z10"/>
  <c r="W11"/>
  <c r="X11"/>
  <c r="Y11"/>
  <c r="Z11"/>
  <c r="W7"/>
  <c r="M5"/>
  <c r="N5"/>
  <c r="O5"/>
  <c r="P5"/>
  <c r="Q5"/>
  <c r="R5"/>
  <c r="M6"/>
  <c r="N6"/>
  <c r="O6"/>
  <c r="P6"/>
  <c r="Q6"/>
  <c r="R6"/>
  <c r="U7"/>
  <c r="Z7"/>
  <c r="Y7"/>
  <c r="X7"/>
  <c r="L11"/>
  <c r="S11" s="1"/>
  <c r="U11" s="1"/>
  <c r="L11" i="18"/>
  <c r="L10" i="26"/>
  <c r="L9"/>
  <c r="L7"/>
  <c r="T114"/>
  <c r="Z114" s="1"/>
  <c r="T113"/>
  <c r="Z113" s="1"/>
  <c r="T112"/>
  <c r="Z112" s="1"/>
  <c r="T111"/>
  <c r="Z111" s="1"/>
  <c r="T110"/>
  <c r="Z110" s="1"/>
  <c r="T109"/>
  <c r="Z109" s="1"/>
  <c r="T108"/>
  <c r="Z108" s="1"/>
  <c r="Z102" s="1"/>
  <c r="T102"/>
  <c r="S102"/>
  <c r="R102"/>
  <c r="Q102"/>
  <c r="O102"/>
  <c r="N102"/>
  <c r="M102"/>
  <c r="L102"/>
  <c r="K102"/>
  <c r="J102"/>
  <c r="I102"/>
  <c r="H102"/>
  <c r="G102"/>
  <c r="F102"/>
  <c r="T101"/>
  <c r="Z101" s="1"/>
  <c r="T100"/>
  <c r="Z100" s="1"/>
  <c r="T99"/>
  <c r="Z99" s="1"/>
  <c r="T98"/>
  <c r="Z98" s="1"/>
  <c r="T97"/>
  <c r="Z97" s="1"/>
  <c r="T96"/>
  <c r="Z96" s="1"/>
  <c r="T95"/>
  <c r="Z95" s="1"/>
  <c r="T94"/>
  <c r="Z94" s="1"/>
  <c r="T93"/>
  <c r="T92"/>
  <c r="S89"/>
  <c r="R89"/>
  <c r="Q89"/>
  <c r="O89"/>
  <c r="N89"/>
  <c r="M89"/>
  <c r="L89"/>
  <c r="K89"/>
  <c r="J89"/>
  <c r="I89"/>
  <c r="H89"/>
  <c r="G89"/>
  <c r="F89"/>
  <c r="AA62"/>
  <c r="Z62"/>
  <c r="X62"/>
  <c r="Y62" s="1"/>
  <c r="W62"/>
  <c r="V62"/>
  <c r="AA61"/>
  <c r="Z61"/>
  <c r="Y61"/>
  <c r="X61"/>
  <c r="W61"/>
  <c r="V61"/>
  <c r="AA60"/>
  <c r="Z60"/>
  <c r="Y60"/>
  <c r="X60"/>
  <c r="W60"/>
  <c r="V60"/>
  <c r="AA59"/>
  <c r="Z59"/>
  <c r="Y59"/>
  <c r="X59"/>
  <c r="W59"/>
  <c r="V59"/>
  <c r="AA58"/>
  <c r="Z58"/>
  <c r="X58"/>
  <c r="Y58" s="1"/>
  <c r="W58"/>
  <c r="V58"/>
  <c r="AA57"/>
  <c r="Z57"/>
  <c r="X57"/>
  <c r="Y57" s="1"/>
  <c r="W57"/>
  <c r="V57"/>
  <c r="AA56"/>
  <c r="Z56"/>
  <c r="Y56"/>
  <c r="X56"/>
  <c r="W56"/>
  <c r="V56"/>
  <c r="AB56" s="1"/>
  <c r="AA55"/>
  <c r="Z55"/>
  <c r="X55"/>
  <c r="Y55" s="1"/>
  <c r="W55"/>
  <c r="V55"/>
  <c r="AA54"/>
  <c r="Z54"/>
  <c r="X54"/>
  <c r="Y54" s="1"/>
  <c r="W54"/>
  <c r="V54"/>
  <c r="AA53"/>
  <c r="Z53"/>
  <c r="Y53"/>
  <c r="X53"/>
  <c r="W53"/>
  <c r="V53"/>
  <c r="AA52"/>
  <c r="Z52"/>
  <c r="Y52"/>
  <c r="X52"/>
  <c r="X50" s="1"/>
  <c r="W52"/>
  <c r="V52"/>
  <c r="AA51"/>
  <c r="Z51"/>
  <c r="Y51"/>
  <c r="X51"/>
  <c r="W51"/>
  <c r="V51"/>
  <c r="T50"/>
  <c r="S50"/>
  <c r="R50"/>
  <c r="Q50"/>
  <c r="O50"/>
  <c r="N50"/>
  <c r="M50"/>
  <c r="L50"/>
  <c r="K50"/>
  <c r="J50"/>
  <c r="I50"/>
  <c r="H50"/>
  <c r="G50"/>
  <c r="F50"/>
  <c r="R34"/>
  <c r="R35" s="1"/>
  <c r="V33"/>
  <c r="S33"/>
  <c r="Y33" s="1"/>
  <c r="Q32"/>
  <c r="P32"/>
  <c r="O32"/>
  <c r="N32"/>
  <c r="M32"/>
  <c r="L32"/>
  <c r="K32"/>
  <c r="J32"/>
  <c r="I32"/>
  <c r="H32"/>
  <c r="G32"/>
  <c r="F32"/>
  <c r="R21"/>
  <c r="R22" s="1"/>
  <c r="W20"/>
  <c r="X20" s="1"/>
  <c r="V20"/>
  <c r="S20"/>
  <c r="Y20" s="1"/>
  <c r="Q19"/>
  <c r="P19"/>
  <c r="O19"/>
  <c r="N19"/>
  <c r="M19"/>
  <c r="L19"/>
  <c r="K19"/>
  <c r="J19"/>
  <c r="I19"/>
  <c r="H19"/>
  <c r="G19"/>
  <c r="F19"/>
  <c r="I18"/>
  <c r="I17"/>
  <c r="I16"/>
  <c r="I15"/>
  <c r="I14"/>
  <c r="L13"/>
  <c r="L14" s="1"/>
  <c r="R12"/>
  <c r="R13" s="1"/>
  <c r="O12"/>
  <c r="N12"/>
  <c r="N13" s="1"/>
  <c r="K12"/>
  <c r="K13" s="1"/>
  <c r="I12"/>
  <c r="I6" s="1"/>
  <c r="I5" s="1"/>
  <c r="G12"/>
  <c r="F12"/>
  <c r="P12" s="1"/>
  <c r="S10"/>
  <c r="U10" s="1"/>
  <c r="S9"/>
  <c r="U9" s="1"/>
  <c r="AA9" s="1"/>
  <c r="S7"/>
  <c r="V708" i="17"/>
  <c r="V707" s="1"/>
  <c r="G708"/>
  <c r="G707" s="1"/>
  <c r="H708"/>
  <c r="H707" s="1"/>
  <c r="I708"/>
  <c r="I707" s="1"/>
  <c r="J708"/>
  <c r="J707" s="1"/>
  <c r="K708"/>
  <c r="K707" s="1"/>
  <c r="L708"/>
  <c r="L707" s="1"/>
  <c r="N708"/>
  <c r="N707" s="1"/>
  <c r="P708"/>
  <c r="P707" s="1"/>
  <c r="U661"/>
  <c r="W661" s="1"/>
  <c r="D103" i="6"/>
  <c r="G104"/>
  <c r="G105"/>
  <c r="G106"/>
  <c r="S720" i="17"/>
  <c r="R720"/>
  <c r="S710"/>
  <c r="R710"/>
  <c r="U710" s="1"/>
  <c r="T712"/>
  <c r="T713" s="1"/>
  <c r="T714" s="1"/>
  <c r="T715" s="1"/>
  <c r="T716" s="1"/>
  <c r="T717" s="1"/>
  <c r="T718" s="1"/>
  <c r="T719" s="1"/>
  <c r="Q711"/>
  <c r="S711" s="1"/>
  <c r="F711"/>
  <c r="Q712" s="1"/>
  <c r="R712" s="1"/>
  <c r="R621"/>
  <c r="O625"/>
  <c r="O626" s="1"/>
  <c r="O627" s="1"/>
  <c r="O628" s="1"/>
  <c r="O629" s="1"/>
  <c r="Q620"/>
  <c r="R620" s="1"/>
  <c r="U620" s="1"/>
  <c r="S619"/>
  <c r="R619"/>
  <c r="M619"/>
  <c r="U619" s="1"/>
  <c r="U618"/>
  <c r="W618" s="1"/>
  <c r="N617"/>
  <c r="L617"/>
  <c r="K617"/>
  <c r="J617"/>
  <c r="I617"/>
  <c r="H617"/>
  <c r="G617"/>
  <c r="F632"/>
  <c r="F633" s="1"/>
  <c r="U631"/>
  <c r="Y631" s="1"/>
  <c r="T630"/>
  <c r="S630"/>
  <c r="R630"/>
  <c r="O630"/>
  <c r="N630"/>
  <c r="M630"/>
  <c r="L630"/>
  <c r="K630"/>
  <c r="J630"/>
  <c r="I630"/>
  <c r="H630"/>
  <c r="G630"/>
  <c r="T531"/>
  <c r="T532" s="1"/>
  <c r="Q530"/>
  <c r="R530" s="1"/>
  <c r="F530"/>
  <c r="Q531" s="1"/>
  <c r="R531" s="1"/>
  <c r="R529"/>
  <c r="O529"/>
  <c r="T505"/>
  <c r="Q504"/>
  <c r="R504" s="1"/>
  <c r="F504"/>
  <c r="Q505" s="1"/>
  <c r="R505" s="1"/>
  <c r="Q502"/>
  <c r="R502" s="1"/>
  <c r="F502"/>
  <c r="M502" s="1"/>
  <c r="U501"/>
  <c r="AB501" s="1"/>
  <c r="S500"/>
  <c r="O500"/>
  <c r="N500"/>
  <c r="L500"/>
  <c r="K500"/>
  <c r="J500"/>
  <c r="I500"/>
  <c r="H500"/>
  <c r="G500"/>
  <c r="F497"/>
  <c r="F498" s="1"/>
  <c r="M496"/>
  <c r="T492"/>
  <c r="T493" s="1"/>
  <c r="T494" s="1"/>
  <c r="T495" s="1"/>
  <c r="T496" s="1"/>
  <c r="Q489"/>
  <c r="R489" s="1"/>
  <c r="O489"/>
  <c r="O490" s="1"/>
  <c r="F489"/>
  <c r="Q490" s="1"/>
  <c r="R490" s="1"/>
  <c r="U488"/>
  <c r="AB488" s="1"/>
  <c r="S487"/>
  <c r="N487"/>
  <c r="L487"/>
  <c r="K487"/>
  <c r="J487"/>
  <c r="I487"/>
  <c r="H487"/>
  <c r="G487"/>
  <c r="F482"/>
  <c r="F483" s="1"/>
  <c r="T479"/>
  <c r="T480" s="1"/>
  <c r="Q476"/>
  <c r="R476" s="1"/>
  <c r="O476"/>
  <c r="O477" s="1"/>
  <c r="F476"/>
  <c r="Q477" s="1"/>
  <c r="R477" s="1"/>
  <c r="U475"/>
  <c r="X475" s="1"/>
  <c r="S474"/>
  <c r="N474"/>
  <c r="L474"/>
  <c r="K474"/>
  <c r="J474"/>
  <c r="I474"/>
  <c r="H474"/>
  <c r="G474"/>
  <c r="T466"/>
  <c r="T467" s="1"/>
  <c r="Q466"/>
  <c r="R466" s="1"/>
  <c r="F466"/>
  <c r="Q463"/>
  <c r="R463" s="1"/>
  <c r="O463"/>
  <c r="O464" s="1"/>
  <c r="F463"/>
  <c r="F464" s="1"/>
  <c r="U462"/>
  <c r="Y462" s="1"/>
  <c r="Z462" s="1"/>
  <c r="S461"/>
  <c r="N461"/>
  <c r="L461"/>
  <c r="K461"/>
  <c r="J461"/>
  <c r="I461"/>
  <c r="H461"/>
  <c r="G461"/>
  <c r="T452"/>
  <c r="Q452"/>
  <c r="R452" s="1"/>
  <c r="F452"/>
  <c r="Q450"/>
  <c r="R450" s="1"/>
  <c r="O450"/>
  <c r="O451" s="1"/>
  <c r="F450"/>
  <c r="Q451" s="1"/>
  <c r="R451" s="1"/>
  <c r="U449"/>
  <c r="AB449" s="1"/>
  <c r="S448"/>
  <c r="N448"/>
  <c r="L448"/>
  <c r="K448"/>
  <c r="J448"/>
  <c r="I448"/>
  <c r="H448"/>
  <c r="G448"/>
  <c r="T443"/>
  <c r="T444" s="1"/>
  <c r="T442"/>
  <c r="Q442"/>
  <c r="R442" s="1"/>
  <c r="F442"/>
  <c r="F443" s="1"/>
  <c r="Q437"/>
  <c r="R437" s="1"/>
  <c r="F437"/>
  <c r="M437" s="1"/>
  <c r="U436"/>
  <c r="W436" s="1"/>
  <c r="S435"/>
  <c r="O435"/>
  <c r="N435"/>
  <c r="L435"/>
  <c r="K435"/>
  <c r="J435"/>
  <c r="I435"/>
  <c r="H435"/>
  <c r="G435"/>
  <c r="T426"/>
  <c r="T427" s="1"/>
  <c r="T428" s="1"/>
  <c r="Q426"/>
  <c r="R426" s="1"/>
  <c r="F426"/>
  <c r="F427" s="1"/>
  <c r="Q424"/>
  <c r="R424" s="1"/>
  <c r="O424"/>
  <c r="O425" s="1"/>
  <c r="F424"/>
  <c r="Q425" s="1"/>
  <c r="R425" s="1"/>
  <c r="U423"/>
  <c r="AB423" s="1"/>
  <c r="S422"/>
  <c r="N422"/>
  <c r="L422"/>
  <c r="K422"/>
  <c r="J422"/>
  <c r="I422"/>
  <c r="H422"/>
  <c r="G422"/>
  <c r="F417"/>
  <c r="F418" s="1"/>
  <c r="F419" s="1"/>
  <c r="T411"/>
  <c r="Q411"/>
  <c r="R411" s="1"/>
  <c r="O411"/>
  <c r="F411"/>
  <c r="F412" s="1"/>
  <c r="F413" s="1"/>
  <c r="U410"/>
  <c r="AB410" s="1"/>
  <c r="S409"/>
  <c r="N409"/>
  <c r="L409"/>
  <c r="K409"/>
  <c r="J409"/>
  <c r="I409"/>
  <c r="H409"/>
  <c r="G409"/>
  <c r="T401"/>
  <c r="Q399"/>
  <c r="R399" s="1"/>
  <c r="F399"/>
  <c r="Q400" s="1"/>
  <c r="R400" s="1"/>
  <c r="Q398"/>
  <c r="R398" s="1"/>
  <c r="M398"/>
  <c r="U397"/>
  <c r="AB397" s="1"/>
  <c r="S396"/>
  <c r="O396"/>
  <c r="N396"/>
  <c r="L396"/>
  <c r="K396"/>
  <c r="J396"/>
  <c r="I396"/>
  <c r="H396"/>
  <c r="G396"/>
  <c r="T388"/>
  <c r="Q388"/>
  <c r="R388" s="1"/>
  <c r="F388"/>
  <c r="F389" s="1"/>
  <c r="Q385"/>
  <c r="R385" s="1"/>
  <c r="F385"/>
  <c r="F386" s="1"/>
  <c r="U384"/>
  <c r="Y384" s="1"/>
  <c r="Z384" s="1"/>
  <c r="S383"/>
  <c r="O383"/>
  <c r="N383"/>
  <c r="L383"/>
  <c r="K383"/>
  <c r="J383"/>
  <c r="I383"/>
  <c r="H383"/>
  <c r="G383"/>
  <c r="T375"/>
  <c r="T376" s="1"/>
  <c r="T377" s="1"/>
  <c r="T378" s="1"/>
  <c r="T379" s="1"/>
  <c r="T380" s="1"/>
  <c r="T381" s="1"/>
  <c r="T382" s="1"/>
  <c r="Q375"/>
  <c r="R375" s="1"/>
  <c r="F375"/>
  <c r="Q372"/>
  <c r="R372" s="1"/>
  <c r="F372"/>
  <c r="Q373" s="1"/>
  <c r="R373" s="1"/>
  <c r="U371"/>
  <c r="Y371" s="1"/>
  <c r="Z371" s="1"/>
  <c r="S370"/>
  <c r="O370"/>
  <c r="N370"/>
  <c r="L370"/>
  <c r="K370"/>
  <c r="J370"/>
  <c r="I370"/>
  <c r="H370"/>
  <c r="G370"/>
  <c r="T362"/>
  <c r="T363" s="1"/>
  <c r="T364" s="1"/>
  <c r="Q362"/>
  <c r="R362" s="1"/>
  <c r="F362"/>
  <c r="Q359"/>
  <c r="R359" s="1"/>
  <c r="F359"/>
  <c r="Q360" s="1"/>
  <c r="U358"/>
  <c r="X358" s="1"/>
  <c r="O357"/>
  <c r="N357"/>
  <c r="L357"/>
  <c r="K357"/>
  <c r="J357"/>
  <c r="I357"/>
  <c r="H357"/>
  <c r="G357"/>
  <c r="T350"/>
  <c r="T351" s="1"/>
  <c r="T352" s="1"/>
  <c r="T353" s="1"/>
  <c r="T354" s="1"/>
  <c r="T355" s="1"/>
  <c r="T356" s="1"/>
  <c r="Q350"/>
  <c r="R350" s="1"/>
  <c r="F350"/>
  <c r="T346"/>
  <c r="T347" s="1"/>
  <c r="T348" s="1"/>
  <c r="Q346"/>
  <c r="R346" s="1"/>
  <c r="O346"/>
  <c r="O347" s="1"/>
  <c r="F346"/>
  <c r="Q347" s="1"/>
  <c r="R347" s="1"/>
  <c r="U345"/>
  <c r="Y345" s="1"/>
  <c r="S344"/>
  <c r="N344"/>
  <c r="L344"/>
  <c r="K344"/>
  <c r="J344"/>
  <c r="I344"/>
  <c r="H344"/>
  <c r="G344"/>
  <c r="T333"/>
  <c r="T334" s="1"/>
  <c r="T335" s="1"/>
  <c r="T336" s="1"/>
  <c r="T337" s="1"/>
  <c r="T338" s="1"/>
  <c r="T339" s="1"/>
  <c r="T340" s="1"/>
  <c r="T341" s="1"/>
  <c r="T342" s="1"/>
  <c r="T343" s="1"/>
  <c r="Q333"/>
  <c r="R333" s="1"/>
  <c r="F333"/>
  <c r="U332"/>
  <c r="Y332" s="1"/>
  <c r="S331"/>
  <c r="O331"/>
  <c r="N331"/>
  <c r="L331"/>
  <c r="K331"/>
  <c r="J331"/>
  <c r="I331"/>
  <c r="H331"/>
  <c r="G331"/>
  <c r="T321"/>
  <c r="T322" s="1"/>
  <c r="T323" s="1"/>
  <c r="Q321"/>
  <c r="R321" s="1"/>
  <c r="F321"/>
  <c r="Q320"/>
  <c r="R320" s="1"/>
  <c r="M320"/>
  <c r="U319"/>
  <c r="AA319" s="1"/>
  <c r="S318"/>
  <c r="O318"/>
  <c r="N318"/>
  <c r="L318"/>
  <c r="K318"/>
  <c r="J318"/>
  <c r="I318"/>
  <c r="H318"/>
  <c r="G318"/>
  <c r="T315"/>
  <c r="T316" s="1"/>
  <c r="T317" s="1"/>
  <c r="Q315"/>
  <c r="R315" s="1"/>
  <c r="F315"/>
  <c r="F316" s="1"/>
  <c r="M314"/>
  <c r="T307"/>
  <c r="T308" s="1"/>
  <c r="Q307"/>
  <c r="R307" s="1"/>
  <c r="O307"/>
  <c r="O308" s="1"/>
  <c r="O309" s="1"/>
  <c r="O310" s="1"/>
  <c r="O311" s="1"/>
  <c r="O312" s="1"/>
  <c r="O313" s="1"/>
  <c r="O314" s="1"/>
  <c r="O315" s="1"/>
  <c r="F307"/>
  <c r="F308" s="1"/>
  <c r="F309" s="1"/>
  <c r="U306"/>
  <c r="X306" s="1"/>
  <c r="S305"/>
  <c r="N305"/>
  <c r="L305"/>
  <c r="K305"/>
  <c r="J305"/>
  <c r="I305"/>
  <c r="H305"/>
  <c r="G305"/>
  <c r="F304"/>
  <c r="T295"/>
  <c r="T296" s="1"/>
  <c r="Q294"/>
  <c r="R294" s="1"/>
  <c r="O294"/>
  <c r="O295" s="1"/>
  <c r="F294"/>
  <c r="Q295" s="1"/>
  <c r="U293"/>
  <c r="AA293" s="1"/>
  <c r="N292"/>
  <c r="L292"/>
  <c r="K292"/>
  <c r="J292"/>
  <c r="I292"/>
  <c r="H292"/>
  <c r="G292"/>
  <c r="T287"/>
  <c r="T288" s="1"/>
  <c r="T289" s="1"/>
  <c r="T290" s="1"/>
  <c r="T291" s="1"/>
  <c r="Q287"/>
  <c r="R287" s="1"/>
  <c r="F287"/>
  <c r="F288" s="1"/>
  <c r="F289" s="1"/>
  <c r="T281"/>
  <c r="Q281"/>
  <c r="R281" s="1"/>
  <c r="F281"/>
  <c r="F282" s="1"/>
  <c r="U280"/>
  <c r="AA280" s="1"/>
  <c r="S279"/>
  <c r="O279"/>
  <c r="N279"/>
  <c r="L279"/>
  <c r="K279"/>
  <c r="J279"/>
  <c r="I279"/>
  <c r="H279"/>
  <c r="G279"/>
  <c r="O274"/>
  <c r="O275" s="1"/>
  <c r="O276" s="1"/>
  <c r="O277" s="1"/>
  <c r="O278" s="1"/>
  <c r="T268"/>
  <c r="T269" s="1"/>
  <c r="T270" s="1"/>
  <c r="T271" s="1"/>
  <c r="T272" s="1"/>
  <c r="T273" s="1"/>
  <c r="T274" s="1"/>
  <c r="T275" s="1"/>
  <c r="T276" s="1"/>
  <c r="T277" s="1"/>
  <c r="T278" s="1"/>
  <c r="Q268"/>
  <c r="S268" s="1"/>
  <c r="O268"/>
  <c r="O269" s="1"/>
  <c r="F268"/>
  <c r="Q269" s="1"/>
  <c r="U267"/>
  <c r="Y267" s="1"/>
  <c r="N266"/>
  <c r="L266"/>
  <c r="K266"/>
  <c r="J266"/>
  <c r="I266"/>
  <c r="H266"/>
  <c r="G266"/>
  <c r="T259"/>
  <c r="T260" s="1"/>
  <c r="T261" s="1"/>
  <c r="T262" s="1"/>
  <c r="T263" s="1"/>
  <c r="T264" s="1"/>
  <c r="T265" s="1"/>
  <c r="Q259"/>
  <c r="S259" s="1"/>
  <c r="F259"/>
  <c r="T255"/>
  <c r="T256" s="1"/>
  <c r="Q255"/>
  <c r="R255" s="1"/>
  <c r="F255"/>
  <c r="F256" s="1"/>
  <c r="U254"/>
  <c r="W254" s="1"/>
  <c r="O253"/>
  <c r="N253"/>
  <c r="L253"/>
  <c r="K253"/>
  <c r="J253"/>
  <c r="I253"/>
  <c r="H253"/>
  <c r="G253"/>
  <c r="F247"/>
  <c r="T242"/>
  <c r="Q242"/>
  <c r="R242" s="1"/>
  <c r="O242"/>
  <c r="F242"/>
  <c r="F243" s="1"/>
  <c r="F244" s="1"/>
  <c r="U241"/>
  <c r="AB241" s="1"/>
  <c r="S240"/>
  <c r="N240"/>
  <c r="L240"/>
  <c r="K240"/>
  <c r="J240"/>
  <c r="I240"/>
  <c r="H240"/>
  <c r="G240"/>
  <c r="O232"/>
  <c r="O233" s="1"/>
  <c r="O234" s="1"/>
  <c r="T230"/>
  <c r="T231" s="1"/>
  <c r="T232" s="1"/>
  <c r="T233" s="1"/>
  <c r="T234" s="1"/>
  <c r="T235" s="1"/>
  <c r="T236" s="1"/>
  <c r="T237" s="1"/>
  <c r="T238" s="1"/>
  <c r="T239" s="1"/>
  <c r="Q230"/>
  <c r="F230"/>
  <c r="Q229"/>
  <c r="O229"/>
  <c r="O230" s="1"/>
  <c r="M229"/>
  <c r="U228"/>
  <c r="Y228" s="1"/>
  <c r="Z228" s="1"/>
  <c r="S227"/>
  <c r="R227"/>
  <c r="N227"/>
  <c r="L227"/>
  <c r="K227"/>
  <c r="J227"/>
  <c r="I227"/>
  <c r="H227"/>
  <c r="G227"/>
  <c r="F217"/>
  <c r="F218" s="1"/>
  <c r="T216"/>
  <c r="Q217" s="1"/>
  <c r="R217" s="1"/>
  <c r="Q216"/>
  <c r="R216" s="1"/>
  <c r="O216"/>
  <c r="M216"/>
  <c r="U215"/>
  <c r="Y215" s="1"/>
  <c r="S214"/>
  <c r="N214"/>
  <c r="L214"/>
  <c r="K214"/>
  <c r="J214"/>
  <c r="I214"/>
  <c r="H214"/>
  <c r="G214"/>
  <c r="T209"/>
  <c r="T210" s="1"/>
  <c r="T211" s="1"/>
  <c r="T212" s="1"/>
  <c r="T213" s="1"/>
  <c r="Q209"/>
  <c r="R209" s="1"/>
  <c r="F209"/>
  <c r="F210" s="1"/>
  <c r="T203"/>
  <c r="Q203"/>
  <c r="R203" s="1"/>
  <c r="O203"/>
  <c r="F203"/>
  <c r="F204" s="1"/>
  <c r="F205" s="1"/>
  <c r="U202"/>
  <c r="AB202" s="1"/>
  <c r="S201"/>
  <c r="N201"/>
  <c r="L201"/>
  <c r="K201"/>
  <c r="J201"/>
  <c r="I201"/>
  <c r="H201"/>
  <c r="G201"/>
  <c r="F200"/>
  <c r="F199"/>
  <c r="F198"/>
  <c r="F197"/>
  <c r="M197" s="1"/>
  <c r="F196"/>
  <c r="F195"/>
  <c r="F194"/>
  <c r="T193"/>
  <c r="T194" s="1"/>
  <c r="T195" s="1"/>
  <c r="T196" s="1"/>
  <c r="T197" s="1"/>
  <c r="Q193"/>
  <c r="R193" s="1"/>
  <c r="F193"/>
  <c r="F191"/>
  <c r="T190"/>
  <c r="T191" s="1"/>
  <c r="Q190"/>
  <c r="R190" s="1"/>
  <c r="O190"/>
  <c r="O191" s="1"/>
  <c r="F190"/>
  <c r="U189"/>
  <c r="Y189" s="1"/>
  <c r="S188"/>
  <c r="N188"/>
  <c r="L188"/>
  <c r="K188"/>
  <c r="J188"/>
  <c r="I188"/>
  <c r="H188"/>
  <c r="G188"/>
  <c r="T184"/>
  <c r="T185" s="1"/>
  <c r="T186" s="1"/>
  <c r="T187" s="1"/>
  <c r="Q184"/>
  <c r="S184" s="1"/>
  <c r="F184"/>
  <c r="O183"/>
  <c r="O184" s="1"/>
  <c r="O185" s="1"/>
  <c r="O186" s="1"/>
  <c r="O187" s="1"/>
  <c r="F182"/>
  <c r="F181"/>
  <c r="F180"/>
  <c r="F179"/>
  <c r="F178"/>
  <c r="T177"/>
  <c r="Q177"/>
  <c r="S177" s="1"/>
  <c r="O177"/>
  <c r="O178" s="1"/>
  <c r="F177"/>
  <c r="M177" s="1"/>
  <c r="U176"/>
  <c r="Y176" s="1"/>
  <c r="N175"/>
  <c r="L175"/>
  <c r="K175"/>
  <c r="J175"/>
  <c r="I175"/>
  <c r="H175"/>
  <c r="G175"/>
  <c r="F174"/>
  <c r="Q173"/>
  <c r="R173" s="1"/>
  <c r="F173"/>
  <c r="Q174" s="1"/>
  <c r="F171"/>
  <c r="Q172" s="1"/>
  <c r="F170"/>
  <c r="Q171" s="1"/>
  <c r="R171" s="1"/>
  <c r="O169"/>
  <c r="O170" s="1"/>
  <c r="F169"/>
  <c r="Q170" s="1"/>
  <c r="F168"/>
  <c r="F167"/>
  <c r="Q168" s="1"/>
  <c r="F166"/>
  <c r="Q167" s="1"/>
  <c r="F165"/>
  <c r="Q166" s="1"/>
  <c r="Q164"/>
  <c r="R164" s="1"/>
  <c r="O164"/>
  <c r="O165" s="1"/>
  <c r="F164"/>
  <c r="Q165" s="1"/>
  <c r="S165" s="1"/>
  <c r="U163"/>
  <c r="X163" s="1"/>
  <c r="T162"/>
  <c r="N162"/>
  <c r="L162"/>
  <c r="K162"/>
  <c r="J162"/>
  <c r="I162"/>
  <c r="H162"/>
  <c r="G162"/>
  <c r="T144"/>
  <c r="T145" s="1"/>
  <c r="T146" s="1"/>
  <c r="T147" s="1"/>
  <c r="T148" s="1"/>
  <c r="F142"/>
  <c r="F143" s="1"/>
  <c r="F140"/>
  <c r="F139"/>
  <c r="T138"/>
  <c r="T139" s="1"/>
  <c r="Q138"/>
  <c r="R138" s="1"/>
  <c r="O138"/>
  <c r="O139" s="1"/>
  <c r="O140" s="1"/>
  <c r="O141" s="1"/>
  <c r="F138"/>
  <c r="M138" s="1"/>
  <c r="U137"/>
  <c r="Y137" s="1"/>
  <c r="S136"/>
  <c r="N136"/>
  <c r="L136"/>
  <c r="K136"/>
  <c r="J136"/>
  <c r="I136"/>
  <c r="H136"/>
  <c r="G136"/>
  <c r="S606"/>
  <c r="F25"/>
  <c r="E125" i="6"/>
  <c r="E44" i="19"/>
  <c r="L15" i="4"/>
  <c r="L19"/>
  <c r="L20"/>
  <c r="L22"/>
  <c r="L24"/>
  <c r="L26"/>
  <c r="L27"/>
  <c r="L30"/>
  <c r="L31"/>
  <c r="E52" i="24" s="1"/>
  <c r="L32" i="4"/>
  <c r="L38"/>
  <c r="L39"/>
  <c r="L43"/>
  <c r="L45"/>
  <c r="L54"/>
  <c r="L53" s="1"/>
  <c r="L52" s="1"/>
  <c r="E75" i="24" s="1"/>
  <c r="L56" i="4"/>
  <c r="L62"/>
  <c r="L61" s="1"/>
  <c r="E78" i="24" s="1"/>
  <c r="F78" s="1"/>
  <c r="E76"/>
  <c r="F76" s="1"/>
  <c r="AA661" i="17"/>
  <c r="U20"/>
  <c r="AA20" s="1"/>
  <c r="U33"/>
  <c r="W33" s="1"/>
  <c r="U46"/>
  <c r="Y46" s="1"/>
  <c r="U59"/>
  <c r="U72"/>
  <c r="Y72" s="1"/>
  <c r="U85"/>
  <c r="U98"/>
  <c r="U111"/>
  <c r="U124"/>
  <c r="U150"/>
  <c r="U514"/>
  <c r="U527"/>
  <c r="U540"/>
  <c r="X540" s="1"/>
  <c r="U553"/>
  <c r="AA553" s="1"/>
  <c r="U566"/>
  <c r="AA566" s="1"/>
  <c r="U579"/>
  <c r="W579" s="1"/>
  <c r="U592"/>
  <c r="X592" s="1"/>
  <c r="U605"/>
  <c r="Y605" s="1"/>
  <c r="U644"/>
  <c r="X644" s="1"/>
  <c r="U645"/>
  <c r="Y645" s="1"/>
  <c r="U646"/>
  <c r="W646" s="1"/>
  <c r="U647"/>
  <c r="Y647" s="1"/>
  <c r="Z647" s="1"/>
  <c r="U648"/>
  <c r="X648" s="1"/>
  <c r="U649"/>
  <c r="W649" s="1"/>
  <c r="U650"/>
  <c r="Y650" s="1"/>
  <c r="Z650" s="1"/>
  <c r="U651"/>
  <c r="X651" s="1"/>
  <c r="U652"/>
  <c r="AA652" s="1"/>
  <c r="U653"/>
  <c r="Y653" s="1"/>
  <c r="U654"/>
  <c r="W654" s="1"/>
  <c r="U655"/>
  <c r="Y655" s="1"/>
  <c r="Z655" s="1"/>
  <c r="U7"/>
  <c r="W7" s="1"/>
  <c r="R608"/>
  <c r="Q607"/>
  <c r="R607" s="1"/>
  <c r="U607" s="1"/>
  <c r="W607" s="1"/>
  <c r="R606"/>
  <c r="M606"/>
  <c r="N604"/>
  <c r="L604"/>
  <c r="K604"/>
  <c r="J604"/>
  <c r="I604"/>
  <c r="H604"/>
  <c r="G604"/>
  <c r="U678"/>
  <c r="AA678" s="1"/>
  <c r="T545"/>
  <c r="T546" s="1"/>
  <c r="R543"/>
  <c r="R544"/>
  <c r="R542"/>
  <c r="U542" s="1"/>
  <c r="R541"/>
  <c r="M541"/>
  <c r="S539"/>
  <c r="N539"/>
  <c r="L539"/>
  <c r="K539"/>
  <c r="J539"/>
  <c r="I539"/>
  <c r="H539"/>
  <c r="G539"/>
  <c r="T563"/>
  <c r="Q562"/>
  <c r="R562" s="1"/>
  <c r="F562"/>
  <c r="F563" s="1"/>
  <c r="M561"/>
  <c r="F558"/>
  <c r="F557"/>
  <c r="F556"/>
  <c r="F555"/>
  <c r="T554"/>
  <c r="Q555" s="1"/>
  <c r="R555" s="1"/>
  <c r="Q554"/>
  <c r="R554" s="1"/>
  <c r="U554" s="1"/>
  <c r="O554"/>
  <c r="O555" s="1"/>
  <c r="M554"/>
  <c r="N552"/>
  <c r="L552"/>
  <c r="K552"/>
  <c r="J552"/>
  <c r="I552"/>
  <c r="H552"/>
  <c r="G552"/>
  <c r="T576"/>
  <c r="Q575"/>
  <c r="R575" s="1"/>
  <c r="F575"/>
  <c r="Q576" s="1"/>
  <c r="R576" s="1"/>
  <c r="M574"/>
  <c r="F571"/>
  <c r="F572" s="1"/>
  <c r="F573" s="1"/>
  <c r="F570"/>
  <c r="F569"/>
  <c r="F568"/>
  <c r="T567"/>
  <c r="Q567"/>
  <c r="R567" s="1"/>
  <c r="O567"/>
  <c r="F567"/>
  <c r="M567" s="1"/>
  <c r="M565" s="1"/>
  <c r="S565"/>
  <c r="N565"/>
  <c r="L565"/>
  <c r="K565"/>
  <c r="J565"/>
  <c r="I565"/>
  <c r="H565"/>
  <c r="G565"/>
  <c r="T583"/>
  <c r="T584" s="1"/>
  <c r="T585" s="1"/>
  <c r="T586" s="1"/>
  <c r="T587" s="1"/>
  <c r="T588" s="1"/>
  <c r="T589" s="1"/>
  <c r="T590" s="1"/>
  <c r="T578" s="1"/>
  <c r="Q580"/>
  <c r="R580" s="1"/>
  <c r="O580"/>
  <c r="O581" s="1"/>
  <c r="F580"/>
  <c r="S578"/>
  <c r="N578"/>
  <c r="L578"/>
  <c r="K578"/>
  <c r="J578"/>
  <c r="I578"/>
  <c r="H578"/>
  <c r="G578"/>
  <c r="T596"/>
  <c r="Q595"/>
  <c r="R595" s="1"/>
  <c r="F595"/>
  <c r="Q593"/>
  <c r="R593" s="1"/>
  <c r="O593"/>
  <c r="F593"/>
  <c r="M593" s="1"/>
  <c r="S591"/>
  <c r="N591"/>
  <c r="L591"/>
  <c r="K591"/>
  <c r="J591"/>
  <c r="I591"/>
  <c r="H591"/>
  <c r="G591"/>
  <c r="Q658"/>
  <c r="G660"/>
  <c r="G659" s="1"/>
  <c r="H660"/>
  <c r="H659" s="1"/>
  <c r="I660"/>
  <c r="I659" s="1"/>
  <c r="J660"/>
  <c r="J659" s="1"/>
  <c r="K660"/>
  <c r="K659" s="1"/>
  <c r="L660"/>
  <c r="L659" s="1"/>
  <c r="N660"/>
  <c r="N659" s="1"/>
  <c r="F662"/>
  <c r="O662"/>
  <c r="O663" s="1"/>
  <c r="O664" s="1"/>
  <c r="O665" s="1"/>
  <c r="O666" s="1"/>
  <c r="O667" s="1"/>
  <c r="O668" s="1"/>
  <c r="O669" s="1"/>
  <c r="O670" s="1"/>
  <c r="O671" s="1"/>
  <c r="Q662"/>
  <c r="R662" s="1"/>
  <c r="T662"/>
  <c r="F663"/>
  <c r="T108"/>
  <c r="T109" s="1"/>
  <c r="F107"/>
  <c r="F108" s="1"/>
  <c r="F109" s="1"/>
  <c r="M106"/>
  <c r="F103"/>
  <c r="F102"/>
  <c r="F101"/>
  <c r="F100"/>
  <c r="T99"/>
  <c r="Q99"/>
  <c r="R99" s="1"/>
  <c r="O99"/>
  <c r="O100" s="1"/>
  <c r="O101" s="1"/>
  <c r="O102" s="1"/>
  <c r="F99"/>
  <c r="N97"/>
  <c r="L97"/>
  <c r="K97"/>
  <c r="J97"/>
  <c r="I97"/>
  <c r="H97"/>
  <c r="G97"/>
  <c r="T96"/>
  <c r="Q96"/>
  <c r="R96" s="1"/>
  <c r="F96"/>
  <c r="F94"/>
  <c r="F93"/>
  <c r="F92"/>
  <c r="F91"/>
  <c r="F90"/>
  <c r="F89"/>
  <c r="F88"/>
  <c r="F87"/>
  <c r="T86"/>
  <c r="Q86"/>
  <c r="R86" s="1"/>
  <c r="O86"/>
  <c r="O87" s="1"/>
  <c r="F86"/>
  <c r="N84"/>
  <c r="L84"/>
  <c r="K84"/>
  <c r="J84"/>
  <c r="I84"/>
  <c r="H84"/>
  <c r="G84"/>
  <c r="F124" i="6"/>
  <c r="L66" i="4" s="1"/>
  <c r="L60"/>
  <c r="L23"/>
  <c r="H38" i="9"/>
  <c r="H29"/>
  <c r="F681" i="17"/>
  <c r="T118"/>
  <c r="T119" s="1"/>
  <c r="F117"/>
  <c r="F115"/>
  <c r="F114"/>
  <c r="F113"/>
  <c r="T112"/>
  <c r="Q112"/>
  <c r="S112" s="1"/>
  <c r="O112"/>
  <c r="O113" s="1"/>
  <c r="F112"/>
  <c r="N110"/>
  <c r="L110"/>
  <c r="K110"/>
  <c r="J110"/>
  <c r="I110"/>
  <c r="H110"/>
  <c r="G110"/>
  <c r="T134"/>
  <c r="F133"/>
  <c r="M132"/>
  <c r="F129"/>
  <c r="F128"/>
  <c r="F127"/>
  <c r="F126"/>
  <c r="T125"/>
  <c r="Q125"/>
  <c r="S125" s="1"/>
  <c r="O125"/>
  <c r="O126" s="1"/>
  <c r="O127" s="1"/>
  <c r="F125"/>
  <c r="M125" s="1"/>
  <c r="N123"/>
  <c r="L123"/>
  <c r="K123"/>
  <c r="J123"/>
  <c r="I123"/>
  <c r="H123"/>
  <c r="G123"/>
  <c r="T157"/>
  <c r="F155"/>
  <c r="F156" s="1"/>
  <c r="F153"/>
  <c r="F152"/>
  <c r="T151"/>
  <c r="T152" s="1"/>
  <c r="Q151"/>
  <c r="R151" s="1"/>
  <c r="O151"/>
  <c r="O152" s="1"/>
  <c r="F151"/>
  <c r="S149"/>
  <c r="N149"/>
  <c r="L149"/>
  <c r="K149"/>
  <c r="J149"/>
  <c r="I149"/>
  <c r="H149"/>
  <c r="G149"/>
  <c r="P5"/>
  <c r="Q5"/>
  <c r="E33" i="4"/>
  <c r="F60" i="24"/>
  <c r="H14" i="9"/>
  <c r="J37" i="4"/>
  <c r="O74" i="17"/>
  <c r="O75" s="1"/>
  <c r="O60"/>
  <c r="O61" s="1"/>
  <c r="S49" i="22"/>
  <c r="T48"/>
  <c r="T47"/>
  <c r="S43"/>
  <c r="F123" i="6"/>
  <c r="N7" i="13"/>
  <c r="N21"/>
  <c r="R143" i="9"/>
  <c r="R142"/>
  <c r="R141"/>
  <c r="R140"/>
  <c r="R139"/>
  <c r="R137"/>
  <c r="R136"/>
  <c r="R135"/>
  <c r="R134"/>
  <c r="R133"/>
  <c r="R131"/>
  <c r="R130"/>
  <c r="R129"/>
  <c r="R128"/>
  <c r="R127"/>
  <c r="R121"/>
  <c r="G121" s="1"/>
  <c r="R118"/>
  <c r="G118" s="1"/>
  <c r="G117" s="1"/>
  <c r="R115"/>
  <c r="G115" s="1"/>
  <c r="R112"/>
  <c r="G112" s="1"/>
  <c r="R109"/>
  <c r="G109"/>
  <c r="G108" s="1"/>
  <c r="R106"/>
  <c r="G106" s="1"/>
  <c r="R103"/>
  <c r="G103" s="1"/>
  <c r="R99"/>
  <c r="G99" s="1"/>
  <c r="G98" s="1"/>
  <c r="R96"/>
  <c r="G96" s="1"/>
  <c r="R93"/>
  <c r="G93" s="1"/>
  <c r="R90"/>
  <c r="G90" s="1"/>
  <c r="G89" s="1"/>
  <c r="R87"/>
  <c r="G87" s="1"/>
  <c r="R81"/>
  <c r="G81"/>
  <c r="G80" s="1"/>
  <c r="R78"/>
  <c r="G78"/>
  <c r="R72"/>
  <c r="G72" s="1"/>
  <c r="G71" s="1"/>
  <c r="R69"/>
  <c r="G69"/>
  <c r="R63"/>
  <c r="G63"/>
  <c r="G62"/>
  <c r="R60"/>
  <c r="G60" s="1"/>
  <c r="R54"/>
  <c r="G54" s="1"/>
  <c r="G53" s="1"/>
  <c r="R51"/>
  <c r="G51"/>
  <c r="H47"/>
  <c r="H56"/>
  <c r="R45"/>
  <c r="G45"/>
  <c r="G44"/>
  <c r="R42"/>
  <c r="G42" s="1"/>
  <c r="R38"/>
  <c r="G38" s="1"/>
  <c r="G37" s="1"/>
  <c r="R36"/>
  <c r="G36" s="1"/>
  <c r="R33"/>
  <c r="G33" s="1"/>
  <c r="H32"/>
  <c r="H41" s="1"/>
  <c r="R29"/>
  <c r="G29" s="1"/>
  <c r="R27"/>
  <c r="G27"/>
  <c r="R24"/>
  <c r="G24" s="1"/>
  <c r="R23"/>
  <c r="G23" s="1"/>
  <c r="R20"/>
  <c r="G20"/>
  <c r="R18"/>
  <c r="G18"/>
  <c r="R528" i="17"/>
  <c r="S526"/>
  <c r="N526"/>
  <c r="L526"/>
  <c r="K526"/>
  <c r="J526"/>
  <c r="I526"/>
  <c r="H526"/>
  <c r="G526"/>
  <c r="T518"/>
  <c r="R515"/>
  <c r="O516"/>
  <c r="S513"/>
  <c r="N513"/>
  <c r="L513"/>
  <c r="K513"/>
  <c r="J513"/>
  <c r="I513"/>
  <c r="H513"/>
  <c r="G513"/>
  <c r="Q47"/>
  <c r="S47" s="1"/>
  <c r="Q60"/>
  <c r="R60" s="1"/>
  <c r="Q73"/>
  <c r="S73" s="1"/>
  <c r="Q34"/>
  <c r="S34" s="1"/>
  <c r="Q40"/>
  <c r="S40" s="1"/>
  <c r="Q21"/>
  <c r="R21" s="1"/>
  <c r="Q8"/>
  <c r="R8" s="1"/>
  <c r="F73"/>
  <c r="Q74" s="1"/>
  <c r="R74" s="1"/>
  <c r="N6" i="13"/>
  <c r="O6"/>
  <c r="O7"/>
  <c r="N8"/>
  <c r="O8" s="1"/>
  <c r="N9"/>
  <c r="O9" s="1"/>
  <c r="N10"/>
  <c r="O10" s="1"/>
  <c r="N11"/>
  <c r="O11" s="1"/>
  <c r="N12"/>
  <c r="O12" s="1"/>
  <c r="N13"/>
  <c r="O13" s="1"/>
  <c r="N14"/>
  <c r="O14" s="1"/>
  <c r="N15"/>
  <c r="O15" s="1"/>
  <c r="N16"/>
  <c r="O16" s="1"/>
  <c r="N17"/>
  <c r="O17" s="1"/>
  <c r="N18"/>
  <c r="O18" s="1"/>
  <c r="N20"/>
  <c r="O20" s="1"/>
  <c r="O21"/>
  <c r="N22"/>
  <c r="O22" s="1"/>
  <c r="N23"/>
  <c r="O23" s="1"/>
  <c r="N24"/>
  <c r="O24" s="1"/>
  <c r="N25"/>
  <c r="O25" s="1"/>
  <c r="N26"/>
  <c r="O26" s="1"/>
  <c r="N27"/>
  <c r="O27" s="1"/>
  <c r="N28"/>
  <c r="O28" s="1"/>
  <c r="N29"/>
  <c r="O29" s="1"/>
  <c r="N30"/>
  <c r="O30" s="1"/>
  <c r="N31"/>
  <c r="O31" s="1"/>
  <c r="N32"/>
  <c r="O32" s="1"/>
  <c r="N34"/>
  <c r="O34" s="1"/>
  <c r="F96" i="6" s="1"/>
  <c r="G96" s="1"/>
  <c r="N35" i="13"/>
  <c r="O35" s="1"/>
  <c r="F97" i="6" s="1"/>
  <c r="N36" i="13"/>
  <c r="O36" s="1"/>
  <c r="N37"/>
  <c r="O37" s="1"/>
  <c r="N38"/>
  <c r="O38" s="1"/>
  <c r="N39"/>
  <c r="O39" s="1"/>
  <c r="N41"/>
  <c r="O41"/>
  <c r="O40" s="1"/>
  <c r="F98" i="6" s="1"/>
  <c r="G98" s="1"/>
  <c r="Q6" i="18"/>
  <c r="S7"/>
  <c r="U7" s="1"/>
  <c r="AA7" s="1"/>
  <c r="X7"/>
  <c r="S8"/>
  <c r="U8" s="1"/>
  <c r="X8"/>
  <c r="S9"/>
  <c r="X9"/>
  <c r="S10"/>
  <c r="U10" s="1"/>
  <c r="AA10" s="1"/>
  <c r="X10"/>
  <c r="S11"/>
  <c r="U11" s="1"/>
  <c r="AA11" s="1"/>
  <c r="X11"/>
  <c r="F12"/>
  <c r="P12" s="1"/>
  <c r="I12"/>
  <c r="K12"/>
  <c r="K13" s="1"/>
  <c r="K14" s="1"/>
  <c r="N12"/>
  <c r="O12"/>
  <c r="O13" s="1"/>
  <c r="R12"/>
  <c r="R13" s="1"/>
  <c r="L13"/>
  <c r="N13"/>
  <c r="N16"/>
  <c r="I14"/>
  <c r="L14"/>
  <c r="L15" s="1"/>
  <c r="I15"/>
  <c r="N15"/>
  <c r="I16"/>
  <c r="I17"/>
  <c r="N17"/>
  <c r="I18"/>
  <c r="N18"/>
  <c r="F19"/>
  <c r="G19"/>
  <c r="H19"/>
  <c r="I19"/>
  <c r="J19"/>
  <c r="K19"/>
  <c r="L19"/>
  <c r="M19"/>
  <c r="N19"/>
  <c r="O19"/>
  <c r="P19"/>
  <c r="Q19"/>
  <c r="S20"/>
  <c r="R21"/>
  <c r="F32"/>
  <c r="G32"/>
  <c r="H32"/>
  <c r="I32"/>
  <c r="J32"/>
  <c r="K32"/>
  <c r="L32"/>
  <c r="M32"/>
  <c r="N32"/>
  <c r="O32"/>
  <c r="P32"/>
  <c r="Q32"/>
  <c r="S33"/>
  <c r="R34"/>
  <c r="F50"/>
  <c r="G50"/>
  <c r="H50"/>
  <c r="I50"/>
  <c r="J50"/>
  <c r="K50"/>
  <c r="L50"/>
  <c r="M50"/>
  <c r="N50"/>
  <c r="O50"/>
  <c r="Q50"/>
  <c r="R50"/>
  <c r="S50"/>
  <c r="T50"/>
  <c r="V51"/>
  <c r="W51"/>
  <c r="X51"/>
  <c r="Z51"/>
  <c r="AA51"/>
  <c r="V52"/>
  <c r="W52"/>
  <c r="X52"/>
  <c r="Y52" s="1"/>
  <c r="Z52"/>
  <c r="AA52"/>
  <c r="V53"/>
  <c r="W53"/>
  <c r="X53"/>
  <c r="Y53" s="1"/>
  <c r="AB53" s="1"/>
  <c r="Z53"/>
  <c r="AA53"/>
  <c r="V54"/>
  <c r="W54"/>
  <c r="X54"/>
  <c r="Y54" s="1"/>
  <c r="Z54"/>
  <c r="AA54"/>
  <c r="V55"/>
  <c r="W55"/>
  <c r="X55"/>
  <c r="Y55" s="1"/>
  <c r="Z55"/>
  <c r="AA55"/>
  <c r="V56"/>
  <c r="W56"/>
  <c r="X56"/>
  <c r="Y56"/>
  <c r="Z56"/>
  <c r="AA56"/>
  <c r="V57"/>
  <c r="W57"/>
  <c r="X57"/>
  <c r="Y57" s="1"/>
  <c r="AB57" s="1"/>
  <c r="Z57"/>
  <c r="AA57"/>
  <c r="V58"/>
  <c r="W58"/>
  <c r="X58"/>
  <c r="Y58"/>
  <c r="Z58"/>
  <c r="AA58"/>
  <c r="V59"/>
  <c r="W59"/>
  <c r="X59"/>
  <c r="Y59" s="1"/>
  <c r="AB59" s="1"/>
  <c r="Z59"/>
  <c r="AA59"/>
  <c r="V60"/>
  <c r="W60"/>
  <c r="X60"/>
  <c r="Y60" s="1"/>
  <c r="Z60"/>
  <c r="AA60"/>
  <c r="V61"/>
  <c r="W61"/>
  <c r="X61"/>
  <c r="Y61" s="1"/>
  <c r="AB61" s="1"/>
  <c r="Z61"/>
  <c r="AA61"/>
  <c r="V62"/>
  <c r="W62"/>
  <c r="X62"/>
  <c r="Y62" s="1"/>
  <c r="Z62"/>
  <c r="AA62"/>
  <c r="F89"/>
  <c r="G89"/>
  <c r="H89"/>
  <c r="I89"/>
  <c r="J89"/>
  <c r="K89"/>
  <c r="L89"/>
  <c r="M89"/>
  <c r="N89"/>
  <c r="O89"/>
  <c r="Q89"/>
  <c r="R89"/>
  <c r="S89"/>
  <c r="T92"/>
  <c r="T93"/>
  <c r="T94"/>
  <c r="V94" s="1"/>
  <c r="T95"/>
  <c r="V95" s="1"/>
  <c r="T96"/>
  <c r="V96" s="1"/>
  <c r="T97"/>
  <c r="V97" s="1"/>
  <c r="T98"/>
  <c r="V98" s="1"/>
  <c r="T99"/>
  <c r="V99" s="1"/>
  <c r="T100"/>
  <c r="V100" s="1"/>
  <c r="T101"/>
  <c r="V101" s="1"/>
  <c r="F102"/>
  <c r="G102"/>
  <c r="H102"/>
  <c r="I102"/>
  <c r="J102"/>
  <c r="K102"/>
  <c r="L102"/>
  <c r="M102"/>
  <c r="N102"/>
  <c r="O102"/>
  <c r="Q102"/>
  <c r="R102"/>
  <c r="S102"/>
  <c r="T108"/>
  <c r="X108"/>
  <c r="Y108" s="1"/>
  <c r="T109"/>
  <c r="V109" s="1"/>
  <c r="T110"/>
  <c r="V110" s="1"/>
  <c r="T111"/>
  <c r="V111" s="1"/>
  <c r="T112"/>
  <c r="V112" s="1"/>
  <c r="T113"/>
  <c r="V113" s="1"/>
  <c r="T114"/>
  <c r="V114" s="1"/>
  <c r="G115"/>
  <c r="H115"/>
  <c r="J115"/>
  <c r="M115"/>
  <c r="R115"/>
  <c r="V115"/>
  <c r="W115"/>
  <c r="X115"/>
  <c r="Y115"/>
  <c r="Z115"/>
  <c r="AA115"/>
  <c r="T116"/>
  <c r="AB116"/>
  <c r="F117"/>
  <c r="I117"/>
  <c r="K117"/>
  <c r="L117"/>
  <c r="L115" s="1"/>
  <c r="N117"/>
  <c r="O117"/>
  <c r="Q117"/>
  <c r="AB117"/>
  <c r="I118"/>
  <c r="Q118"/>
  <c r="AB118"/>
  <c r="I119"/>
  <c r="Q119"/>
  <c r="AB119"/>
  <c r="I120"/>
  <c r="Q120"/>
  <c r="AB120"/>
  <c r="I121"/>
  <c r="Q121"/>
  <c r="AB121"/>
  <c r="Q122"/>
  <c r="AB122"/>
  <c r="I123"/>
  <c r="Q123"/>
  <c r="AB123"/>
  <c r="I124"/>
  <c r="Q124"/>
  <c r="AB124"/>
  <c r="I125"/>
  <c r="O125"/>
  <c r="O126" s="1"/>
  <c r="Q125"/>
  <c r="AB125"/>
  <c r="I126"/>
  <c r="N126"/>
  <c r="N127" s="1"/>
  <c r="N115" s="1"/>
  <c r="Q126"/>
  <c r="AB126"/>
  <c r="I127"/>
  <c r="K127"/>
  <c r="Q127"/>
  <c r="AB127"/>
  <c r="G6" i="17"/>
  <c r="H6"/>
  <c r="I6"/>
  <c r="J6"/>
  <c r="K6"/>
  <c r="L6"/>
  <c r="N6"/>
  <c r="O6"/>
  <c r="AA6"/>
  <c r="AB6"/>
  <c r="F8"/>
  <c r="T8"/>
  <c r="F9"/>
  <c r="F11" s="1"/>
  <c r="F13"/>
  <c r="F15" s="1"/>
  <c r="M15" s="1"/>
  <c r="G19"/>
  <c r="H19"/>
  <c r="I19"/>
  <c r="J19"/>
  <c r="K19"/>
  <c r="L19"/>
  <c r="N19"/>
  <c r="F21"/>
  <c r="M21" s="1"/>
  <c r="T21"/>
  <c r="F22"/>
  <c r="O22"/>
  <c r="O23" s="1"/>
  <c r="F23"/>
  <c r="F26"/>
  <c r="F27" s="1"/>
  <c r="G32"/>
  <c r="H32"/>
  <c r="I32"/>
  <c r="J32"/>
  <c r="K32"/>
  <c r="L32"/>
  <c r="N32"/>
  <c r="F20" i="6" s="1"/>
  <c r="G20" s="1"/>
  <c r="F34" i="17"/>
  <c r="M34" s="1"/>
  <c r="O34"/>
  <c r="T34"/>
  <c r="F35"/>
  <c r="O35"/>
  <c r="F36"/>
  <c r="O36"/>
  <c r="F37"/>
  <c r="F38" s="1"/>
  <c r="O37"/>
  <c r="O38"/>
  <c r="O39" s="1"/>
  <c r="F40"/>
  <c r="F42" s="1"/>
  <c r="T40"/>
  <c r="F41"/>
  <c r="M41" s="1"/>
  <c r="G45"/>
  <c r="H45"/>
  <c r="I45"/>
  <c r="J45"/>
  <c r="K45"/>
  <c r="L45"/>
  <c r="N45"/>
  <c r="F47"/>
  <c r="O47"/>
  <c r="T47"/>
  <c r="F48"/>
  <c r="O48"/>
  <c r="O49"/>
  <c r="F50"/>
  <c r="O50"/>
  <c r="O51"/>
  <c r="O52" s="1"/>
  <c r="T53"/>
  <c r="T54" s="1"/>
  <c r="G58"/>
  <c r="H58"/>
  <c r="I58"/>
  <c r="J58"/>
  <c r="K58"/>
  <c r="L58"/>
  <c r="N58"/>
  <c r="F60"/>
  <c r="F61" s="1"/>
  <c r="T62"/>
  <c r="T66"/>
  <c r="T67" s="1"/>
  <c r="T68" s="1"/>
  <c r="T69" s="1"/>
  <c r="T70" s="1"/>
  <c r="G71"/>
  <c r="H71"/>
  <c r="I71"/>
  <c r="J71"/>
  <c r="K71"/>
  <c r="L71"/>
  <c r="N71"/>
  <c r="T77"/>
  <c r="T671"/>
  <c r="T672" s="1"/>
  <c r="Q675"/>
  <c r="G677"/>
  <c r="H677"/>
  <c r="I677"/>
  <c r="J677"/>
  <c r="K677"/>
  <c r="L677"/>
  <c r="N677"/>
  <c r="S677"/>
  <c r="F679"/>
  <c r="T682"/>
  <c r="T683" s="1"/>
  <c r="G690"/>
  <c r="G676" s="1"/>
  <c r="H690"/>
  <c r="I690"/>
  <c r="J690"/>
  <c r="K690"/>
  <c r="L690"/>
  <c r="N690"/>
  <c r="O690"/>
  <c r="R690"/>
  <c r="S690"/>
  <c r="S676" s="1"/>
  <c r="T690"/>
  <c r="M691"/>
  <c r="U691" s="1"/>
  <c r="F692"/>
  <c r="F693"/>
  <c r="F694"/>
  <c r="F695"/>
  <c r="F696"/>
  <c r="F697" s="1"/>
  <c r="F9" i="22"/>
  <c r="G9" s="1"/>
  <c r="F10"/>
  <c r="G10" s="1"/>
  <c r="F13"/>
  <c r="F15"/>
  <c r="G15" s="1"/>
  <c r="G16"/>
  <c r="F17"/>
  <c r="G17" s="1"/>
  <c r="G18"/>
  <c r="F19"/>
  <c r="G19" s="1"/>
  <c r="F20"/>
  <c r="G20" s="1"/>
  <c r="F21"/>
  <c r="G21" s="1"/>
  <c r="G22"/>
  <c r="F23"/>
  <c r="G23" s="1"/>
  <c r="G24"/>
  <c r="G25"/>
  <c r="G28"/>
  <c r="F29"/>
  <c r="G29" s="1"/>
  <c r="G31"/>
  <c r="G32"/>
  <c r="S32"/>
  <c r="F33"/>
  <c r="T33" s="1"/>
  <c r="G34"/>
  <c r="G35"/>
  <c r="G36"/>
  <c r="G37"/>
  <c r="F38"/>
  <c r="E28" i="1" s="1"/>
  <c r="G39" i="22"/>
  <c r="T39"/>
  <c r="G40"/>
  <c r="T40"/>
  <c r="G41"/>
  <c r="S41"/>
  <c r="G42"/>
  <c r="T42"/>
  <c r="G43"/>
  <c r="G44"/>
  <c r="T44"/>
  <c r="F46"/>
  <c r="F45" s="1"/>
  <c r="G47"/>
  <c r="G48"/>
  <c r="G49"/>
  <c r="G52"/>
  <c r="F51"/>
  <c r="G54"/>
  <c r="G55"/>
  <c r="G56"/>
  <c r="G57"/>
  <c r="G58"/>
  <c r="G59"/>
  <c r="G60"/>
  <c r="G61"/>
  <c r="F62"/>
  <c r="G63"/>
  <c r="G64"/>
  <c r="G65"/>
  <c r="G66"/>
  <c r="G67"/>
  <c r="G68"/>
  <c r="G69"/>
  <c r="G70"/>
  <c r="G71"/>
  <c r="G72"/>
  <c r="G74"/>
  <c r="G75"/>
  <c r="G76"/>
  <c r="G77"/>
  <c r="F78"/>
  <c r="G79"/>
  <c r="G78" s="1"/>
  <c r="F80"/>
  <c r="G81"/>
  <c r="G80"/>
  <c r="F82"/>
  <c r="L51" i="4" s="1"/>
  <c r="G83" i="22"/>
  <c r="G82" s="1"/>
  <c r="F85"/>
  <c r="F84" s="1"/>
  <c r="G86"/>
  <c r="F88"/>
  <c r="F87" s="1"/>
  <c r="G89"/>
  <c r="F91"/>
  <c r="F90" s="1"/>
  <c r="G92"/>
  <c r="F94"/>
  <c r="F93"/>
  <c r="G95"/>
  <c r="U7" i="8"/>
  <c r="G9"/>
  <c r="G10"/>
  <c r="U10"/>
  <c r="V10"/>
  <c r="G11"/>
  <c r="U11"/>
  <c r="V11" s="1"/>
  <c r="F12"/>
  <c r="U12"/>
  <c r="V12" s="1"/>
  <c r="G13"/>
  <c r="G14"/>
  <c r="G15"/>
  <c r="G16"/>
  <c r="G19"/>
  <c r="G20"/>
  <c r="G21"/>
  <c r="G22"/>
  <c r="G23"/>
  <c r="G24"/>
  <c r="G25"/>
  <c r="G29"/>
  <c r="G32"/>
  <c r="S32"/>
  <c r="V32" s="1"/>
  <c r="V33"/>
  <c r="G34"/>
  <c r="V34"/>
  <c r="G36"/>
  <c r="V36"/>
  <c r="G37"/>
  <c r="V37"/>
  <c r="F38"/>
  <c r="V38"/>
  <c r="G39"/>
  <c r="V39"/>
  <c r="G40"/>
  <c r="V40"/>
  <c r="G41"/>
  <c r="V41"/>
  <c r="G42"/>
  <c r="V42"/>
  <c r="G43"/>
  <c r="V43"/>
  <c r="G44"/>
  <c r="V44"/>
  <c r="V45"/>
  <c r="F46"/>
  <c r="F45" s="1"/>
  <c r="E21" i="1" s="1"/>
  <c r="V46" i="8"/>
  <c r="G47"/>
  <c r="S47"/>
  <c r="V47"/>
  <c r="G48"/>
  <c r="V48"/>
  <c r="G49"/>
  <c r="S49"/>
  <c r="V49" s="1"/>
  <c r="V50"/>
  <c r="F51"/>
  <c r="V51"/>
  <c r="G52"/>
  <c r="G51" s="1"/>
  <c r="V52"/>
  <c r="G53"/>
  <c r="V53"/>
  <c r="G54"/>
  <c r="V54"/>
  <c r="G55"/>
  <c r="V55"/>
  <c r="G56"/>
  <c r="V56"/>
  <c r="G57"/>
  <c r="V57"/>
  <c r="G58"/>
  <c r="V58"/>
  <c r="G59"/>
  <c r="V59"/>
  <c r="G60"/>
  <c r="V60"/>
  <c r="F61"/>
  <c r="V61"/>
  <c r="G62"/>
  <c r="V62"/>
  <c r="G63"/>
  <c r="V63"/>
  <c r="G64"/>
  <c r="V64"/>
  <c r="G65"/>
  <c r="V65"/>
  <c r="G66"/>
  <c r="V66"/>
  <c r="G67"/>
  <c r="V67"/>
  <c r="G68"/>
  <c r="V68"/>
  <c r="G69"/>
  <c r="V69"/>
  <c r="G70"/>
  <c r="V70"/>
  <c r="G71"/>
  <c r="V71"/>
  <c r="V72"/>
  <c r="G73"/>
  <c r="V73"/>
  <c r="G74"/>
  <c r="S74"/>
  <c r="V74" s="1"/>
  <c r="G75"/>
  <c r="S75"/>
  <c r="V75" s="1"/>
  <c r="G76"/>
  <c r="S76"/>
  <c r="V76"/>
  <c r="F77"/>
  <c r="G78"/>
  <c r="G77"/>
  <c r="G72"/>
  <c r="V78"/>
  <c r="F79"/>
  <c r="U8"/>
  <c r="V8"/>
  <c r="V79"/>
  <c r="G80"/>
  <c r="G79"/>
  <c r="V80"/>
  <c r="F81"/>
  <c r="V81"/>
  <c r="G82"/>
  <c r="G81"/>
  <c r="V82"/>
  <c r="V83"/>
  <c r="F84"/>
  <c r="F83" s="1"/>
  <c r="V84"/>
  <c r="G85"/>
  <c r="V85"/>
  <c r="V86"/>
  <c r="F87"/>
  <c r="F86" s="1"/>
  <c r="V87"/>
  <c r="G88"/>
  <c r="V88"/>
  <c r="V89"/>
  <c r="F90"/>
  <c r="G90" s="1"/>
  <c r="G89" s="1"/>
  <c r="V90"/>
  <c r="G91"/>
  <c r="V91"/>
  <c r="T10" i="6"/>
  <c r="T6" s="1"/>
  <c r="G15"/>
  <c r="H16"/>
  <c r="F22"/>
  <c r="G22" s="1"/>
  <c r="G32"/>
  <c r="F33"/>
  <c r="G33" s="1"/>
  <c r="G34"/>
  <c r="G35"/>
  <c r="G36"/>
  <c r="G38"/>
  <c r="G39"/>
  <c r="G40"/>
  <c r="U40"/>
  <c r="F41"/>
  <c r="L25" i="4" s="1"/>
  <c r="U41" i="6"/>
  <c r="G42"/>
  <c r="G43"/>
  <c r="G44"/>
  <c r="G45"/>
  <c r="G46"/>
  <c r="F48"/>
  <c r="G48" s="1"/>
  <c r="G49"/>
  <c r="G50"/>
  <c r="G51"/>
  <c r="G56"/>
  <c r="G57"/>
  <c r="G58"/>
  <c r="G61"/>
  <c r="G62"/>
  <c r="F65"/>
  <c r="G65" s="1"/>
  <c r="G66"/>
  <c r="G67"/>
  <c r="G68"/>
  <c r="G69"/>
  <c r="G70"/>
  <c r="G71"/>
  <c r="G72"/>
  <c r="G73"/>
  <c r="G74"/>
  <c r="F75"/>
  <c r="G75" s="1"/>
  <c r="G76"/>
  <c r="G77"/>
  <c r="G78"/>
  <c r="G79"/>
  <c r="G80"/>
  <c r="G81"/>
  <c r="G82"/>
  <c r="G83"/>
  <c r="G84"/>
  <c r="G85"/>
  <c r="G87"/>
  <c r="G88"/>
  <c r="F89"/>
  <c r="G89" s="1"/>
  <c r="G90"/>
  <c r="G91"/>
  <c r="G92"/>
  <c r="H99"/>
  <c r="H86" s="1"/>
  <c r="F109"/>
  <c r="G109" s="1"/>
  <c r="G110"/>
  <c r="F111"/>
  <c r="G111" s="1"/>
  <c r="G112"/>
  <c r="F113"/>
  <c r="G113" s="1"/>
  <c r="G114"/>
  <c r="G115"/>
  <c r="F117"/>
  <c r="F116" s="1"/>
  <c r="G116" s="1"/>
  <c r="G118"/>
  <c r="F120"/>
  <c r="G120" s="1"/>
  <c r="G121"/>
  <c r="H122"/>
  <c r="F122"/>
  <c r="E11" i="1" s="1"/>
  <c r="G124" i="6"/>
  <c r="E7" i="21"/>
  <c r="E8"/>
  <c r="G8"/>
  <c r="G7" s="1"/>
  <c r="G9"/>
  <c r="E11"/>
  <c r="E10" s="1"/>
  <c r="G12"/>
  <c r="G11"/>
  <c r="G10" s="1"/>
  <c r="E14"/>
  <c r="E13" s="1"/>
  <c r="G15"/>
  <c r="G14" s="1"/>
  <c r="G13" s="1"/>
  <c r="E17"/>
  <c r="G17" s="1"/>
  <c r="G18"/>
  <c r="G19"/>
  <c r="G21"/>
  <c r="E23"/>
  <c r="E22" s="1"/>
  <c r="E20" s="1"/>
  <c r="G24"/>
  <c r="G23" s="1"/>
  <c r="G22" s="1"/>
  <c r="G25"/>
  <c r="E26"/>
  <c r="E27"/>
  <c r="G27"/>
  <c r="G26"/>
  <c r="G28"/>
  <c r="E30"/>
  <c r="E29"/>
  <c r="G31"/>
  <c r="G30" s="1"/>
  <c r="G29" s="1"/>
  <c r="G32"/>
  <c r="E34"/>
  <c r="E33" s="1"/>
  <c r="G35"/>
  <c r="G36"/>
  <c r="G37"/>
  <c r="E8" i="20"/>
  <c r="T7" i="8" s="1"/>
  <c r="V7" s="1"/>
  <c r="G8" i="20"/>
  <c r="G7" s="1"/>
  <c r="G9"/>
  <c r="E11"/>
  <c r="E10" s="1"/>
  <c r="C20" i="1" s="1"/>
  <c r="G12" i="20"/>
  <c r="G11"/>
  <c r="G10" s="1"/>
  <c r="E13"/>
  <c r="E14"/>
  <c r="G15"/>
  <c r="G14" s="1"/>
  <c r="G13" s="1"/>
  <c r="E17"/>
  <c r="E16" s="1"/>
  <c r="G18"/>
  <c r="G17"/>
  <c r="G16" s="1"/>
  <c r="E20"/>
  <c r="E19" s="1"/>
  <c r="G21"/>
  <c r="G22"/>
  <c r="E24"/>
  <c r="E23" s="1"/>
  <c r="G25"/>
  <c r="E27"/>
  <c r="E26"/>
  <c r="G28"/>
  <c r="G27"/>
  <c r="G26" s="1"/>
  <c r="G29"/>
  <c r="E31"/>
  <c r="E30"/>
  <c r="G32"/>
  <c r="G33"/>
  <c r="G34"/>
  <c r="E4" i="19"/>
  <c r="D4" i="20" s="1"/>
  <c r="D4" i="21" s="1"/>
  <c r="E4" i="6" s="1"/>
  <c r="E4" i="8" s="1"/>
  <c r="E4" i="22" s="1"/>
  <c r="F4" i="19"/>
  <c r="E4" i="20" s="1"/>
  <c r="E4" i="21" s="1"/>
  <c r="F4" i="6" s="1"/>
  <c r="F4" i="8" s="1"/>
  <c r="F4" i="22" s="1"/>
  <c r="F8" i="19"/>
  <c r="F7" s="1"/>
  <c r="H9"/>
  <c r="F11"/>
  <c r="F10" s="1"/>
  <c r="H12"/>
  <c r="H11" s="1"/>
  <c r="H10" s="1"/>
  <c r="H28"/>
  <c r="H32"/>
  <c r="H33"/>
  <c r="H34"/>
  <c r="F36"/>
  <c r="F35" s="1"/>
  <c r="H37"/>
  <c r="H38"/>
  <c r="H41"/>
  <c r="H43"/>
  <c r="K4" i="4"/>
  <c r="L4"/>
  <c r="E9"/>
  <c r="E8" s="1"/>
  <c r="E7" s="1"/>
  <c r="E12"/>
  <c r="E11" s="1"/>
  <c r="E10" s="1"/>
  <c r="E15"/>
  <c r="G15" s="1"/>
  <c r="G14" s="1"/>
  <c r="G13" s="1"/>
  <c r="E13" i="24"/>
  <c r="F13" s="1"/>
  <c r="E24" i="4"/>
  <c r="E14" i="24" s="1"/>
  <c r="F14" s="1"/>
  <c r="E25" i="4"/>
  <c r="G25" s="1"/>
  <c r="E26"/>
  <c r="G26" s="1"/>
  <c r="E27"/>
  <c r="G27" s="1"/>
  <c r="E29"/>
  <c r="G29" s="1"/>
  <c r="G28" s="1"/>
  <c r="E32"/>
  <c r="G32" s="1"/>
  <c r="E38"/>
  <c r="G38" s="1"/>
  <c r="G37" s="1"/>
  <c r="G36" s="1"/>
  <c r="E41"/>
  <c r="E23" i="24" s="1"/>
  <c r="E42" i="4"/>
  <c r="G42" s="1"/>
  <c r="E45"/>
  <c r="G45" s="1"/>
  <c r="E47"/>
  <c r="G47" s="1"/>
  <c r="N45"/>
  <c r="E23" i="1"/>
  <c r="D31" i="24"/>
  <c r="E31"/>
  <c r="E41"/>
  <c r="F41" s="1"/>
  <c r="E68"/>
  <c r="F68" s="1"/>
  <c r="R679" i="17"/>
  <c r="F72" i="8"/>
  <c r="F76" i="17"/>
  <c r="Q77" s="1"/>
  <c r="S77" s="1"/>
  <c r="Q76"/>
  <c r="S76" s="1"/>
  <c r="Q9"/>
  <c r="S9" s="1"/>
  <c r="F89" i="8"/>
  <c r="E25" i="1" s="1"/>
  <c r="F62" i="24"/>
  <c r="G24" i="20"/>
  <c r="G23" s="1"/>
  <c r="G20"/>
  <c r="G19"/>
  <c r="G31"/>
  <c r="G30" s="1"/>
  <c r="R47" i="9"/>
  <c r="G47"/>
  <c r="G46" s="1"/>
  <c r="G94" i="22"/>
  <c r="G93" s="1"/>
  <c r="G91"/>
  <c r="G88"/>
  <c r="G87" s="1"/>
  <c r="G85"/>
  <c r="G84" s="1"/>
  <c r="G51"/>
  <c r="G13"/>
  <c r="F50" i="8"/>
  <c r="E22" i="1" s="1"/>
  <c r="N17" i="4"/>
  <c r="G122" i="6"/>
  <c r="F47"/>
  <c r="G47" s="1"/>
  <c r="F37"/>
  <c r="G37" s="1"/>
  <c r="T7"/>
  <c r="G123"/>
  <c r="G64"/>
  <c r="S9" i="22"/>
  <c r="F119" i="6"/>
  <c r="Q681" i="17"/>
  <c r="R681" s="1"/>
  <c r="G13" i="9"/>
  <c r="F63" i="6" s="1"/>
  <c r="G63" s="1"/>
  <c r="R14" i="9"/>
  <c r="T35" i="17"/>
  <c r="F67" i="24"/>
  <c r="N57" i="4"/>
  <c r="N56" s="1"/>
  <c r="N55" s="1"/>
  <c r="T12" i="6"/>
  <c r="J676" i="17"/>
  <c r="T41"/>
  <c r="Q42" s="1"/>
  <c r="R42" s="1"/>
  <c r="L676"/>
  <c r="H676"/>
  <c r="R680"/>
  <c r="U680" s="1"/>
  <c r="G12" i="4"/>
  <c r="G11" s="1"/>
  <c r="G10" s="1"/>
  <c r="E15" i="24"/>
  <c r="F15" s="1"/>
  <c r="G38" i="22"/>
  <c r="G50" i="8"/>
  <c r="H65" i="9"/>
  <c r="H74" s="1"/>
  <c r="R56"/>
  <c r="G56" s="1"/>
  <c r="G55" s="1"/>
  <c r="G17"/>
  <c r="E19" i="24"/>
  <c r="T9" i="17"/>
  <c r="T10" s="1"/>
  <c r="M60"/>
  <c r="E31" i="4"/>
  <c r="G33"/>
  <c r="E20" i="24"/>
  <c r="F20" s="1"/>
  <c r="R516" i="17"/>
  <c r="M73"/>
  <c r="F18"/>
  <c r="F17"/>
  <c r="F16"/>
  <c r="F14"/>
  <c r="F119"/>
  <c r="M119" s="1"/>
  <c r="Q126"/>
  <c r="S126" s="1"/>
  <c r="Q134"/>
  <c r="S134" s="1"/>
  <c r="T135"/>
  <c r="T126"/>
  <c r="M151"/>
  <c r="O681"/>
  <c r="O682" s="1"/>
  <c r="N54" i="4"/>
  <c r="N53" s="1"/>
  <c r="N52" s="1"/>
  <c r="N63"/>
  <c r="N62" s="1"/>
  <c r="N61" s="1"/>
  <c r="G38" i="8"/>
  <c r="G34" i="21"/>
  <c r="G33" s="1"/>
  <c r="G19" i="9"/>
  <c r="G26"/>
  <c r="N14" i="18"/>
  <c r="N6" s="1"/>
  <c r="N5" s="1"/>
  <c r="W109"/>
  <c r="AA109"/>
  <c r="AA108"/>
  <c r="W112"/>
  <c r="W110"/>
  <c r="W111"/>
  <c r="W108"/>
  <c r="AB115"/>
  <c r="W114"/>
  <c r="W113"/>
  <c r="T89"/>
  <c r="AB58"/>
  <c r="AB56"/>
  <c r="Z50"/>
  <c r="Q5"/>
  <c r="X114"/>
  <c r="Y114" s="1"/>
  <c r="X113"/>
  <c r="Y113" s="1"/>
  <c r="X112"/>
  <c r="Y112" s="1"/>
  <c r="X111"/>
  <c r="Y111" s="1"/>
  <c r="X110"/>
  <c r="Y110" s="1"/>
  <c r="X109"/>
  <c r="Y109" s="1"/>
  <c r="X101"/>
  <c r="Y101" s="1"/>
  <c r="X99"/>
  <c r="Y99" s="1"/>
  <c r="X97"/>
  <c r="Y97" s="1"/>
  <c r="X95"/>
  <c r="Y95" s="1"/>
  <c r="AA50"/>
  <c r="V50"/>
  <c r="I115"/>
  <c r="AA114"/>
  <c r="AA113"/>
  <c r="AA112"/>
  <c r="AA111"/>
  <c r="AA110"/>
  <c r="W50"/>
  <c r="Q115"/>
  <c r="K115"/>
  <c r="T102"/>
  <c r="X100"/>
  <c r="Y100" s="1"/>
  <c r="X98"/>
  <c r="Y98" s="1"/>
  <c r="X96"/>
  <c r="Y96" s="1"/>
  <c r="X94"/>
  <c r="Y94" s="1"/>
  <c r="X50"/>
  <c r="I6"/>
  <c r="I5" s="1"/>
  <c r="S10" i="22"/>
  <c r="O118" i="18"/>
  <c r="T117"/>
  <c r="Z114"/>
  <c r="Z113"/>
  <c r="Z112"/>
  <c r="Z111"/>
  <c r="Z110"/>
  <c r="Z109"/>
  <c r="Z108"/>
  <c r="V108"/>
  <c r="AA101"/>
  <c r="W101"/>
  <c r="AA100"/>
  <c r="W100"/>
  <c r="AA99"/>
  <c r="W99"/>
  <c r="AA98"/>
  <c r="W98"/>
  <c r="AA97"/>
  <c r="W97"/>
  <c r="AA96"/>
  <c r="W96"/>
  <c r="AA95"/>
  <c r="W95"/>
  <c r="AA94"/>
  <c r="W94"/>
  <c r="R35"/>
  <c r="S34"/>
  <c r="Y33"/>
  <c r="U33"/>
  <c r="R22"/>
  <c r="S21"/>
  <c r="Y20"/>
  <c r="U20"/>
  <c r="Z33"/>
  <c r="V33"/>
  <c r="Z20"/>
  <c r="V20"/>
  <c r="Y51"/>
  <c r="W33"/>
  <c r="W20"/>
  <c r="G12"/>
  <c r="Z101"/>
  <c r="Z100"/>
  <c r="Z99"/>
  <c r="Z98"/>
  <c r="Z97"/>
  <c r="Z96"/>
  <c r="Z95"/>
  <c r="Z94"/>
  <c r="Q682" i="17"/>
  <c r="R682" s="1"/>
  <c r="F682"/>
  <c r="M679"/>
  <c r="E44" i="24"/>
  <c r="N20" i="4"/>
  <c r="N39"/>
  <c r="E58" i="24"/>
  <c r="N22" i="4"/>
  <c r="E45" i="24"/>
  <c r="E53"/>
  <c r="N32" i="4"/>
  <c r="E43" i="24"/>
  <c r="N19" i="4"/>
  <c r="N50"/>
  <c r="E73" i="24"/>
  <c r="F73" s="1"/>
  <c r="E66"/>
  <c r="F66" s="1"/>
  <c r="N44" i="4"/>
  <c r="N15"/>
  <c r="E40" i="24"/>
  <c r="E51"/>
  <c r="N30" i="4"/>
  <c r="N24"/>
  <c r="E47" i="24"/>
  <c r="E59"/>
  <c r="F59" s="1"/>
  <c r="N40" i="4"/>
  <c r="E63" i="24"/>
  <c r="F63" s="1"/>
  <c r="N27" i="4"/>
  <c r="E50" i="24"/>
  <c r="F50" s="1"/>
  <c r="E65"/>
  <c r="N43" i="4"/>
  <c r="E49" i="24"/>
  <c r="N26" i="4"/>
  <c r="E61" i="24"/>
  <c r="F61" s="1"/>
  <c r="N42" i="4"/>
  <c r="E64" i="24"/>
  <c r="F64" s="1"/>
  <c r="E57"/>
  <c r="N38" i="4"/>
  <c r="AA102" i="18"/>
  <c r="Z102"/>
  <c r="W102"/>
  <c r="X102"/>
  <c r="W89"/>
  <c r="X89"/>
  <c r="AA89"/>
  <c r="S35"/>
  <c r="R36"/>
  <c r="X20"/>
  <c r="AA20" s="1"/>
  <c r="W21"/>
  <c r="X21" s="1"/>
  <c r="AA21" s="1"/>
  <c r="V21"/>
  <c r="Z21"/>
  <c r="U21"/>
  <c r="Y21"/>
  <c r="W34"/>
  <c r="X34" s="1"/>
  <c r="V34"/>
  <c r="Z34"/>
  <c r="U34"/>
  <c r="Y34"/>
  <c r="Z89"/>
  <c r="T118"/>
  <c r="O119"/>
  <c r="AB51"/>
  <c r="X33"/>
  <c r="AA33" s="1"/>
  <c r="S22"/>
  <c r="R23"/>
  <c r="Q683" i="17"/>
  <c r="R683" s="1"/>
  <c r="F683"/>
  <c r="S23" i="18"/>
  <c r="R24"/>
  <c r="V35"/>
  <c r="Z35"/>
  <c r="U35"/>
  <c r="Y35"/>
  <c r="W35"/>
  <c r="V22"/>
  <c r="Z22"/>
  <c r="U22"/>
  <c r="Y22"/>
  <c r="W22"/>
  <c r="X22" s="1"/>
  <c r="O120"/>
  <c r="O121" s="1"/>
  <c r="O122" s="1"/>
  <c r="O123" s="1"/>
  <c r="S36"/>
  <c r="Y36" s="1"/>
  <c r="R37"/>
  <c r="R38" s="1"/>
  <c r="F684" i="17"/>
  <c r="F685" s="1"/>
  <c r="X35" i="18"/>
  <c r="AA35" s="1"/>
  <c r="U23"/>
  <c r="Y23"/>
  <c r="W23"/>
  <c r="X23" s="1"/>
  <c r="V23"/>
  <c r="Z23"/>
  <c r="S24"/>
  <c r="Z24" s="1"/>
  <c r="R25"/>
  <c r="S25" s="1"/>
  <c r="U25" s="1"/>
  <c r="W24"/>
  <c r="X24" s="1"/>
  <c r="U24"/>
  <c r="Y24"/>
  <c r="W25"/>
  <c r="X25" s="1"/>
  <c r="P680" i="17"/>
  <c r="P681" s="1"/>
  <c r="P682" s="1"/>
  <c r="P683" s="1"/>
  <c r="P684" s="1"/>
  <c r="P685" s="1"/>
  <c r="P686" s="1"/>
  <c r="P687" s="1"/>
  <c r="P688" s="1"/>
  <c r="P689" s="1"/>
  <c r="T36"/>
  <c r="T37" s="1"/>
  <c r="F10"/>
  <c r="Q11" s="1"/>
  <c r="R11" s="1"/>
  <c r="Q61"/>
  <c r="S61" s="1"/>
  <c r="Q517"/>
  <c r="R517" s="1"/>
  <c r="F74"/>
  <c r="Q87"/>
  <c r="S87" s="1"/>
  <c r="Q113"/>
  <c r="R113" s="1"/>
  <c r="Q108"/>
  <c r="R108" s="1"/>
  <c r="T555"/>
  <c r="T556" s="1"/>
  <c r="T557" s="1"/>
  <c r="T558" s="1"/>
  <c r="T559" s="1"/>
  <c r="Q563"/>
  <c r="R563" s="1"/>
  <c r="M552"/>
  <c r="F596"/>
  <c r="F597" s="1"/>
  <c r="O594"/>
  <c r="O595" s="1"/>
  <c r="F665"/>
  <c r="F667" s="1"/>
  <c r="Q663"/>
  <c r="T663"/>
  <c r="M86"/>
  <c r="M99"/>
  <c r="Q10"/>
  <c r="R10" s="1"/>
  <c r="F77"/>
  <c r="Q78" s="1"/>
  <c r="R78" s="1"/>
  <c r="F545"/>
  <c r="Q545"/>
  <c r="R545" s="1"/>
  <c r="Q597"/>
  <c r="R597" s="1"/>
  <c r="T664"/>
  <c r="Q664"/>
  <c r="F669"/>
  <c r="M669" s="1"/>
  <c r="F670"/>
  <c r="F671" s="1"/>
  <c r="F672" s="1"/>
  <c r="F660" s="1"/>
  <c r="F659" s="1"/>
  <c r="F664"/>
  <c r="M662"/>
  <c r="T577"/>
  <c r="T597"/>
  <c r="T598" s="1"/>
  <c r="T599" s="1"/>
  <c r="T600" s="1"/>
  <c r="T601" s="1"/>
  <c r="T602" s="1"/>
  <c r="T568"/>
  <c r="T569" s="1"/>
  <c r="T564"/>
  <c r="Q557"/>
  <c r="R557" s="1"/>
  <c r="T519"/>
  <c r="T520" s="1"/>
  <c r="T521" s="1"/>
  <c r="T522" s="1"/>
  <c r="T158"/>
  <c r="T159" s="1"/>
  <c r="T160" s="1"/>
  <c r="T100"/>
  <c r="T101" s="1"/>
  <c r="T87"/>
  <c r="Q88" s="1"/>
  <c r="R88" s="1"/>
  <c r="T78"/>
  <c r="T79" s="1"/>
  <c r="T80" s="1"/>
  <c r="T81" s="1"/>
  <c r="T82" s="1"/>
  <c r="T83" s="1"/>
  <c r="T71" s="1"/>
  <c r="T63"/>
  <c r="T64" s="1"/>
  <c r="T48"/>
  <c r="T49" s="1"/>
  <c r="T22"/>
  <c r="T23" s="1"/>
  <c r="Q24" s="1"/>
  <c r="S24" s="1"/>
  <c r="F666"/>
  <c r="T613"/>
  <c r="T614" s="1"/>
  <c r="T615" s="1"/>
  <c r="W72"/>
  <c r="T153"/>
  <c r="F159"/>
  <c r="F158"/>
  <c r="F160"/>
  <c r="Q157"/>
  <c r="R157" s="1"/>
  <c r="F161"/>
  <c r="F157"/>
  <c r="Q158" s="1"/>
  <c r="R158" s="1"/>
  <c r="M8"/>
  <c r="Q596"/>
  <c r="R596" s="1"/>
  <c r="AB72"/>
  <c r="Y7"/>
  <c r="Z7" s="1"/>
  <c r="X7"/>
  <c r="X20"/>
  <c r="Y20"/>
  <c r="Z20" s="1"/>
  <c r="AB20"/>
  <c r="Q22"/>
  <c r="S22" s="1"/>
  <c r="W20"/>
  <c r="AA33"/>
  <c r="Y33"/>
  <c r="Z33" s="1"/>
  <c r="AA46"/>
  <c r="F51"/>
  <c r="X72"/>
  <c r="AA72"/>
  <c r="M93"/>
  <c r="M84" s="1"/>
  <c r="Q152"/>
  <c r="R152" s="1"/>
  <c r="F104"/>
  <c r="W527"/>
  <c r="X527"/>
  <c r="F517"/>
  <c r="M515"/>
  <c r="U541"/>
  <c r="Y541" s="1"/>
  <c r="Y514"/>
  <c r="Z514" s="1"/>
  <c r="X514"/>
  <c r="W514"/>
  <c r="AB514"/>
  <c r="AA514"/>
  <c r="F134"/>
  <c r="X150"/>
  <c r="W150"/>
  <c r="AB150"/>
  <c r="AA150"/>
  <c r="Y150"/>
  <c r="Z150" s="1"/>
  <c r="X124"/>
  <c r="W124"/>
  <c r="AB124"/>
  <c r="AA124"/>
  <c r="AB111"/>
  <c r="X98"/>
  <c r="W98"/>
  <c r="AB98"/>
  <c r="AA98"/>
  <c r="Y98"/>
  <c r="Z98" s="1"/>
  <c r="Y85"/>
  <c r="Z85" s="1"/>
  <c r="X85"/>
  <c r="AB85"/>
  <c r="AA85"/>
  <c r="W85"/>
  <c r="T113"/>
  <c r="T114" s="1"/>
  <c r="Y124"/>
  <c r="AA111"/>
  <c r="AB553"/>
  <c r="W553"/>
  <c r="X553"/>
  <c r="Y553"/>
  <c r="Z553" s="1"/>
  <c r="AB592"/>
  <c r="W592"/>
  <c r="AB566"/>
  <c r="W566"/>
  <c r="AB540"/>
  <c r="W540"/>
  <c r="X566"/>
  <c r="W541"/>
  <c r="Y592"/>
  <c r="Z592" s="1"/>
  <c r="Y566"/>
  <c r="Z566" s="1"/>
  <c r="X541"/>
  <c r="Y540"/>
  <c r="Z540" s="1"/>
  <c r="AA592"/>
  <c r="X579"/>
  <c r="AA540"/>
  <c r="AA605"/>
  <c r="AB605"/>
  <c r="W605"/>
  <c r="X605"/>
  <c r="AA655"/>
  <c r="W655"/>
  <c r="X654"/>
  <c r="AB652"/>
  <c r="W652"/>
  <c r="Y651"/>
  <c r="Z651" s="1"/>
  <c r="AA650"/>
  <c r="AB649"/>
  <c r="X649"/>
  <c r="Y648"/>
  <c r="Z648" s="1"/>
  <c r="AA647"/>
  <c r="W647"/>
  <c r="X646"/>
  <c r="AB644"/>
  <c r="W644"/>
  <c r="AB655"/>
  <c r="X655"/>
  <c r="Y654"/>
  <c r="Z654" s="1"/>
  <c r="AA653"/>
  <c r="W653"/>
  <c r="X652"/>
  <c r="AB650"/>
  <c r="W650"/>
  <c r="Y649"/>
  <c r="Z649" s="1"/>
  <c r="AA648"/>
  <c r="AB647"/>
  <c r="X647"/>
  <c r="Y646"/>
  <c r="Z646" s="1"/>
  <c r="AA645"/>
  <c r="W645"/>
  <c r="U643"/>
  <c r="AA654"/>
  <c r="AB653"/>
  <c r="X653"/>
  <c r="Y652"/>
  <c r="Z652" s="1"/>
  <c r="AA651"/>
  <c r="W651"/>
  <c r="X650"/>
  <c r="AB648"/>
  <c r="W648"/>
  <c r="AA646"/>
  <c r="AB645"/>
  <c r="X645"/>
  <c r="Y644"/>
  <c r="Z644" s="1"/>
  <c r="AB654"/>
  <c r="AB651"/>
  <c r="AA649"/>
  <c r="AB646"/>
  <c r="AB643" s="1"/>
  <c r="AA644"/>
  <c r="Y661"/>
  <c r="Z661" s="1"/>
  <c r="X661"/>
  <c r="AB661"/>
  <c r="Q671"/>
  <c r="R671" s="1"/>
  <c r="X678"/>
  <c r="AB678"/>
  <c r="U679"/>
  <c r="X679" s="1"/>
  <c r="W678"/>
  <c r="Q114"/>
  <c r="R114" s="1"/>
  <c r="Q546"/>
  <c r="R546" s="1"/>
  <c r="Q558"/>
  <c r="R558" s="1"/>
  <c r="Q154"/>
  <c r="R154" s="1"/>
  <c r="T154"/>
  <c r="T155" s="1"/>
  <c r="M158"/>
  <c r="M149" s="1"/>
  <c r="Q159"/>
  <c r="R159" s="1"/>
  <c r="F52"/>
  <c r="F55" s="1"/>
  <c r="Q135"/>
  <c r="S135" s="1"/>
  <c r="F135"/>
  <c r="F105"/>
  <c r="Q518"/>
  <c r="R518" s="1"/>
  <c r="F518"/>
  <c r="Q519" s="1"/>
  <c r="R519" s="1"/>
  <c r="T547"/>
  <c r="T560"/>
  <c r="I676"/>
  <c r="Y678"/>
  <c r="Z678" s="1"/>
  <c r="Y542"/>
  <c r="Z542" s="1"/>
  <c r="Q109"/>
  <c r="S109" s="1"/>
  <c r="R609"/>
  <c r="Q37"/>
  <c r="O683"/>
  <c r="AB691"/>
  <c r="W691"/>
  <c r="Y691"/>
  <c r="X691"/>
  <c r="AA691"/>
  <c r="F698"/>
  <c r="Q672"/>
  <c r="S672" s="1"/>
  <c r="T55"/>
  <c r="U608"/>
  <c r="AA608" s="1"/>
  <c r="T616"/>
  <c r="T604" s="1"/>
  <c r="Z605"/>
  <c r="AC605" s="1"/>
  <c r="AD605" s="1"/>
  <c r="Q49"/>
  <c r="S49" s="1"/>
  <c r="Q62"/>
  <c r="S62" s="1"/>
  <c r="F62"/>
  <c r="Q75"/>
  <c r="R75" s="1"/>
  <c r="O88"/>
  <c r="O89" s="1"/>
  <c r="O153"/>
  <c r="O154" s="1"/>
  <c r="O114"/>
  <c r="AC98"/>
  <c r="AD98" s="1"/>
  <c r="U151"/>
  <c r="AB151" s="1"/>
  <c r="O556"/>
  <c r="O557" s="1"/>
  <c r="U555"/>
  <c r="AA555" s="1"/>
  <c r="T603"/>
  <c r="T591" s="1"/>
  <c r="AA643"/>
  <c r="Z645"/>
  <c r="O582"/>
  <c r="Z541"/>
  <c r="F564"/>
  <c r="T120"/>
  <c r="T121" s="1"/>
  <c r="T122" s="1"/>
  <c r="W151"/>
  <c r="Z72"/>
  <c r="O62"/>
  <c r="T56"/>
  <c r="T57" s="1"/>
  <c r="Z46"/>
  <c r="O54"/>
  <c r="O57"/>
  <c r="O55"/>
  <c r="O56"/>
  <c r="O53"/>
  <c r="AB46"/>
  <c r="M47"/>
  <c r="X46"/>
  <c r="W46"/>
  <c r="F43"/>
  <c r="F44" s="1"/>
  <c r="M32"/>
  <c r="Q38"/>
  <c r="R38" s="1"/>
  <c r="T38"/>
  <c r="T24"/>
  <c r="T25" s="1"/>
  <c r="O25"/>
  <c r="O26" s="1"/>
  <c r="O27" s="1"/>
  <c r="O28" s="1"/>
  <c r="T11"/>
  <c r="T12" s="1"/>
  <c r="Z691"/>
  <c r="AC691" s="1"/>
  <c r="O684"/>
  <c r="O685" s="1"/>
  <c r="O686" s="1"/>
  <c r="O687" s="1"/>
  <c r="O688" s="1"/>
  <c r="F699"/>
  <c r="M699" s="1"/>
  <c r="AB608"/>
  <c r="O115"/>
  <c r="O116" s="1"/>
  <c r="W555"/>
  <c r="O583"/>
  <c r="O584" s="1"/>
  <c r="O585" s="1"/>
  <c r="O63"/>
  <c r="Q25"/>
  <c r="S25" s="1"/>
  <c r="F700"/>
  <c r="F701" s="1"/>
  <c r="F702" s="1"/>
  <c r="F690" s="1"/>
  <c r="O613"/>
  <c r="O614" s="1"/>
  <c r="O117"/>
  <c r="O118" s="1"/>
  <c r="O119" s="1"/>
  <c r="O120" s="1"/>
  <c r="O121" s="1"/>
  <c r="O122" s="1"/>
  <c r="N51" i="4"/>
  <c r="E74" i="24"/>
  <c r="T87" i="22"/>
  <c r="E32" i="1"/>
  <c r="E34"/>
  <c r="T93" i="22"/>
  <c r="N23" i="4"/>
  <c r="E46" i="24"/>
  <c r="E31" i="1"/>
  <c r="S84" i="22"/>
  <c r="G46"/>
  <c r="G45"/>
  <c r="N31" i="4"/>
  <c r="N29" s="1"/>
  <c r="N28" s="1"/>
  <c r="G46" i="8"/>
  <c r="G45" s="1"/>
  <c r="E29" i="1"/>
  <c r="AB33" i="17" l="1"/>
  <c r="X33"/>
  <c r="AC33" s="1"/>
  <c r="AD33" s="1"/>
  <c r="AC72"/>
  <c r="AD72" s="1"/>
  <c r="W215"/>
  <c r="F162"/>
  <c r="F686"/>
  <c r="K8" i="27"/>
  <c r="X215" i="17"/>
  <c r="Q334"/>
  <c r="R334" s="1"/>
  <c r="Q185"/>
  <c r="Q26"/>
  <c r="S26" s="1"/>
  <c r="T26"/>
  <c r="T27" s="1"/>
  <c r="O596"/>
  <c r="U595"/>
  <c r="Y151"/>
  <c r="Z151" s="1"/>
  <c r="W679"/>
  <c r="W228"/>
  <c r="AA151"/>
  <c r="P692"/>
  <c r="M690"/>
  <c r="AB176"/>
  <c r="U529"/>
  <c r="AB679"/>
  <c r="Q100"/>
  <c r="W176"/>
  <c r="AA189"/>
  <c r="Q363"/>
  <c r="AB475"/>
  <c r="M385"/>
  <c r="Y488"/>
  <c r="U504"/>
  <c r="Q155"/>
  <c r="R155" s="1"/>
  <c r="AA679"/>
  <c r="AC566"/>
  <c r="AD566" s="1"/>
  <c r="S173"/>
  <c r="S362"/>
  <c r="Q444"/>
  <c r="R444" s="1"/>
  <c r="W462"/>
  <c r="U662"/>
  <c r="AC661"/>
  <c r="F712"/>
  <c r="U99"/>
  <c r="AA99" s="1"/>
  <c r="S60"/>
  <c r="U60"/>
  <c r="M6"/>
  <c r="U86"/>
  <c r="AC46"/>
  <c r="AD46" s="1"/>
  <c r="S563"/>
  <c r="AB163"/>
  <c r="Y280"/>
  <c r="Z280" s="1"/>
  <c r="Y293"/>
  <c r="M307"/>
  <c r="M305" s="1"/>
  <c r="AB358"/>
  <c r="F360"/>
  <c r="U398"/>
  <c r="AB398" s="1"/>
  <c r="W488"/>
  <c r="S555"/>
  <c r="Y163"/>
  <c r="S255"/>
  <c r="F334"/>
  <c r="Y358"/>
  <c r="Z358" s="1"/>
  <c r="AA423"/>
  <c r="F438"/>
  <c r="AA462"/>
  <c r="W163"/>
  <c r="M164"/>
  <c r="M162" s="1"/>
  <c r="R184"/>
  <c r="M203"/>
  <c r="U229"/>
  <c r="W229" s="1"/>
  <c r="M359"/>
  <c r="U359" s="1"/>
  <c r="G33" i="22"/>
  <c r="M20" i="27"/>
  <c r="M23"/>
  <c r="M26"/>
  <c r="M24"/>
  <c r="K21"/>
  <c r="E11"/>
  <c r="F11" s="1"/>
  <c r="M15"/>
  <c r="M22"/>
  <c r="L29"/>
  <c r="M29" s="1"/>
  <c r="M38"/>
  <c r="F41"/>
  <c r="F32"/>
  <c r="E36"/>
  <c r="F36" s="1"/>
  <c r="M43"/>
  <c r="M45"/>
  <c r="M49"/>
  <c r="M59"/>
  <c r="M37"/>
  <c r="H17" i="19"/>
  <c r="L36" i="27"/>
  <c r="M36" s="1"/>
  <c r="L53"/>
  <c r="L58"/>
  <c r="M58" s="1"/>
  <c r="L66"/>
  <c r="E28" i="4"/>
  <c r="E18" i="24" s="1"/>
  <c r="F18" s="1"/>
  <c r="E15" i="19"/>
  <c r="C8" i="1"/>
  <c r="E10" i="27"/>
  <c r="F10" s="1"/>
  <c r="E14"/>
  <c r="M19"/>
  <c r="M27"/>
  <c r="AC7" i="17"/>
  <c r="AD7" s="1"/>
  <c r="U8"/>
  <c r="X8" s="1"/>
  <c r="U21"/>
  <c r="S21"/>
  <c r="R711"/>
  <c r="S712"/>
  <c r="T708"/>
  <c r="T707" s="1"/>
  <c r="T684"/>
  <c r="Q684"/>
  <c r="R684" s="1"/>
  <c r="U683"/>
  <c r="U682"/>
  <c r="AC678"/>
  <c r="Y679"/>
  <c r="Z679" s="1"/>
  <c r="U681"/>
  <c r="X662"/>
  <c r="W662"/>
  <c r="Y662"/>
  <c r="Z662" s="1"/>
  <c r="AA662"/>
  <c r="AB662"/>
  <c r="S662"/>
  <c r="M660"/>
  <c r="M659" s="1"/>
  <c r="S664"/>
  <c r="R672"/>
  <c r="S663"/>
  <c r="S671"/>
  <c r="R663"/>
  <c r="U663" s="1"/>
  <c r="R664"/>
  <c r="U664" s="1"/>
  <c r="AB618"/>
  <c r="AA618"/>
  <c r="X618"/>
  <c r="S607"/>
  <c r="K5"/>
  <c r="F17" i="6" s="1"/>
  <c r="G17" s="1"/>
  <c r="Q568" i="17"/>
  <c r="R568" s="1"/>
  <c r="Q564"/>
  <c r="S554"/>
  <c r="S558"/>
  <c r="S562"/>
  <c r="AC553"/>
  <c r="AD553" s="1"/>
  <c r="S557"/>
  <c r="Q161"/>
  <c r="R161" s="1"/>
  <c r="T161"/>
  <c r="R360"/>
  <c r="S360"/>
  <c r="S168"/>
  <c r="R168"/>
  <c r="U168" s="1"/>
  <c r="Q243"/>
  <c r="R243" s="1"/>
  <c r="AB254"/>
  <c r="Y319"/>
  <c r="Z319" s="1"/>
  <c r="Q412"/>
  <c r="R412" s="1"/>
  <c r="AB436"/>
  <c r="AA163"/>
  <c r="M171"/>
  <c r="W189"/>
  <c r="Q196"/>
  <c r="R196" s="1"/>
  <c r="Q204"/>
  <c r="R204" s="1"/>
  <c r="AB215"/>
  <c r="AA254"/>
  <c r="Q260"/>
  <c r="F260"/>
  <c r="F261" s="1"/>
  <c r="W280"/>
  <c r="X293"/>
  <c r="S294"/>
  <c r="Q316"/>
  <c r="R316" s="1"/>
  <c r="X319"/>
  <c r="Q351"/>
  <c r="R351" s="1"/>
  <c r="X423"/>
  <c r="AA436"/>
  <c r="F490"/>
  <c r="Q491" s="1"/>
  <c r="R491" s="1"/>
  <c r="X151"/>
  <c r="Q160"/>
  <c r="R160" s="1"/>
  <c r="S164"/>
  <c r="S171"/>
  <c r="Q192"/>
  <c r="R192" s="1"/>
  <c r="AA215"/>
  <c r="Q231"/>
  <c r="T243"/>
  <c r="T244" s="1"/>
  <c r="T245" s="1"/>
  <c r="T246" s="1"/>
  <c r="X254"/>
  <c r="M255"/>
  <c r="AA267"/>
  <c r="R268"/>
  <c r="W293"/>
  <c r="AB293"/>
  <c r="Q317"/>
  <c r="R317" s="1"/>
  <c r="W319"/>
  <c r="AB319"/>
  <c r="F363"/>
  <c r="U375"/>
  <c r="Q376"/>
  <c r="R376" s="1"/>
  <c r="Q386"/>
  <c r="R386" s="1"/>
  <c r="T412"/>
  <c r="T413" s="1"/>
  <c r="T414" s="1"/>
  <c r="T415" s="1"/>
  <c r="T416" s="1"/>
  <c r="W423"/>
  <c r="X436"/>
  <c r="Q467"/>
  <c r="R467" s="1"/>
  <c r="M476"/>
  <c r="AA488"/>
  <c r="U502"/>
  <c r="W502" s="1"/>
  <c r="Q503"/>
  <c r="R503" s="1"/>
  <c r="R165"/>
  <c r="X176"/>
  <c r="Q194"/>
  <c r="R194" s="1"/>
  <c r="Q195"/>
  <c r="R195" s="1"/>
  <c r="T204"/>
  <c r="T205" s="1"/>
  <c r="T206" s="1"/>
  <c r="T207" s="1"/>
  <c r="T217"/>
  <c r="T218" s="1"/>
  <c r="M242"/>
  <c r="R259"/>
  <c r="U259" s="1"/>
  <c r="W267"/>
  <c r="F347"/>
  <c r="Q348" s="1"/>
  <c r="R348" s="1"/>
  <c r="U399"/>
  <c r="AB399" s="1"/>
  <c r="M411"/>
  <c r="Q428"/>
  <c r="R428" s="1"/>
  <c r="X137"/>
  <c r="W137"/>
  <c r="U138"/>
  <c r="AB137"/>
  <c r="AA137"/>
  <c r="R135"/>
  <c r="R126"/>
  <c r="R134"/>
  <c r="R125"/>
  <c r="U125" s="1"/>
  <c r="Q120"/>
  <c r="R112"/>
  <c r="S114"/>
  <c r="S113"/>
  <c r="W99"/>
  <c r="Q102"/>
  <c r="T102"/>
  <c r="R100"/>
  <c r="S100"/>
  <c r="R109"/>
  <c r="S108"/>
  <c r="S99"/>
  <c r="W86"/>
  <c r="AB86"/>
  <c r="Y86"/>
  <c r="Z86" s="1"/>
  <c r="AA86"/>
  <c r="X86"/>
  <c r="S86"/>
  <c r="R87"/>
  <c r="S88"/>
  <c r="S96"/>
  <c r="S75"/>
  <c r="R73"/>
  <c r="U73" s="1"/>
  <c r="R77"/>
  <c r="U74"/>
  <c r="S74"/>
  <c r="S78"/>
  <c r="R76"/>
  <c r="AA60"/>
  <c r="Y60"/>
  <c r="Z60" s="1"/>
  <c r="R62"/>
  <c r="R61"/>
  <c r="U61" s="1"/>
  <c r="O41"/>
  <c r="O44"/>
  <c r="O43"/>
  <c r="O40"/>
  <c r="O42"/>
  <c r="R34"/>
  <c r="U34" s="1"/>
  <c r="R49"/>
  <c r="R47"/>
  <c r="U47" s="1"/>
  <c r="R37"/>
  <c r="U37" s="1"/>
  <c r="S38"/>
  <c r="S42"/>
  <c r="R40"/>
  <c r="S37"/>
  <c r="F29"/>
  <c r="F30" s="1"/>
  <c r="F31" s="1"/>
  <c r="F28"/>
  <c r="M28" s="1"/>
  <c r="R22"/>
  <c r="U22" s="1"/>
  <c r="R26"/>
  <c r="R25"/>
  <c r="R24"/>
  <c r="U24" s="1"/>
  <c r="Y24" s="1"/>
  <c r="Z24" s="1"/>
  <c r="Q13"/>
  <c r="T13"/>
  <c r="Q14" s="1"/>
  <c r="S10"/>
  <c r="S8"/>
  <c r="S11"/>
  <c r="R9"/>
  <c r="U10"/>
  <c r="K16" i="27"/>
  <c r="K7" s="1"/>
  <c r="E7" i="1"/>
  <c r="L25" i="27"/>
  <c r="M25" s="1"/>
  <c r="U8" i="26"/>
  <c r="W8"/>
  <c r="X8" s="1"/>
  <c r="Z8"/>
  <c r="Y8"/>
  <c r="S6"/>
  <c r="S5" s="1"/>
  <c r="L6"/>
  <c r="L5" s="1"/>
  <c r="E23" i="27"/>
  <c r="F23" s="1"/>
  <c r="K41"/>
  <c r="K33" s="1"/>
  <c r="E40"/>
  <c r="E8"/>
  <c r="E31"/>
  <c r="F75" i="24"/>
  <c r="F74"/>
  <c r="L29" i="4"/>
  <c r="L28" s="1"/>
  <c r="F43" i="24"/>
  <c r="F57"/>
  <c r="F58"/>
  <c r="F46"/>
  <c r="F47"/>
  <c r="F40"/>
  <c r="F45"/>
  <c r="K16" i="4"/>
  <c r="K41"/>
  <c r="F49" i="24"/>
  <c r="F51"/>
  <c r="F53"/>
  <c r="E20" i="4"/>
  <c r="L21"/>
  <c r="F52" i="24"/>
  <c r="K21" i="4"/>
  <c r="K29"/>
  <c r="K28" s="1"/>
  <c r="F65" i="24"/>
  <c r="F44"/>
  <c r="D19"/>
  <c r="F19" s="1"/>
  <c r="G9" i="4"/>
  <c r="G8" s="1"/>
  <c r="G7" s="1"/>
  <c r="E37"/>
  <c r="E36" s="1"/>
  <c r="E22" i="24" s="1"/>
  <c r="F22" s="1"/>
  <c r="D23"/>
  <c r="F23" s="1"/>
  <c r="D44" i="4"/>
  <c r="D43" s="1"/>
  <c r="F42" i="19"/>
  <c r="E46" i="27" s="1"/>
  <c r="F46" s="1"/>
  <c r="D33" i="24"/>
  <c r="K34" i="4"/>
  <c r="K8"/>
  <c r="E19" i="19"/>
  <c r="D19" i="27" s="1"/>
  <c r="H8" i="19"/>
  <c r="H7" s="1"/>
  <c r="E40" i="4"/>
  <c r="E39" s="1"/>
  <c r="H17" i="15" s="1"/>
  <c r="E17" i="24"/>
  <c r="F17" s="1"/>
  <c r="G41" i="4"/>
  <c r="G40" s="1"/>
  <c r="G39" s="1"/>
  <c r="G119" i="6"/>
  <c r="E25" i="24"/>
  <c r="F25" s="1"/>
  <c r="E16"/>
  <c r="F16" s="1"/>
  <c r="E14" i="4"/>
  <c r="E13" s="1"/>
  <c r="E9" i="24" s="1"/>
  <c r="F9" s="1"/>
  <c r="E27"/>
  <c r="F27" s="1"/>
  <c r="E24"/>
  <c r="F24" s="1"/>
  <c r="G22" i="9"/>
  <c r="G16" s="1"/>
  <c r="R32"/>
  <c r="G32" s="1"/>
  <c r="G31" s="1"/>
  <c r="AA7" i="26"/>
  <c r="Z20"/>
  <c r="W33"/>
  <c r="X33" s="1"/>
  <c r="AB51"/>
  <c r="AB52"/>
  <c r="Z50"/>
  <c r="AB61"/>
  <c r="W108"/>
  <c r="W109"/>
  <c r="W110"/>
  <c r="W111"/>
  <c r="W112"/>
  <c r="W113"/>
  <c r="W114"/>
  <c r="AA11"/>
  <c r="W50"/>
  <c r="AA50"/>
  <c r="AB55"/>
  <c r="AB53"/>
  <c r="AB59"/>
  <c r="AB60"/>
  <c r="AA108"/>
  <c r="AA109"/>
  <c r="AA110"/>
  <c r="AA111"/>
  <c r="AA112"/>
  <c r="AA113"/>
  <c r="AA114"/>
  <c r="AA10"/>
  <c r="Z33"/>
  <c r="Y50"/>
  <c r="AB57"/>
  <c r="T89"/>
  <c r="X108"/>
  <c r="X109"/>
  <c r="Y109" s="1"/>
  <c r="X110"/>
  <c r="Y110" s="1"/>
  <c r="X111"/>
  <c r="Y111" s="1"/>
  <c r="X112"/>
  <c r="Y112" s="1"/>
  <c r="X113"/>
  <c r="Y113" s="1"/>
  <c r="X114"/>
  <c r="Y114" s="1"/>
  <c r="K14"/>
  <c r="K15" s="1"/>
  <c r="K16" s="1"/>
  <c r="K17" s="1"/>
  <c r="K18" s="1"/>
  <c r="K6"/>
  <c r="K5" s="1"/>
  <c r="L15"/>
  <c r="L16" s="1"/>
  <c r="L17" s="1"/>
  <c r="L18" s="1"/>
  <c r="R14"/>
  <c r="R15" s="1"/>
  <c r="R16" s="1"/>
  <c r="R17" s="1"/>
  <c r="R18" s="1"/>
  <c r="R36"/>
  <c r="S35"/>
  <c r="Z89"/>
  <c r="R23"/>
  <c r="S22"/>
  <c r="N15"/>
  <c r="N16"/>
  <c r="N17"/>
  <c r="N14"/>
  <c r="N18"/>
  <c r="O13"/>
  <c r="AB54"/>
  <c r="AB58"/>
  <c r="AB50" s="1"/>
  <c r="AB62"/>
  <c r="S12"/>
  <c r="F13"/>
  <c r="X94"/>
  <c r="X95"/>
  <c r="Y95" s="1"/>
  <c r="X96"/>
  <c r="Y96" s="1"/>
  <c r="X97"/>
  <c r="Y97" s="1"/>
  <c r="X98"/>
  <c r="Y98" s="1"/>
  <c r="X99"/>
  <c r="Y99" s="1"/>
  <c r="X100"/>
  <c r="Y100" s="1"/>
  <c r="X101"/>
  <c r="Y101" s="1"/>
  <c r="U20"/>
  <c r="S21"/>
  <c r="U33"/>
  <c r="S34"/>
  <c r="V50"/>
  <c r="W94"/>
  <c r="AA94"/>
  <c r="W95"/>
  <c r="AA95"/>
  <c r="W96"/>
  <c r="AA96"/>
  <c r="W97"/>
  <c r="AA97"/>
  <c r="W98"/>
  <c r="AA98"/>
  <c r="W99"/>
  <c r="AA99"/>
  <c r="W100"/>
  <c r="AA100"/>
  <c r="W101"/>
  <c r="AA101"/>
  <c r="V108"/>
  <c r="V109"/>
  <c r="V110"/>
  <c r="AB110" s="1"/>
  <c r="V111"/>
  <c r="AB111" s="1"/>
  <c r="V112"/>
  <c r="V113"/>
  <c r="V114"/>
  <c r="AB114" s="1"/>
  <c r="V94"/>
  <c r="V95"/>
  <c r="V96"/>
  <c r="V97"/>
  <c r="V98"/>
  <c r="V99"/>
  <c r="V100"/>
  <c r="V101"/>
  <c r="R39" i="18"/>
  <c r="S38"/>
  <c r="AB62"/>
  <c r="V24"/>
  <c r="S37"/>
  <c r="R26"/>
  <c r="S26" s="1"/>
  <c r="Y26" s="1"/>
  <c r="W36"/>
  <c r="X36" s="1"/>
  <c r="R40"/>
  <c r="S39"/>
  <c r="AA34"/>
  <c r="AB60"/>
  <c r="Y38"/>
  <c r="W38"/>
  <c r="X38" s="1"/>
  <c r="AB98"/>
  <c r="AA23"/>
  <c r="AA22"/>
  <c r="AB54"/>
  <c r="F13"/>
  <c r="AB100"/>
  <c r="AB96"/>
  <c r="AB55"/>
  <c r="U671" i="17"/>
  <c r="O672"/>
  <c r="U672" s="1"/>
  <c r="R177"/>
  <c r="U177" s="1"/>
  <c r="AA176"/>
  <c r="Y710"/>
  <c r="AA710"/>
  <c r="W710"/>
  <c r="AB710"/>
  <c r="X710"/>
  <c r="O711"/>
  <c r="U711" s="1"/>
  <c r="Q713"/>
  <c r="F713"/>
  <c r="O689"/>
  <c r="O677" s="1"/>
  <c r="O676" s="1"/>
  <c r="AA683"/>
  <c r="AB683"/>
  <c r="Y683"/>
  <c r="Z683" s="1"/>
  <c r="X683"/>
  <c r="W683"/>
  <c r="W681"/>
  <c r="X681"/>
  <c r="Y681"/>
  <c r="Z681" s="1"/>
  <c r="AA681"/>
  <c r="AB681"/>
  <c r="AB682"/>
  <c r="W682"/>
  <c r="AA682"/>
  <c r="Y682"/>
  <c r="Z682" s="1"/>
  <c r="X682"/>
  <c r="X680"/>
  <c r="Y680"/>
  <c r="AA680"/>
  <c r="W680"/>
  <c r="AB680"/>
  <c r="K676"/>
  <c r="N676"/>
  <c r="Z653"/>
  <c r="Z643" s="1"/>
  <c r="Y643"/>
  <c r="X643"/>
  <c r="S621"/>
  <c r="AA607"/>
  <c r="W608"/>
  <c r="X608"/>
  <c r="S609"/>
  <c r="Y608"/>
  <c r="Z608" s="1"/>
  <c r="S608"/>
  <c r="T626"/>
  <c r="T627" s="1"/>
  <c r="T628" s="1"/>
  <c r="T629" s="1"/>
  <c r="AA619"/>
  <c r="W619"/>
  <c r="AB619"/>
  <c r="X619"/>
  <c r="Y619"/>
  <c r="Z619" s="1"/>
  <c r="R622"/>
  <c r="S622"/>
  <c r="AA620"/>
  <c r="W620"/>
  <c r="AB620"/>
  <c r="X620"/>
  <c r="Y620"/>
  <c r="Z620" s="1"/>
  <c r="O617"/>
  <c r="Y618"/>
  <c r="S620"/>
  <c r="U621"/>
  <c r="U633"/>
  <c r="F634"/>
  <c r="Z631"/>
  <c r="X631"/>
  <c r="AB631"/>
  <c r="U632"/>
  <c r="W631"/>
  <c r="AA631"/>
  <c r="Y529"/>
  <c r="Z529" s="1"/>
  <c r="AA529"/>
  <c r="W529"/>
  <c r="AB529"/>
  <c r="X529"/>
  <c r="T533"/>
  <c r="T534" s="1"/>
  <c r="T535" s="1"/>
  <c r="T536" s="1"/>
  <c r="T537" s="1"/>
  <c r="T538" s="1"/>
  <c r="O530"/>
  <c r="F531"/>
  <c r="F519"/>
  <c r="Q520" s="1"/>
  <c r="R520" s="1"/>
  <c r="T468"/>
  <c r="T469" s="1"/>
  <c r="T470" s="1"/>
  <c r="T471" s="1"/>
  <c r="T472" s="1"/>
  <c r="T473" s="1"/>
  <c r="T481"/>
  <c r="Q497"/>
  <c r="R497" s="1"/>
  <c r="T497"/>
  <c r="T498" s="1"/>
  <c r="T499" s="1"/>
  <c r="O491"/>
  <c r="O492" s="1"/>
  <c r="O493" s="1"/>
  <c r="O494" s="1"/>
  <c r="O495" s="1"/>
  <c r="O496" s="1"/>
  <c r="O497" s="1"/>
  <c r="O498" s="1"/>
  <c r="O499" s="1"/>
  <c r="AB504"/>
  <c r="X504"/>
  <c r="Y504"/>
  <c r="Z504" s="1"/>
  <c r="AA504"/>
  <c r="W504"/>
  <c r="O465"/>
  <c r="O478"/>
  <c r="O479" s="1"/>
  <c r="O480" s="1"/>
  <c r="O481" s="1"/>
  <c r="F499"/>
  <c r="Q465"/>
  <c r="R465" s="1"/>
  <c r="M483"/>
  <c r="F484"/>
  <c r="AB502"/>
  <c r="U503"/>
  <c r="X462"/>
  <c r="AB462"/>
  <c r="M463"/>
  <c r="F467"/>
  <c r="Y475"/>
  <c r="F477"/>
  <c r="Z488"/>
  <c r="F491"/>
  <c r="W501"/>
  <c r="AA501"/>
  <c r="F505"/>
  <c r="T506"/>
  <c r="T507" s="1"/>
  <c r="T508" s="1"/>
  <c r="T509" s="1"/>
  <c r="T510" s="1"/>
  <c r="T511" s="1"/>
  <c r="T512" s="1"/>
  <c r="Q464"/>
  <c r="R464" s="1"/>
  <c r="U476"/>
  <c r="U490"/>
  <c r="W475"/>
  <c r="AA475"/>
  <c r="X488"/>
  <c r="M489"/>
  <c r="M487" s="1"/>
  <c r="Y501"/>
  <c r="X501"/>
  <c r="T219"/>
  <c r="T220" s="1"/>
  <c r="T221" s="1"/>
  <c r="T222" s="1"/>
  <c r="T223" s="1"/>
  <c r="T224" s="1"/>
  <c r="T225" s="1"/>
  <c r="T226" s="1"/>
  <c r="U203"/>
  <c r="U216"/>
  <c r="O171"/>
  <c r="O172" s="1"/>
  <c r="Q206"/>
  <c r="R206" s="1"/>
  <c r="F206"/>
  <c r="Q219"/>
  <c r="R219" s="1"/>
  <c r="F219"/>
  <c r="Q197"/>
  <c r="R197" s="1"/>
  <c r="U165"/>
  <c r="O166"/>
  <c r="R166"/>
  <c r="S166"/>
  <c r="R170"/>
  <c r="U170" s="1"/>
  <c r="S170"/>
  <c r="R174"/>
  <c r="S174"/>
  <c r="O179"/>
  <c r="R167"/>
  <c r="U167" s="1"/>
  <c r="S167"/>
  <c r="R172"/>
  <c r="S172"/>
  <c r="R185"/>
  <c r="S185"/>
  <c r="Z189"/>
  <c r="Q198"/>
  <c r="R198" s="1"/>
  <c r="T198"/>
  <c r="T199" s="1"/>
  <c r="T200" s="1"/>
  <c r="Q211"/>
  <c r="R211" s="1"/>
  <c r="M210"/>
  <c r="M201" s="1"/>
  <c r="F211"/>
  <c r="O235"/>
  <c r="O236" s="1"/>
  <c r="O237" s="1"/>
  <c r="O238" s="1"/>
  <c r="O239" s="1"/>
  <c r="Q245"/>
  <c r="R245" s="1"/>
  <c r="F245"/>
  <c r="F257"/>
  <c r="Q257"/>
  <c r="Y259"/>
  <c r="Z259" s="1"/>
  <c r="AA259"/>
  <c r="W259"/>
  <c r="AB259"/>
  <c r="X259"/>
  <c r="U315"/>
  <c r="O316"/>
  <c r="O317" s="1"/>
  <c r="Z163"/>
  <c r="AC163" s="1"/>
  <c r="Q169"/>
  <c r="U171"/>
  <c r="Z176"/>
  <c r="AC176" s="1"/>
  <c r="AD176" s="1"/>
  <c r="M184"/>
  <c r="M175" s="1"/>
  <c r="F188"/>
  <c r="X189"/>
  <c r="AB189"/>
  <c r="M190"/>
  <c r="M188" s="1"/>
  <c r="Q191"/>
  <c r="R191" s="1"/>
  <c r="U191" s="1"/>
  <c r="O192"/>
  <c r="W202"/>
  <c r="AA202"/>
  <c r="O204"/>
  <c r="Q210"/>
  <c r="R210" s="1"/>
  <c r="Z215"/>
  <c r="AC215" s="1"/>
  <c r="O217"/>
  <c r="U217" s="1"/>
  <c r="T227"/>
  <c r="U287"/>
  <c r="Q290"/>
  <c r="R290" s="1"/>
  <c r="AB229"/>
  <c r="X229"/>
  <c r="Z267"/>
  <c r="O270"/>
  <c r="O271" s="1"/>
  <c r="O272" s="1"/>
  <c r="O296"/>
  <c r="O297" s="1"/>
  <c r="O298" s="1"/>
  <c r="O292" s="1"/>
  <c r="T297"/>
  <c r="T298" s="1"/>
  <c r="T299" s="1"/>
  <c r="T300" s="1"/>
  <c r="T301" s="1"/>
  <c r="T302" s="1"/>
  <c r="T303" s="1"/>
  <c r="F310"/>
  <c r="U164"/>
  <c r="Q178"/>
  <c r="F185"/>
  <c r="Q205"/>
  <c r="R205" s="1"/>
  <c r="Q218"/>
  <c r="R218" s="1"/>
  <c r="AA229"/>
  <c r="F231"/>
  <c r="R260"/>
  <c r="U260" s="1"/>
  <c r="S260"/>
  <c r="Q262"/>
  <c r="F262"/>
  <c r="R269"/>
  <c r="S269"/>
  <c r="R295"/>
  <c r="S295"/>
  <c r="T309"/>
  <c r="T310" s="1"/>
  <c r="T311" s="1"/>
  <c r="T312" s="1"/>
  <c r="T313" s="1"/>
  <c r="T178"/>
  <c r="U184"/>
  <c r="Y202"/>
  <c r="AB228"/>
  <c r="X228"/>
  <c r="T247"/>
  <c r="T248" s="1"/>
  <c r="T249" s="1"/>
  <c r="T250" s="1"/>
  <c r="T251" s="1"/>
  <c r="T252" s="1"/>
  <c r="Q247"/>
  <c r="R247" s="1"/>
  <c r="T257"/>
  <c r="T253" s="1"/>
  <c r="F283"/>
  <c r="T201"/>
  <c r="X202"/>
  <c r="AA228"/>
  <c r="Y229"/>
  <c r="Z229" s="1"/>
  <c r="U230"/>
  <c r="U242"/>
  <c r="R363"/>
  <c r="U363" s="1"/>
  <c r="S363"/>
  <c r="W241"/>
  <c r="AA241"/>
  <c r="O243"/>
  <c r="F248"/>
  <c r="Y254"/>
  <c r="U255"/>
  <c r="T266"/>
  <c r="X267"/>
  <c r="AB267"/>
  <c r="M268"/>
  <c r="U268" s="1"/>
  <c r="X280"/>
  <c r="AB280"/>
  <c r="M281"/>
  <c r="U281" s="1"/>
  <c r="T282"/>
  <c r="T283" s="1"/>
  <c r="T284" s="1"/>
  <c r="T285" s="1"/>
  <c r="Q289"/>
  <c r="R289" s="1"/>
  <c r="U289" s="1"/>
  <c r="F290"/>
  <c r="Z293"/>
  <c r="AC293" s="1"/>
  <c r="AD293" s="1"/>
  <c r="F295"/>
  <c r="O305"/>
  <c r="U321"/>
  <c r="AA306"/>
  <c r="W306"/>
  <c r="T324"/>
  <c r="T325" s="1"/>
  <c r="T326" s="1"/>
  <c r="T327" s="1"/>
  <c r="T328" s="1"/>
  <c r="T329" s="1"/>
  <c r="T330" s="1"/>
  <c r="Z345"/>
  <c r="Q244"/>
  <c r="R244" s="1"/>
  <c r="F269"/>
  <c r="Q288"/>
  <c r="R288" s="1"/>
  <c r="AB306"/>
  <c r="U307"/>
  <c r="Q308"/>
  <c r="R308" s="1"/>
  <c r="U308" s="1"/>
  <c r="T365"/>
  <c r="T366" s="1"/>
  <c r="T367" s="1"/>
  <c r="T368" s="1"/>
  <c r="T369" s="1"/>
  <c r="Y241"/>
  <c r="Q256"/>
  <c r="Q261"/>
  <c r="Q282"/>
  <c r="R282" s="1"/>
  <c r="M288"/>
  <c r="M294"/>
  <c r="Q309"/>
  <c r="R309" s="1"/>
  <c r="U320"/>
  <c r="Z332"/>
  <c r="O348"/>
  <c r="O349" s="1"/>
  <c r="AB375"/>
  <c r="X375"/>
  <c r="Y375"/>
  <c r="Z375" s="1"/>
  <c r="AA375"/>
  <c r="W375"/>
  <c r="X241"/>
  <c r="W255"/>
  <c r="Y306"/>
  <c r="AC319"/>
  <c r="U334"/>
  <c r="U360"/>
  <c r="AB384"/>
  <c r="X384"/>
  <c r="AA384"/>
  <c r="W384"/>
  <c r="Q414"/>
  <c r="R414" s="1"/>
  <c r="F414"/>
  <c r="T445"/>
  <c r="T446" s="1"/>
  <c r="T447" s="1"/>
  <c r="F317"/>
  <c r="U317" s="1"/>
  <c r="T331"/>
  <c r="X332"/>
  <c r="AB332"/>
  <c r="M333"/>
  <c r="T344"/>
  <c r="X345"/>
  <c r="AB345"/>
  <c r="M346"/>
  <c r="F348"/>
  <c r="F351"/>
  <c r="W358"/>
  <c r="AA358"/>
  <c r="S359"/>
  <c r="U362"/>
  <c r="Q364"/>
  <c r="T370"/>
  <c r="X371"/>
  <c r="AB371"/>
  <c r="M372"/>
  <c r="U372" s="1"/>
  <c r="F373"/>
  <c r="F376"/>
  <c r="U437"/>
  <c r="U442"/>
  <c r="F390"/>
  <c r="F420"/>
  <c r="U451"/>
  <c r="O452"/>
  <c r="O453" s="1"/>
  <c r="O454" s="1"/>
  <c r="O455" s="1"/>
  <c r="O456" s="1"/>
  <c r="O457" s="1"/>
  <c r="O458" s="1"/>
  <c r="O459" s="1"/>
  <c r="O460" s="1"/>
  <c r="U316"/>
  <c r="Q322"/>
  <c r="R322" s="1"/>
  <c r="W332"/>
  <c r="AA332"/>
  <c r="Q335"/>
  <c r="R335" s="1"/>
  <c r="W345"/>
  <c r="AA345"/>
  <c r="U347"/>
  <c r="Q361"/>
  <c r="F364"/>
  <c r="W371"/>
  <c r="AA371"/>
  <c r="O426"/>
  <c r="O427" s="1"/>
  <c r="O428" s="1"/>
  <c r="O429" s="1"/>
  <c r="O430" s="1"/>
  <c r="O431" s="1"/>
  <c r="O432" s="1"/>
  <c r="O433" s="1"/>
  <c r="O434" s="1"/>
  <c r="U425"/>
  <c r="F322"/>
  <c r="F335"/>
  <c r="Q387"/>
  <c r="R387" s="1"/>
  <c r="U386"/>
  <c r="Q417"/>
  <c r="R417" s="1"/>
  <c r="T417"/>
  <c r="T429"/>
  <c r="T430" s="1"/>
  <c r="T431" s="1"/>
  <c r="T432" s="1"/>
  <c r="T433" s="1"/>
  <c r="T434" s="1"/>
  <c r="U411"/>
  <c r="U385"/>
  <c r="U388"/>
  <c r="T389"/>
  <c r="T390" s="1"/>
  <c r="T391" s="1"/>
  <c r="T392" s="1"/>
  <c r="T393" s="1"/>
  <c r="T394" s="1"/>
  <c r="T395" s="1"/>
  <c r="W397"/>
  <c r="AA397"/>
  <c r="W398"/>
  <c r="AA398"/>
  <c r="W399"/>
  <c r="AA399"/>
  <c r="F400"/>
  <c r="T402"/>
  <c r="T403" s="1"/>
  <c r="T404" s="1"/>
  <c r="T405" s="1"/>
  <c r="T406" s="1"/>
  <c r="T407" s="1"/>
  <c r="T408" s="1"/>
  <c r="W410"/>
  <c r="AA410"/>
  <c r="O412"/>
  <c r="U412" s="1"/>
  <c r="Y423"/>
  <c r="Q427"/>
  <c r="R427" s="1"/>
  <c r="F428"/>
  <c r="Y436"/>
  <c r="Q438"/>
  <c r="R438" s="1"/>
  <c r="U438" s="1"/>
  <c r="Q439"/>
  <c r="R439" s="1"/>
  <c r="Q443"/>
  <c r="R443" s="1"/>
  <c r="U443" s="1"/>
  <c r="F444"/>
  <c r="W449"/>
  <c r="AA449"/>
  <c r="F453"/>
  <c r="T453"/>
  <c r="T454" s="1"/>
  <c r="T455" s="1"/>
  <c r="T456" s="1"/>
  <c r="T457" s="1"/>
  <c r="T458" s="1"/>
  <c r="T459" s="1"/>
  <c r="T460" s="1"/>
  <c r="Q413"/>
  <c r="R413" s="1"/>
  <c r="M418"/>
  <c r="M409" s="1"/>
  <c r="M424"/>
  <c r="U424" s="1"/>
  <c r="F439"/>
  <c r="Q389"/>
  <c r="R389" s="1"/>
  <c r="U389" s="1"/>
  <c r="Y397"/>
  <c r="Y398"/>
  <c r="Z398" s="1"/>
  <c r="Y399"/>
  <c r="Z399" s="1"/>
  <c r="Y410"/>
  <c r="Y449"/>
  <c r="Q453"/>
  <c r="R453" s="1"/>
  <c r="X397"/>
  <c r="X398"/>
  <c r="X399"/>
  <c r="X410"/>
  <c r="X449"/>
  <c r="M450"/>
  <c r="U450" s="1"/>
  <c r="Q140"/>
  <c r="R140" s="1"/>
  <c r="T140"/>
  <c r="T141" s="1"/>
  <c r="F147"/>
  <c r="F144"/>
  <c r="F148"/>
  <c r="F146"/>
  <c r="F145"/>
  <c r="Q144"/>
  <c r="R144" s="1"/>
  <c r="AA138"/>
  <c r="AB138"/>
  <c r="X138"/>
  <c r="Y138"/>
  <c r="Z138" s="1"/>
  <c r="Z137"/>
  <c r="AC137" s="1"/>
  <c r="O142"/>
  <c r="Q139"/>
  <c r="R139" s="1"/>
  <c r="W138"/>
  <c r="U114"/>
  <c r="W114" s="1"/>
  <c r="U49"/>
  <c r="X554"/>
  <c r="W554"/>
  <c r="AA554"/>
  <c r="AB554"/>
  <c r="Y554"/>
  <c r="Z554" s="1"/>
  <c r="W643"/>
  <c r="Q28"/>
  <c r="T28"/>
  <c r="O32"/>
  <c r="AC20"/>
  <c r="AD20" s="1"/>
  <c r="Q56"/>
  <c r="U606"/>
  <c r="T14"/>
  <c r="O45"/>
  <c r="AC151"/>
  <c r="AD151" s="1"/>
  <c r="U62"/>
  <c r="AB62" s="1"/>
  <c r="F520"/>
  <c r="F521" s="1"/>
  <c r="U9"/>
  <c r="Q48"/>
  <c r="Q12"/>
  <c r="U11"/>
  <c r="O29"/>
  <c r="O30" s="1"/>
  <c r="O31" s="1"/>
  <c r="Y21"/>
  <c r="Z21" s="1"/>
  <c r="AB21"/>
  <c r="AA21"/>
  <c r="W21"/>
  <c r="X21"/>
  <c r="U25"/>
  <c r="F32"/>
  <c r="Q39"/>
  <c r="U40"/>
  <c r="Q36"/>
  <c r="G5"/>
  <c r="F11" i="6" s="1"/>
  <c r="Q35" i="17"/>
  <c r="U38"/>
  <c r="Q41"/>
  <c r="AA62"/>
  <c r="X62"/>
  <c r="O64"/>
  <c r="O65" s="1"/>
  <c r="O66" s="1"/>
  <c r="O67" s="1"/>
  <c r="O68" s="1"/>
  <c r="O69" s="1"/>
  <c r="O70" s="1"/>
  <c r="AB60"/>
  <c r="Q63"/>
  <c r="W60"/>
  <c r="X60"/>
  <c r="F63"/>
  <c r="O76"/>
  <c r="F78"/>
  <c r="U87"/>
  <c r="AC85"/>
  <c r="AD85" s="1"/>
  <c r="AC86"/>
  <c r="AD86" s="1"/>
  <c r="F84"/>
  <c r="T523"/>
  <c r="Y114"/>
  <c r="Z114" s="1"/>
  <c r="AB114"/>
  <c r="O517"/>
  <c r="U516"/>
  <c r="U154"/>
  <c r="O155"/>
  <c r="O110"/>
  <c r="AB541"/>
  <c r="J5"/>
  <c r="F14" i="6" s="1"/>
  <c r="G14" s="1"/>
  <c r="M123" i="17"/>
  <c r="L5"/>
  <c r="F18" i="6" s="1"/>
  <c r="G18" s="1"/>
  <c r="AC514" i="17"/>
  <c r="AD514" s="1"/>
  <c r="AC540"/>
  <c r="AD540" s="1"/>
  <c r="AC150"/>
  <c r="AD150" s="1"/>
  <c r="F21" i="6"/>
  <c r="G21" s="1"/>
  <c r="O558" i="17"/>
  <c r="O559" s="1"/>
  <c r="U557"/>
  <c r="T552"/>
  <c r="Y555"/>
  <c r="Z555" s="1"/>
  <c r="O597"/>
  <c r="U596"/>
  <c r="AB596" s="1"/>
  <c r="O586"/>
  <c r="O587" s="1"/>
  <c r="O588" s="1"/>
  <c r="O589" s="1"/>
  <c r="O590" s="1"/>
  <c r="O578"/>
  <c r="Y595"/>
  <c r="Z595" s="1"/>
  <c r="AB555"/>
  <c r="F576"/>
  <c r="Q594"/>
  <c r="R594" s="1"/>
  <c r="U594" s="1"/>
  <c r="Y594" s="1"/>
  <c r="AA595"/>
  <c r="X555"/>
  <c r="AA541"/>
  <c r="U593"/>
  <c r="X593" s="1"/>
  <c r="AC592"/>
  <c r="AD592" s="1"/>
  <c r="Q569"/>
  <c r="R569" s="1"/>
  <c r="X607"/>
  <c r="AB607"/>
  <c r="Y607"/>
  <c r="Z607" s="1"/>
  <c r="Z124"/>
  <c r="AC124" s="1"/>
  <c r="AD124" s="1"/>
  <c r="U609"/>
  <c r="Q23"/>
  <c r="U567"/>
  <c r="O568"/>
  <c r="Y579"/>
  <c r="Z579" s="1"/>
  <c r="AA579"/>
  <c r="AB579"/>
  <c r="Y527"/>
  <c r="Z527" s="1"/>
  <c r="AA527"/>
  <c r="AB527"/>
  <c r="X111"/>
  <c r="Y111"/>
  <c r="W111"/>
  <c r="W59"/>
  <c r="Y59"/>
  <c r="Z59" s="1"/>
  <c r="AA59"/>
  <c r="X59"/>
  <c r="AB59"/>
  <c r="N5"/>
  <c r="I5"/>
  <c r="F13" i="6" s="1"/>
  <c r="G13" s="1"/>
  <c r="Q115" i="17"/>
  <c r="T115"/>
  <c r="U515"/>
  <c r="U544"/>
  <c r="T127"/>
  <c r="U126"/>
  <c r="X126" s="1"/>
  <c r="Q127"/>
  <c r="Q559"/>
  <c r="F559"/>
  <c r="U26"/>
  <c r="W26" s="1"/>
  <c r="Q556"/>
  <c r="U113"/>
  <c r="H5"/>
  <c r="F12" i="6" s="1"/>
  <c r="O128" i="17"/>
  <c r="Q156"/>
  <c r="R156" s="1"/>
  <c r="T149"/>
  <c r="T548"/>
  <c r="T549" s="1"/>
  <c r="T550" s="1"/>
  <c r="T551" s="1"/>
  <c r="M528"/>
  <c r="Q153"/>
  <c r="R153" s="1"/>
  <c r="U153" s="1"/>
  <c r="F149"/>
  <c r="U152"/>
  <c r="F130"/>
  <c r="M112"/>
  <c r="M110" s="1"/>
  <c r="Q581"/>
  <c r="R581" s="1"/>
  <c r="M580"/>
  <c r="U580" s="1"/>
  <c r="F581"/>
  <c r="W542"/>
  <c r="AB542"/>
  <c r="X542"/>
  <c r="AA542"/>
  <c r="AB606"/>
  <c r="Y606"/>
  <c r="Z606" s="1"/>
  <c r="Q53"/>
  <c r="F53"/>
  <c r="Q54" s="1"/>
  <c r="F56"/>
  <c r="Q57" s="1"/>
  <c r="F57"/>
  <c r="F120"/>
  <c r="F118"/>
  <c r="Q118"/>
  <c r="F121"/>
  <c r="F122"/>
  <c r="Q101"/>
  <c r="F97"/>
  <c r="U100"/>
  <c r="U75"/>
  <c r="W75" s="1"/>
  <c r="M97"/>
  <c r="U543"/>
  <c r="Q79"/>
  <c r="M19"/>
  <c r="G22" i="4"/>
  <c r="G21" s="1"/>
  <c r="F73" i="22"/>
  <c r="F50" s="1"/>
  <c r="G50" s="1"/>
  <c r="G12" i="8"/>
  <c r="L49" i="4"/>
  <c r="E33" i="1"/>
  <c r="G90" i="22"/>
  <c r="T90"/>
  <c r="T6" s="1"/>
  <c r="E30" i="1"/>
  <c r="G73" i="22"/>
  <c r="G62"/>
  <c r="G61" i="8"/>
  <c r="U42" i="6"/>
  <c r="T8"/>
  <c r="M40" i="4"/>
  <c r="H36" i="19"/>
  <c r="H35" s="1"/>
  <c r="G24" i="4"/>
  <c r="G23" s="1"/>
  <c r="H24" i="15"/>
  <c r="E23" i="4"/>
  <c r="O615" i="17"/>
  <c r="U558"/>
  <c r="O90"/>
  <c r="O103"/>
  <c r="Y75"/>
  <c r="Y49"/>
  <c r="Z49" s="1"/>
  <c r="AB49"/>
  <c r="AA49"/>
  <c r="W49"/>
  <c r="X49"/>
  <c r="F547"/>
  <c r="Q547"/>
  <c r="R547" s="1"/>
  <c r="X606"/>
  <c r="T58"/>
  <c r="Q598"/>
  <c r="R598" s="1"/>
  <c r="F598"/>
  <c r="Q50"/>
  <c r="T50"/>
  <c r="T570"/>
  <c r="Q570"/>
  <c r="R570" s="1"/>
  <c r="U26" i="18"/>
  <c r="Z26"/>
  <c r="V26"/>
  <c r="W26"/>
  <c r="X26" s="1"/>
  <c r="R74" i="9"/>
  <c r="G74" s="1"/>
  <c r="G73" s="1"/>
  <c r="E48" i="24"/>
  <c r="F48" s="1"/>
  <c r="N25" i="4"/>
  <c r="N21" s="1"/>
  <c r="T119" i="18"/>
  <c r="Y102"/>
  <c r="AB108"/>
  <c r="L16"/>
  <c r="L17" s="1"/>
  <c r="L18" s="1"/>
  <c r="S12"/>
  <c r="AA8"/>
  <c r="G102" i="9"/>
  <c r="G12"/>
  <c r="Y89" i="18"/>
  <c r="E6" i="21"/>
  <c r="AB112" i="18"/>
  <c r="O33" i="13"/>
  <c r="G20" i="21"/>
  <c r="E35" i="4"/>
  <c r="E16" i="21"/>
  <c r="G16" s="1"/>
  <c r="E24" i="1"/>
  <c r="G86" i="8"/>
  <c r="AB109" i="18"/>
  <c r="V102"/>
  <c r="Y50"/>
  <c r="AB52"/>
  <c r="AB50" s="1"/>
  <c r="O14"/>
  <c r="O15"/>
  <c r="O16"/>
  <c r="O18"/>
  <c r="O17"/>
  <c r="H50" i="9"/>
  <c r="R41"/>
  <c r="G41" s="1"/>
  <c r="G40" s="1"/>
  <c r="AA24" i="18"/>
  <c r="AB113"/>
  <c r="AB101"/>
  <c r="AB97"/>
  <c r="O5" i="13"/>
  <c r="O127" i="18"/>
  <c r="V89"/>
  <c r="AB94"/>
  <c r="R6"/>
  <c r="R14"/>
  <c r="R15" s="1"/>
  <c r="R16" s="1"/>
  <c r="R17" s="1"/>
  <c r="R18" s="1"/>
  <c r="U9"/>
  <c r="AA9" s="1"/>
  <c r="G28" i="9"/>
  <c r="G25" s="1"/>
  <c r="Q521" i="17"/>
  <c r="R521" s="1"/>
  <c r="F54"/>
  <c r="T88"/>
  <c r="Q665"/>
  <c r="T665"/>
  <c r="G6" i="20"/>
  <c r="G6" i="21"/>
  <c r="F6" i="17"/>
  <c r="AB114" i="18"/>
  <c r="AB110"/>
  <c r="Z25"/>
  <c r="V25"/>
  <c r="Y25"/>
  <c r="K15"/>
  <c r="K16" s="1"/>
  <c r="K17" s="1"/>
  <c r="K18" s="1"/>
  <c r="G35" i="9"/>
  <c r="G8"/>
  <c r="R27" i="18"/>
  <c r="AB111"/>
  <c r="AB99"/>
  <c r="AB95"/>
  <c r="O19" i="13"/>
  <c r="F95" i="6" s="1"/>
  <c r="G95" s="1"/>
  <c r="R65" i="9"/>
  <c r="G65" s="1"/>
  <c r="G64" s="1"/>
  <c r="T42" i="17"/>
  <c r="H21" i="15"/>
  <c r="G31" i="4"/>
  <c r="E7" i="20"/>
  <c r="G117" i="6"/>
  <c r="G41"/>
  <c r="F17" i="18"/>
  <c r="F16"/>
  <c r="F15"/>
  <c r="L37" i="4"/>
  <c r="V36" i="18"/>
  <c r="U36"/>
  <c r="G84" i="8"/>
  <c r="G83" s="1"/>
  <c r="H13" i="18"/>
  <c r="Z36"/>
  <c r="G87" i="8"/>
  <c r="E7" i="24"/>
  <c r="H11" i="15"/>
  <c r="E8" i="24"/>
  <c r="F8" s="1"/>
  <c r="H12" i="15"/>
  <c r="N66" i="4"/>
  <c r="N65" s="1"/>
  <c r="N64" s="1"/>
  <c r="H25" i="15"/>
  <c r="L65" i="4"/>
  <c r="L64" s="1"/>
  <c r="E79" i="24" s="1"/>
  <c r="F79" s="1"/>
  <c r="L59" i="4"/>
  <c r="L58" s="1"/>
  <c r="E77" i="24" s="1"/>
  <c r="F77" s="1"/>
  <c r="N60" i="4"/>
  <c r="N59" s="1"/>
  <c r="N58" s="1"/>
  <c r="T6" i="8"/>
  <c r="L36" i="4"/>
  <c r="AB99" i="17" l="1"/>
  <c r="X99"/>
  <c r="Y99"/>
  <c r="Z99" s="1"/>
  <c r="X114"/>
  <c r="U452"/>
  <c r="U427"/>
  <c r="U309"/>
  <c r="AC541"/>
  <c r="AD541" s="1"/>
  <c r="AA114"/>
  <c r="AC608"/>
  <c r="AD608" s="1"/>
  <c r="M686"/>
  <c r="M677" s="1"/>
  <c r="M676" s="1"/>
  <c r="F687"/>
  <c r="F688" s="1"/>
  <c r="F689" s="1"/>
  <c r="AB168"/>
  <c r="W168"/>
  <c r="AA168"/>
  <c r="Y168"/>
  <c r="Z168" s="1"/>
  <c r="X168"/>
  <c r="O448"/>
  <c r="U288"/>
  <c r="T487"/>
  <c r="AB595"/>
  <c r="X595"/>
  <c r="W595"/>
  <c r="Y62"/>
  <c r="Z62" s="1"/>
  <c r="Q498"/>
  <c r="R498" s="1"/>
  <c r="Q27"/>
  <c r="Q692"/>
  <c r="U692" s="1"/>
  <c r="P693"/>
  <c r="Q141"/>
  <c r="R141" s="1"/>
  <c r="U141" s="1"/>
  <c r="U140"/>
  <c r="T357"/>
  <c r="T214"/>
  <c r="U497"/>
  <c r="W497" s="1"/>
  <c r="Y663"/>
  <c r="Z663" s="1"/>
  <c r="X663"/>
  <c r="AA663"/>
  <c r="W663"/>
  <c r="AB663"/>
  <c r="U684"/>
  <c r="X47"/>
  <c r="W47"/>
  <c r="AA47"/>
  <c r="Y47"/>
  <c r="Z47" s="1"/>
  <c r="AB47"/>
  <c r="W126"/>
  <c r="X26"/>
  <c r="AB359"/>
  <c r="W359"/>
  <c r="AA359"/>
  <c r="Y359"/>
  <c r="X359"/>
  <c r="R149"/>
  <c r="AC619"/>
  <c r="AD619" s="1"/>
  <c r="U112"/>
  <c r="AA596"/>
  <c r="T422"/>
  <c r="L28" i="27"/>
  <c r="M28" s="1"/>
  <c r="E30"/>
  <c r="F30" s="1"/>
  <c r="F31"/>
  <c r="D18" i="4"/>
  <c r="D10" i="24" s="1"/>
  <c r="D18" i="27"/>
  <c r="D17" s="1"/>
  <c r="D16" s="1"/>
  <c r="D6" s="1"/>
  <c r="M53"/>
  <c r="L52"/>
  <c r="M52" s="1"/>
  <c r="E39"/>
  <c r="F39" s="1"/>
  <c r="F40"/>
  <c r="M66"/>
  <c r="L65"/>
  <c r="E44"/>
  <c r="E7"/>
  <c r="F7" s="1"/>
  <c r="F8"/>
  <c r="F14"/>
  <c r="E13"/>
  <c r="F13" s="1"/>
  <c r="Y8" i="17"/>
  <c r="Z8" s="1"/>
  <c r="W8"/>
  <c r="Z710"/>
  <c r="O712"/>
  <c r="S713"/>
  <c r="R713"/>
  <c r="T685"/>
  <c r="Q685"/>
  <c r="R685" s="1"/>
  <c r="AC679"/>
  <c r="AA664"/>
  <c r="W664"/>
  <c r="X664"/>
  <c r="Y664"/>
  <c r="Z664" s="1"/>
  <c r="AB664"/>
  <c r="O660"/>
  <c r="O659" s="1"/>
  <c r="AC662"/>
  <c r="R665"/>
  <c r="S665"/>
  <c r="AA593"/>
  <c r="AB594"/>
  <c r="AC579"/>
  <c r="R564"/>
  <c r="S564"/>
  <c r="R556"/>
  <c r="S556"/>
  <c r="R559"/>
  <c r="S559"/>
  <c r="AC375"/>
  <c r="AD375" s="1"/>
  <c r="Q310"/>
  <c r="R310" s="1"/>
  <c r="AC229"/>
  <c r="AD229" s="1"/>
  <c r="X502"/>
  <c r="T240"/>
  <c r="T318"/>
  <c r="T305"/>
  <c r="AC189"/>
  <c r="U489"/>
  <c r="Y502"/>
  <c r="Z502" s="1"/>
  <c r="AA502"/>
  <c r="T461"/>
  <c r="AA126"/>
  <c r="AC267"/>
  <c r="AD267" s="1"/>
  <c r="O266"/>
  <c r="O227"/>
  <c r="AC504"/>
  <c r="AD504" s="1"/>
  <c r="F136"/>
  <c r="AC138"/>
  <c r="AD138" s="1"/>
  <c r="S127"/>
  <c r="R127"/>
  <c r="U127" s="1"/>
  <c r="W125"/>
  <c r="AB125"/>
  <c r="Y125"/>
  <c r="Z125" s="1"/>
  <c r="X125"/>
  <c r="AA125"/>
  <c r="S120"/>
  <c r="R120"/>
  <c r="S115"/>
  <c r="R115"/>
  <c r="U115" s="1"/>
  <c r="R118"/>
  <c r="S118"/>
  <c r="AC99"/>
  <c r="AD99" s="1"/>
  <c r="R102"/>
  <c r="U102" s="1"/>
  <c r="S102"/>
  <c r="S101"/>
  <c r="R101"/>
  <c r="U101" s="1"/>
  <c r="Q103"/>
  <c r="T103"/>
  <c r="X74"/>
  <c r="W74"/>
  <c r="AB74"/>
  <c r="AA74"/>
  <c r="Y74"/>
  <c r="Z74" s="1"/>
  <c r="R79"/>
  <c r="S79"/>
  <c r="X73"/>
  <c r="AB73"/>
  <c r="W73"/>
  <c r="AA73"/>
  <c r="Y73"/>
  <c r="Z73" s="1"/>
  <c r="Y61"/>
  <c r="Z61" s="1"/>
  <c r="AA61"/>
  <c r="AB61"/>
  <c r="W61"/>
  <c r="X61"/>
  <c r="R63"/>
  <c r="S63"/>
  <c r="W62"/>
  <c r="X34"/>
  <c r="AB34"/>
  <c r="W34"/>
  <c r="Y34"/>
  <c r="Z34" s="1"/>
  <c r="AA34"/>
  <c r="R54"/>
  <c r="S54"/>
  <c r="S48"/>
  <c r="R48"/>
  <c r="U48" s="1"/>
  <c r="R50"/>
  <c r="S50"/>
  <c r="S57"/>
  <c r="R57"/>
  <c r="S56"/>
  <c r="R56"/>
  <c r="S53"/>
  <c r="R53"/>
  <c r="X37"/>
  <c r="AA37"/>
  <c r="Y37"/>
  <c r="Z37" s="1"/>
  <c r="AB37"/>
  <c r="W37"/>
  <c r="S36"/>
  <c r="R36"/>
  <c r="U36" s="1"/>
  <c r="S41"/>
  <c r="R41"/>
  <c r="U41" s="1"/>
  <c r="R39"/>
  <c r="U39" s="1"/>
  <c r="S39"/>
  <c r="S35"/>
  <c r="R35"/>
  <c r="U35" s="1"/>
  <c r="F19"/>
  <c r="R23"/>
  <c r="U23" s="1"/>
  <c r="S23"/>
  <c r="S28"/>
  <c r="R28"/>
  <c r="U28" s="1"/>
  <c r="G11" i="6"/>
  <c r="S13" i="17"/>
  <c r="R13"/>
  <c r="U13" s="1"/>
  <c r="Y10"/>
  <c r="Z10" s="1"/>
  <c r="W10"/>
  <c r="X10"/>
  <c r="R14"/>
  <c r="U14" s="1"/>
  <c r="S14"/>
  <c r="S12"/>
  <c r="R12"/>
  <c r="U12" s="1"/>
  <c r="L21" i="27"/>
  <c r="M21" s="1"/>
  <c r="L18"/>
  <c r="S35" i="8"/>
  <c r="V35" s="1"/>
  <c r="V6" s="1"/>
  <c r="L18" i="4"/>
  <c r="F33" i="8"/>
  <c r="E20" i="1" s="1"/>
  <c r="G35" i="8"/>
  <c r="G33" s="1"/>
  <c r="AA8" i="26"/>
  <c r="K6" i="27"/>
  <c r="K7" i="4"/>
  <c r="K6" s="1"/>
  <c r="K33"/>
  <c r="E46"/>
  <c r="F40" i="19"/>
  <c r="F39" s="1"/>
  <c r="C10" i="1" s="1"/>
  <c r="H42" i="19"/>
  <c r="H40" s="1"/>
  <c r="H39" s="1"/>
  <c r="E14"/>
  <c r="D19" i="4"/>
  <c r="G34" i="9"/>
  <c r="AB113" i="26"/>
  <c r="AB109"/>
  <c r="AA102"/>
  <c r="Y108"/>
  <c r="Y102" s="1"/>
  <c r="X102"/>
  <c r="AB101"/>
  <c r="AB97"/>
  <c r="W102"/>
  <c r="AB112"/>
  <c r="AA20"/>
  <c r="X89"/>
  <c r="Y94"/>
  <c r="Y89" s="1"/>
  <c r="Z35"/>
  <c r="V35"/>
  <c r="W35"/>
  <c r="X35" s="1"/>
  <c r="Y35"/>
  <c r="U35"/>
  <c r="AB100"/>
  <c r="AB96"/>
  <c r="V102"/>
  <c r="AB108"/>
  <c r="W21"/>
  <c r="Y21"/>
  <c r="U21"/>
  <c r="Z21"/>
  <c r="V21"/>
  <c r="O18"/>
  <c r="O15"/>
  <c r="O16"/>
  <c r="O17"/>
  <c r="O14"/>
  <c r="R24"/>
  <c r="S23"/>
  <c r="W89"/>
  <c r="AB94"/>
  <c r="V89"/>
  <c r="AA33"/>
  <c r="Z12"/>
  <c r="V12"/>
  <c r="W12"/>
  <c r="Y12"/>
  <c r="U12"/>
  <c r="Z22"/>
  <c r="V22"/>
  <c r="W22"/>
  <c r="X22" s="1"/>
  <c r="Y22"/>
  <c r="U22"/>
  <c r="AB98"/>
  <c r="AA89"/>
  <c r="W34"/>
  <c r="Y34"/>
  <c r="U34"/>
  <c r="Z34"/>
  <c r="V34"/>
  <c r="F16"/>
  <c r="P13"/>
  <c r="F17"/>
  <c r="F18"/>
  <c r="F15"/>
  <c r="F14"/>
  <c r="H13"/>
  <c r="H6" s="1"/>
  <c r="H5" s="1"/>
  <c r="R37"/>
  <c r="S36"/>
  <c r="AB99"/>
  <c r="AB95"/>
  <c r="U37" i="18"/>
  <c r="Z37"/>
  <c r="V37"/>
  <c r="W37"/>
  <c r="X37" s="1"/>
  <c r="Y37"/>
  <c r="Z38"/>
  <c r="U38"/>
  <c r="AA38" s="1"/>
  <c r="V38"/>
  <c r="R41"/>
  <c r="S40"/>
  <c r="V39"/>
  <c r="W39"/>
  <c r="X39" s="1"/>
  <c r="Y39"/>
  <c r="U39"/>
  <c r="Z39"/>
  <c r="AA25"/>
  <c r="F14"/>
  <c r="P13"/>
  <c r="F18"/>
  <c r="K6"/>
  <c r="K5" s="1"/>
  <c r="O6"/>
  <c r="O5" s="1"/>
  <c r="W671" i="17"/>
  <c r="AA671"/>
  <c r="AB671"/>
  <c r="X671"/>
  <c r="Y671"/>
  <c r="Z671" s="1"/>
  <c r="AC663"/>
  <c r="AB672"/>
  <c r="X672"/>
  <c r="Y672"/>
  <c r="Z672" s="1"/>
  <c r="AA672"/>
  <c r="W672"/>
  <c r="W177"/>
  <c r="X177"/>
  <c r="AB177"/>
  <c r="AA177"/>
  <c r="Y177"/>
  <c r="Z177" s="1"/>
  <c r="AB711"/>
  <c r="X711"/>
  <c r="Y711"/>
  <c r="Z711" s="1"/>
  <c r="AA711"/>
  <c r="W711"/>
  <c r="Q714"/>
  <c r="F714"/>
  <c r="AC710"/>
  <c r="Z680"/>
  <c r="AC681"/>
  <c r="AC682"/>
  <c r="F677"/>
  <c r="F676" s="1"/>
  <c r="AC683"/>
  <c r="T617"/>
  <c r="R610"/>
  <c r="S610"/>
  <c r="U622"/>
  <c r="AB621"/>
  <c r="X621"/>
  <c r="Y621"/>
  <c r="Z621" s="1"/>
  <c r="AA621"/>
  <c r="W621"/>
  <c r="Z618"/>
  <c r="AC620"/>
  <c r="AD620" s="1"/>
  <c r="AC618"/>
  <c r="AC631"/>
  <c r="Y633"/>
  <c r="Z633" s="1"/>
  <c r="AA633"/>
  <c r="W633"/>
  <c r="AB633"/>
  <c r="X633"/>
  <c r="F635"/>
  <c r="U634"/>
  <c r="AA632"/>
  <c r="W632"/>
  <c r="AB632"/>
  <c r="X632"/>
  <c r="Y632"/>
  <c r="AC527"/>
  <c r="AD527" s="1"/>
  <c r="O531"/>
  <c r="O532" s="1"/>
  <c r="O533" s="1"/>
  <c r="O534" s="1"/>
  <c r="O535" s="1"/>
  <c r="O536" s="1"/>
  <c r="O537" s="1"/>
  <c r="O538" s="1"/>
  <c r="F532"/>
  <c r="Q532"/>
  <c r="R532" s="1"/>
  <c r="U530"/>
  <c r="T526"/>
  <c r="AC529"/>
  <c r="AD529" s="1"/>
  <c r="Q522"/>
  <c r="R522" s="1"/>
  <c r="F522"/>
  <c r="Z501"/>
  <c r="AC501" s="1"/>
  <c r="AC488"/>
  <c r="AB490"/>
  <c r="X490"/>
  <c r="Y490"/>
  <c r="Z490" s="1"/>
  <c r="AA490"/>
  <c r="W490"/>
  <c r="F506"/>
  <c r="Q506"/>
  <c r="R506" s="1"/>
  <c r="U505"/>
  <c r="F492"/>
  <c r="Q492"/>
  <c r="R492" s="1"/>
  <c r="U491"/>
  <c r="F468"/>
  <c r="Q468"/>
  <c r="R468" s="1"/>
  <c r="F485"/>
  <c r="U465"/>
  <c r="O466"/>
  <c r="U498"/>
  <c r="O487"/>
  <c r="AA497"/>
  <c r="AB497"/>
  <c r="Y497"/>
  <c r="Z497" s="1"/>
  <c r="O482"/>
  <c r="Y489"/>
  <c r="AA489"/>
  <c r="W489"/>
  <c r="AB489"/>
  <c r="X489"/>
  <c r="Z475"/>
  <c r="Q482"/>
  <c r="R482" s="1"/>
  <c r="T482"/>
  <c r="AC462"/>
  <c r="T500"/>
  <c r="AB476"/>
  <c r="X476"/>
  <c r="Y476"/>
  <c r="Z476" s="1"/>
  <c r="AA476"/>
  <c r="W476"/>
  <c r="F478"/>
  <c r="Q478"/>
  <c r="R478" s="1"/>
  <c r="U477"/>
  <c r="AB503"/>
  <c r="X503"/>
  <c r="Y503"/>
  <c r="Z503" s="1"/>
  <c r="AA503"/>
  <c r="W503"/>
  <c r="U463"/>
  <c r="M474"/>
  <c r="U464"/>
  <c r="Q499"/>
  <c r="R499" s="1"/>
  <c r="U499" s="1"/>
  <c r="AA389"/>
  <c r="W389"/>
  <c r="AB389"/>
  <c r="X389"/>
  <c r="Y389"/>
  <c r="Z389" s="1"/>
  <c r="Y288"/>
  <c r="Z288" s="1"/>
  <c r="AA288"/>
  <c r="W288"/>
  <c r="AB288"/>
  <c r="X288"/>
  <c r="AA281"/>
  <c r="AB281"/>
  <c r="X281"/>
  <c r="Y281"/>
  <c r="W281"/>
  <c r="AA217"/>
  <c r="W217"/>
  <c r="AB217"/>
  <c r="X217"/>
  <c r="Y217"/>
  <c r="Z217" s="1"/>
  <c r="Y438"/>
  <c r="Z438" s="1"/>
  <c r="AA438"/>
  <c r="W438"/>
  <c r="AB438"/>
  <c r="X438"/>
  <c r="Y268"/>
  <c r="AA268"/>
  <c r="W268"/>
  <c r="AB268"/>
  <c r="X268"/>
  <c r="AA260"/>
  <c r="W260"/>
  <c r="AB260"/>
  <c r="X260"/>
  <c r="Y260"/>
  <c r="Z260" s="1"/>
  <c r="AD189"/>
  <c r="AA167"/>
  <c r="W167"/>
  <c r="AB167"/>
  <c r="X167"/>
  <c r="Y167"/>
  <c r="Z167" s="1"/>
  <c r="AB443"/>
  <c r="X443"/>
  <c r="Y443"/>
  <c r="Z443" s="1"/>
  <c r="AA443"/>
  <c r="W443"/>
  <c r="AB309"/>
  <c r="X309"/>
  <c r="W309"/>
  <c r="Y309"/>
  <c r="Z309" s="1"/>
  <c r="AA309"/>
  <c r="M444"/>
  <c r="M435" s="1"/>
  <c r="F445"/>
  <c r="Q445"/>
  <c r="R445" s="1"/>
  <c r="U322"/>
  <c r="F323"/>
  <c r="Q323"/>
  <c r="R323" s="1"/>
  <c r="AC371"/>
  <c r="AB347"/>
  <c r="X347"/>
  <c r="Y347"/>
  <c r="Z347" s="1"/>
  <c r="AA347"/>
  <c r="W347"/>
  <c r="Y437"/>
  <c r="Z437" s="1"/>
  <c r="AA437"/>
  <c r="W437"/>
  <c r="AB437"/>
  <c r="X437"/>
  <c r="F352"/>
  <c r="Q352"/>
  <c r="R352" s="1"/>
  <c r="F415"/>
  <c r="Q415"/>
  <c r="R415" s="1"/>
  <c r="Y363"/>
  <c r="Z363" s="1"/>
  <c r="AA363"/>
  <c r="W363"/>
  <c r="AB363"/>
  <c r="X363"/>
  <c r="O350"/>
  <c r="U294"/>
  <c r="R256"/>
  <c r="S256"/>
  <c r="U269"/>
  <c r="F270"/>
  <c r="Q270"/>
  <c r="AA321"/>
  <c r="W321"/>
  <c r="AB321"/>
  <c r="X321"/>
  <c r="Y321"/>
  <c r="Z321" s="1"/>
  <c r="Y242"/>
  <c r="Z242" s="1"/>
  <c r="AA242"/>
  <c r="W242"/>
  <c r="AB242"/>
  <c r="X242"/>
  <c r="Z202"/>
  <c r="AC202" s="1"/>
  <c r="Y184"/>
  <c r="Z184" s="1"/>
  <c r="AA184"/>
  <c r="W184"/>
  <c r="AB184"/>
  <c r="X184"/>
  <c r="S178"/>
  <c r="R178"/>
  <c r="Q304"/>
  <c r="T304"/>
  <c r="T292" s="1"/>
  <c r="Y203"/>
  <c r="Z203" s="1"/>
  <c r="AA203"/>
  <c r="W203"/>
  <c r="AB203"/>
  <c r="X203"/>
  <c r="AC399"/>
  <c r="AD399" s="1"/>
  <c r="T396"/>
  <c r="T383"/>
  <c r="T188"/>
  <c r="Z410"/>
  <c r="AC410" s="1"/>
  <c r="Z397"/>
  <c r="AC397" s="1"/>
  <c r="AB424"/>
  <c r="X424"/>
  <c r="Y424"/>
  <c r="Z424" s="1"/>
  <c r="AA424"/>
  <c r="W424"/>
  <c r="U428"/>
  <c r="F429"/>
  <c r="Q429"/>
  <c r="R429" s="1"/>
  <c r="AA385"/>
  <c r="W385"/>
  <c r="AB385"/>
  <c r="X385"/>
  <c r="Y385"/>
  <c r="Y411"/>
  <c r="Z411" s="1"/>
  <c r="AA411"/>
  <c r="W411"/>
  <c r="AB411"/>
  <c r="X411"/>
  <c r="AA386"/>
  <c r="W386"/>
  <c r="AB386"/>
  <c r="X386"/>
  <c r="Y386"/>
  <c r="Z386" s="1"/>
  <c r="AA450"/>
  <c r="W450"/>
  <c r="AB450"/>
  <c r="X450"/>
  <c r="Y450"/>
  <c r="Z450" s="1"/>
  <c r="AB316"/>
  <c r="X316"/>
  <c r="Y316"/>
  <c r="Z316" s="1"/>
  <c r="AA316"/>
  <c r="W316"/>
  <c r="F421"/>
  <c r="F391"/>
  <c r="Q391"/>
  <c r="R391" s="1"/>
  <c r="Y442"/>
  <c r="Z442" s="1"/>
  <c r="AA442"/>
  <c r="W442"/>
  <c r="AB442"/>
  <c r="X442"/>
  <c r="U373"/>
  <c r="Q374"/>
  <c r="R374" s="1"/>
  <c r="AA362"/>
  <c r="W362"/>
  <c r="AB362"/>
  <c r="X362"/>
  <c r="Y362"/>
  <c r="Z362" s="1"/>
  <c r="AC384"/>
  <c r="AA334"/>
  <c r="W334"/>
  <c r="AB334"/>
  <c r="X334"/>
  <c r="Y334"/>
  <c r="Z334" s="1"/>
  <c r="Z306"/>
  <c r="AB372"/>
  <c r="X372"/>
  <c r="Y372"/>
  <c r="AA372"/>
  <c r="W372"/>
  <c r="AA320"/>
  <c r="W320"/>
  <c r="AB320"/>
  <c r="X320"/>
  <c r="Y320"/>
  <c r="R261"/>
  <c r="U261" s="1"/>
  <c r="S261"/>
  <c r="AB307"/>
  <c r="X307"/>
  <c r="Y307"/>
  <c r="Z307" s="1"/>
  <c r="AA307"/>
  <c r="Z359"/>
  <c r="AC359" s="1"/>
  <c r="AD359" s="1"/>
  <c r="Q296"/>
  <c r="U295"/>
  <c r="F296"/>
  <c r="Z254"/>
  <c r="O244"/>
  <c r="R262"/>
  <c r="S262"/>
  <c r="Q232"/>
  <c r="F232"/>
  <c r="U231"/>
  <c r="AB164"/>
  <c r="X164"/>
  <c r="Y164"/>
  <c r="AA164"/>
  <c r="W164"/>
  <c r="Q311"/>
  <c r="R311" s="1"/>
  <c r="U310"/>
  <c r="F311"/>
  <c r="R169"/>
  <c r="U169" s="1"/>
  <c r="S169"/>
  <c r="S162" s="1"/>
  <c r="Q258"/>
  <c r="W307"/>
  <c r="U282"/>
  <c r="AC280"/>
  <c r="AC228"/>
  <c r="AB452"/>
  <c r="X452"/>
  <c r="Y452"/>
  <c r="Z452" s="1"/>
  <c r="AA452"/>
  <c r="W452"/>
  <c r="AB427"/>
  <c r="X427"/>
  <c r="Y427"/>
  <c r="Z427" s="1"/>
  <c r="AA427"/>
  <c r="W427"/>
  <c r="Z423"/>
  <c r="O413"/>
  <c r="Q401"/>
  <c r="R401" s="1"/>
  <c r="U400"/>
  <c r="F401"/>
  <c r="AA388"/>
  <c r="W388"/>
  <c r="AB388"/>
  <c r="X388"/>
  <c r="Y388"/>
  <c r="Z388" s="1"/>
  <c r="U335"/>
  <c r="F336"/>
  <c r="Q336"/>
  <c r="R336" s="1"/>
  <c r="AB425"/>
  <c r="X425"/>
  <c r="Y425"/>
  <c r="Z425" s="1"/>
  <c r="AA425"/>
  <c r="W425"/>
  <c r="S361"/>
  <c r="R361"/>
  <c r="AC345"/>
  <c r="AA451"/>
  <c r="W451"/>
  <c r="AB451"/>
  <c r="X451"/>
  <c r="Y451"/>
  <c r="Z451" s="1"/>
  <c r="F377"/>
  <c r="Q377"/>
  <c r="R377" s="1"/>
  <c r="U376"/>
  <c r="R364"/>
  <c r="S364"/>
  <c r="AC358"/>
  <c r="U346"/>
  <c r="AA308"/>
  <c r="AB308"/>
  <c r="W308"/>
  <c r="X308"/>
  <c r="Y308"/>
  <c r="Z308" s="1"/>
  <c r="AB289"/>
  <c r="X289"/>
  <c r="Y289"/>
  <c r="Z289" s="1"/>
  <c r="AA289"/>
  <c r="W289"/>
  <c r="AC306"/>
  <c r="F284"/>
  <c r="Q284"/>
  <c r="R284" s="1"/>
  <c r="T179"/>
  <c r="Q179"/>
  <c r="U185"/>
  <c r="F186"/>
  <c r="Q186"/>
  <c r="O205"/>
  <c r="O193"/>
  <c r="U192"/>
  <c r="AA171"/>
  <c r="W171"/>
  <c r="AB171"/>
  <c r="X171"/>
  <c r="Y171"/>
  <c r="Z171" s="1"/>
  <c r="AA315"/>
  <c r="W315"/>
  <c r="AB315"/>
  <c r="X315"/>
  <c r="Y315"/>
  <c r="Z315" s="1"/>
  <c r="AA165"/>
  <c r="W165"/>
  <c r="AB165"/>
  <c r="X165"/>
  <c r="Y165"/>
  <c r="Z165" s="1"/>
  <c r="Q220"/>
  <c r="R220" s="1"/>
  <c r="F220"/>
  <c r="F207"/>
  <c r="Q207"/>
  <c r="R207" s="1"/>
  <c r="AA170"/>
  <c r="W170"/>
  <c r="AB170"/>
  <c r="X170"/>
  <c r="Y170"/>
  <c r="Z170" s="1"/>
  <c r="Y216"/>
  <c r="AA216"/>
  <c r="W216"/>
  <c r="AB216"/>
  <c r="X216"/>
  <c r="AC398"/>
  <c r="AD398" s="1"/>
  <c r="Q390"/>
  <c r="R390" s="1"/>
  <c r="T435"/>
  <c r="U333"/>
  <c r="AD319"/>
  <c r="AC254"/>
  <c r="U243"/>
  <c r="AD215"/>
  <c r="AD163"/>
  <c r="Q200"/>
  <c r="R200" s="1"/>
  <c r="AC168"/>
  <c r="AD168" s="1"/>
  <c r="U190"/>
  <c r="Z449"/>
  <c r="AC449" s="1"/>
  <c r="U439"/>
  <c r="F440"/>
  <c r="Q440"/>
  <c r="R440" s="1"/>
  <c r="U453"/>
  <c r="F454"/>
  <c r="Q454"/>
  <c r="R454" s="1"/>
  <c r="Z436"/>
  <c r="AA412"/>
  <c r="W412"/>
  <c r="AB412"/>
  <c r="X412"/>
  <c r="Y412"/>
  <c r="Z412" s="1"/>
  <c r="Q418"/>
  <c r="R418" s="1"/>
  <c r="T418"/>
  <c r="U387"/>
  <c r="F365"/>
  <c r="Q365"/>
  <c r="U364"/>
  <c r="AC332"/>
  <c r="U348"/>
  <c r="Q349"/>
  <c r="R349" s="1"/>
  <c r="U349" s="1"/>
  <c r="AA317"/>
  <c r="W317"/>
  <c r="AB317"/>
  <c r="X317"/>
  <c r="Y317"/>
  <c r="Z317" s="1"/>
  <c r="Y360"/>
  <c r="Z360" s="1"/>
  <c r="AA360"/>
  <c r="W360"/>
  <c r="AB360"/>
  <c r="X360"/>
  <c r="Z241"/>
  <c r="AC241" s="1"/>
  <c r="F291"/>
  <c r="Q291"/>
  <c r="R291" s="1"/>
  <c r="U290"/>
  <c r="AA255"/>
  <c r="AB255"/>
  <c r="X255"/>
  <c r="Y255"/>
  <c r="Z255" s="1"/>
  <c r="Q249"/>
  <c r="R249" s="1"/>
  <c r="F249"/>
  <c r="AA230"/>
  <c r="W230"/>
  <c r="AB230"/>
  <c r="X230"/>
  <c r="Y230"/>
  <c r="Z230" s="1"/>
  <c r="F263"/>
  <c r="Q263"/>
  <c r="M262"/>
  <c r="M253" s="1"/>
  <c r="AB191"/>
  <c r="X191"/>
  <c r="Y191"/>
  <c r="Z191" s="1"/>
  <c r="AA191"/>
  <c r="W191"/>
  <c r="AA287"/>
  <c r="W287"/>
  <c r="AB287"/>
  <c r="X287"/>
  <c r="Y287"/>
  <c r="Z287" s="1"/>
  <c r="O218"/>
  <c r="R257"/>
  <c r="U257" s="1"/>
  <c r="S257"/>
  <c r="Q246"/>
  <c r="R246" s="1"/>
  <c r="F212"/>
  <c r="Q212"/>
  <c r="R212" s="1"/>
  <c r="O180"/>
  <c r="U172"/>
  <c r="O173"/>
  <c r="AC423"/>
  <c r="U426"/>
  <c r="O422"/>
  <c r="T448"/>
  <c r="M279"/>
  <c r="T279"/>
  <c r="Q283"/>
  <c r="R283" s="1"/>
  <c r="Q248"/>
  <c r="R248" s="1"/>
  <c r="U204"/>
  <c r="AC259"/>
  <c r="AD259" s="1"/>
  <c r="Q199"/>
  <c r="R199" s="1"/>
  <c r="R188" s="1"/>
  <c r="U166"/>
  <c r="Y141"/>
  <c r="Z141" s="1"/>
  <c r="AA141"/>
  <c r="W141"/>
  <c r="AB141"/>
  <c r="X141"/>
  <c r="AD137"/>
  <c r="U139"/>
  <c r="O143"/>
  <c r="AA140"/>
  <c r="W140"/>
  <c r="AB140"/>
  <c r="X140"/>
  <c r="Y140"/>
  <c r="Z140" s="1"/>
  <c r="Q147"/>
  <c r="R147" s="1"/>
  <c r="Q148"/>
  <c r="R148" s="1"/>
  <c r="Q146"/>
  <c r="R146" s="1"/>
  <c r="M145"/>
  <c r="M136" s="1"/>
  <c r="Q145"/>
  <c r="R145" s="1"/>
  <c r="Q142"/>
  <c r="R142" s="1"/>
  <c r="U142" s="1"/>
  <c r="T142"/>
  <c r="Q143" s="1"/>
  <c r="R143" s="1"/>
  <c r="AC60"/>
  <c r="AD60" s="1"/>
  <c r="X24"/>
  <c r="AB24"/>
  <c r="W24"/>
  <c r="AA26"/>
  <c r="AA24"/>
  <c r="Q15"/>
  <c r="T15"/>
  <c r="X9"/>
  <c r="Y9"/>
  <c r="Z9" s="1"/>
  <c r="W9"/>
  <c r="W606"/>
  <c r="AA606"/>
  <c r="Q29"/>
  <c r="T29"/>
  <c r="AC555"/>
  <c r="AD555" s="1"/>
  <c r="AC554"/>
  <c r="AD554" s="1"/>
  <c r="W11"/>
  <c r="X11"/>
  <c r="Y11"/>
  <c r="Z11" s="1"/>
  <c r="O19"/>
  <c r="AC21"/>
  <c r="AD21" s="1"/>
  <c r="W25"/>
  <c r="AA25"/>
  <c r="AB25"/>
  <c r="X25"/>
  <c r="Y25"/>
  <c r="Z25" s="1"/>
  <c r="AA41"/>
  <c r="W41"/>
  <c r="AB41"/>
  <c r="X41"/>
  <c r="Y41"/>
  <c r="Z41" s="1"/>
  <c r="AB38"/>
  <c r="Y38"/>
  <c r="Z38" s="1"/>
  <c r="X38"/>
  <c r="AA38"/>
  <c r="W38"/>
  <c r="W40"/>
  <c r="AA40"/>
  <c r="Y40"/>
  <c r="Z40" s="1"/>
  <c r="X40"/>
  <c r="AB40"/>
  <c r="AC47"/>
  <c r="AD47" s="1"/>
  <c r="Q64"/>
  <c r="F64"/>
  <c r="U63"/>
  <c r="O58"/>
  <c r="F79"/>
  <c r="U76"/>
  <c r="O77"/>
  <c r="Y87"/>
  <c r="Z87" s="1"/>
  <c r="AA87"/>
  <c r="X87"/>
  <c r="W87"/>
  <c r="AB87"/>
  <c r="T524"/>
  <c r="F110"/>
  <c r="AC114"/>
  <c r="AD114" s="1"/>
  <c r="Y154"/>
  <c r="Z154" s="1"/>
  <c r="W154"/>
  <c r="AB154"/>
  <c r="AA154"/>
  <c r="X154"/>
  <c r="U517"/>
  <c r="O518"/>
  <c r="U155"/>
  <c r="O156"/>
  <c r="O157" s="1"/>
  <c r="AB516"/>
  <c r="Y516"/>
  <c r="Z516" s="1"/>
  <c r="X516"/>
  <c r="W516"/>
  <c r="AA516"/>
  <c r="AA557"/>
  <c r="AB557"/>
  <c r="W557"/>
  <c r="X557"/>
  <c r="Y557"/>
  <c r="Z557" s="1"/>
  <c r="O598"/>
  <c r="U597"/>
  <c r="W596"/>
  <c r="X596"/>
  <c r="Y596"/>
  <c r="Z596" s="1"/>
  <c r="AB593"/>
  <c r="F577"/>
  <c r="F565" s="1"/>
  <c r="Q577"/>
  <c r="R577" s="1"/>
  <c r="AC595"/>
  <c r="AD595" s="1"/>
  <c r="Y593"/>
  <c r="Z593" s="1"/>
  <c r="W593"/>
  <c r="AA594"/>
  <c r="X594"/>
  <c r="W594"/>
  <c r="Q582"/>
  <c r="R582" s="1"/>
  <c r="U581"/>
  <c r="F582"/>
  <c r="U556"/>
  <c r="Q128"/>
  <c r="T128"/>
  <c r="T116"/>
  <c r="Q117" s="1"/>
  <c r="Q116"/>
  <c r="Z111"/>
  <c r="U57"/>
  <c r="U528"/>
  <c r="AB100"/>
  <c r="W100"/>
  <c r="X100"/>
  <c r="AA100"/>
  <c r="Y100"/>
  <c r="Z100" s="1"/>
  <c r="Q122"/>
  <c r="Z594"/>
  <c r="X153"/>
  <c r="Y153"/>
  <c r="Z153" s="1"/>
  <c r="AA153"/>
  <c r="W153"/>
  <c r="AB153"/>
  <c r="O129"/>
  <c r="AA113"/>
  <c r="X113"/>
  <c r="W113"/>
  <c r="AB113"/>
  <c r="Y113"/>
  <c r="Z113" s="1"/>
  <c r="F560"/>
  <c r="Q561" s="1"/>
  <c r="Q560"/>
  <c r="X515"/>
  <c r="AB515"/>
  <c r="W515"/>
  <c r="AA515"/>
  <c r="Y515"/>
  <c r="Z515" s="1"/>
  <c r="AC111"/>
  <c r="AD111" s="1"/>
  <c r="W567"/>
  <c r="X567"/>
  <c r="Y567"/>
  <c r="Z567" s="1"/>
  <c r="AA567"/>
  <c r="AB567"/>
  <c r="W22"/>
  <c r="AB22"/>
  <c r="Y22"/>
  <c r="Z22" s="1"/>
  <c r="X22"/>
  <c r="AA22"/>
  <c r="AB609"/>
  <c r="W609"/>
  <c r="AA609"/>
  <c r="Y609"/>
  <c r="Z609" s="1"/>
  <c r="X609"/>
  <c r="AC542"/>
  <c r="AD542" s="1"/>
  <c r="W543"/>
  <c r="Y543"/>
  <c r="Z543" s="1"/>
  <c r="AB543"/>
  <c r="X543"/>
  <c r="AA543"/>
  <c r="AB75"/>
  <c r="X75"/>
  <c r="AA75"/>
  <c r="Q121"/>
  <c r="U120"/>
  <c r="W112"/>
  <c r="AB112"/>
  <c r="AA112"/>
  <c r="Y112"/>
  <c r="Z112" s="1"/>
  <c r="X112"/>
  <c r="AB126"/>
  <c r="Y126"/>
  <c r="Y544"/>
  <c r="Z544" s="1"/>
  <c r="AA544"/>
  <c r="W544"/>
  <c r="AB544"/>
  <c r="X544"/>
  <c r="O569"/>
  <c r="U568"/>
  <c r="U610"/>
  <c r="T539"/>
  <c r="AC59"/>
  <c r="AD59" s="1"/>
  <c r="Q119"/>
  <c r="U118"/>
  <c r="AB580"/>
  <c r="AA580"/>
  <c r="Y580"/>
  <c r="Z580" s="1"/>
  <c r="X580"/>
  <c r="W580"/>
  <c r="F131"/>
  <c r="F123" s="1"/>
  <c r="X152"/>
  <c r="W152"/>
  <c r="AB152"/>
  <c r="AA152"/>
  <c r="Y152"/>
  <c r="G12" i="6"/>
  <c r="F10"/>
  <c r="L10" i="27" s="1"/>
  <c r="M10" s="1"/>
  <c r="Y26" i="17"/>
  <c r="Z26" s="1"/>
  <c r="AB26"/>
  <c r="U545"/>
  <c r="AB35"/>
  <c r="AA35"/>
  <c r="Y35"/>
  <c r="Z35" s="1"/>
  <c r="W35"/>
  <c r="X35"/>
  <c r="X14"/>
  <c r="Y14"/>
  <c r="Z14" s="1"/>
  <c r="W14"/>
  <c r="U53"/>
  <c r="U56"/>
  <c r="AC607"/>
  <c r="AD607" s="1"/>
  <c r="S50" i="22"/>
  <c r="N49" i="4"/>
  <c r="E72" i="24"/>
  <c r="F72" s="1"/>
  <c r="AA36" i="18"/>
  <c r="J16"/>
  <c r="P16"/>
  <c r="R28"/>
  <c r="S27"/>
  <c r="T666" i="17"/>
  <c r="Q666"/>
  <c r="AD579"/>
  <c r="F94" i="6"/>
  <c r="O4" i="13"/>
  <c r="G11" i="9"/>
  <c r="F60" i="6" s="1"/>
  <c r="G60" s="1"/>
  <c r="R12" i="9"/>
  <c r="Q51" i="17"/>
  <c r="T51"/>
  <c r="Q52" s="1"/>
  <c r="X102"/>
  <c r="AA102"/>
  <c r="Y102"/>
  <c r="Z102" s="1"/>
  <c r="W102"/>
  <c r="AB102"/>
  <c r="O91"/>
  <c r="AB102" i="18"/>
  <c r="AA26"/>
  <c r="H6"/>
  <c r="H5" s="1"/>
  <c r="S13"/>
  <c r="N37" i="4"/>
  <c r="E56" i="24"/>
  <c r="F56" s="1"/>
  <c r="J17" i="18"/>
  <c r="S17" s="1"/>
  <c r="P17"/>
  <c r="T43" i="17"/>
  <c r="Q43"/>
  <c r="R50" i="9"/>
  <c r="G50" s="1"/>
  <c r="G49" s="1"/>
  <c r="G43" s="1"/>
  <c r="H59"/>
  <c r="T120" i="18"/>
  <c r="R83" i="9"/>
  <c r="G83" s="1"/>
  <c r="H92"/>
  <c r="Q571" i="17"/>
  <c r="R571" s="1"/>
  <c r="T571"/>
  <c r="Q548"/>
  <c r="R548" s="1"/>
  <c r="F548"/>
  <c r="O104"/>
  <c r="U559"/>
  <c r="O560"/>
  <c r="AB89" i="18"/>
  <c r="L6"/>
  <c r="C19" i="1"/>
  <c r="C18" s="1"/>
  <c r="E6" i="20"/>
  <c r="Q89" i="17"/>
  <c r="T89"/>
  <c r="U88"/>
  <c r="F12" i="21"/>
  <c r="F11" s="1"/>
  <c r="F10" s="1"/>
  <c r="F21"/>
  <c r="F24"/>
  <c r="F23" s="1"/>
  <c r="F22" s="1"/>
  <c r="F25"/>
  <c r="F27"/>
  <c r="F26" s="1"/>
  <c r="F18"/>
  <c r="F15"/>
  <c r="F14" s="1"/>
  <c r="F13" s="1"/>
  <c r="F36"/>
  <c r="F9"/>
  <c r="F8" s="1"/>
  <c r="F7" s="1"/>
  <c r="F31"/>
  <c r="F28"/>
  <c r="F32"/>
  <c r="F19"/>
  <c r="W8" i="22"/>
  <c r="F37" i="21"/>
  <c r="F35"/>
  <c r="U598" i="17"/>
  <c r="Q599"/>
  <c r="R599" s="1"/>
  <c r="F599"/>
  <c r="Z75"/>
  <c r="Y558"/>
  <c r="AB558"/>
  <c r="W558"/>
  <c r="X558"/>
  <c r="AA558"/>
  <c r="U42"/>
  <c r="G15" i="18"/>
  <c r="P15"/>
  <c r="M15"/>
  <c r="M6" s="1"/>
  <c r="M5" s="1"/>
  <c r="G7" i="9"/>
  <c r="R8"/>
  <c r="F55" i="6"/>
  <c r="U665" i="17"/>
  <c r="M54"/>
  <c r="M45" s="1"/>
  <c r="F45"/>
  <c r="Q55"/>
  <c r="E34" i="4"/>
  <c r="G35"/>
  <c r="G34" s="1"/>
  <c r="G30" s="1"/>
  <c r="Y12" i="18"/>
  <c r="U12"/>
  <c r="Z12"/>
  <c r="V12"/>
  <c r="W12"/>
  <c r="U50" i="17"/>
  <c r="Y101"/>
  <c r="AA101"/>
  <c r="W101"/>
  <c r="AB101"/>
  <c r="X101"/>
  <c r="O616"/>
  <c r="O115" i="18"/>
  <c r="AC606" i="17"/>
  <c r="AC49"/>
  <c r="AD49" s="1"/>
  <c r="N36" i="4"/>
  <c r="E55" i="24"/>
  <c r="F55" s="1"/>
  <c r="F7"/>
  <c r="AC62" i="17" l="1"/>
  <c r="AD62" s="1"/>
  <c r="X497"/>
  <c r="AC307"/>
  <c r="AD307" s="1"/>
  <c r="AA36"/>
  <c r="W36"/>
  <c r="Y36"/>
  <c r="Z36" s="1"/>
  <c r="AB36"/>
  <c r="X36"/>
  <c r="X39"/>
  <c r="AB39"/>
  <c r="W39"/>
  <c r="AA39"/>
  <c r="Y39"/>
  <c r="Z39" s="1"/>
  <c r="R27"/>
  <c r="U27" s="1"/>
  <c r="S27"/>
  <c r="U444"/>
  <c r="U685"/>
  <c r="Y685" s="1"/>
  <c r="Z685" s="1"/>
  <c r="AC34"/>
  <c r="AD34" s="1"/>
  <c r="AB692"/>
  <c r="Y692"/>
  <c r="Z692" s="1"/>
  <c r="W692"/>
  <c r="X692"/>
  <c r="AA692"/>
  <c r="Q693"/>
  <c r="U693" s="1"/>
  <c r="P694"/>
  <c r="AC664"/>
  <c r="AC442"/>
  <c r="AD442" s="1"/>
  <c r="AC184"/>
  <c r="AD184" s="1"/>
  <c r="AB684"/>
  <c r="X684"/>
  <c r="AA684"/>
  <c r="Y684"/>
  <c r="Z684" s="1"/>
  <c r="W684"/>
  <c r="AC8"/>
  <c r="AD8" s="1"/>
  <c r="AC309"/>
  <c r="AD309" s="1"/>
  <c r="AC502"/>
  <c r="AD502" s="1"/>
  <c r="M65" i="27"/>
  <c r="L64"/>
  <c r="M64" s="1"/>
  <c r="E43"/>
  <c r="F43" s="1"/>
  <c r="F44"/>
  <c r="AC10" i="17"/>
  <c r="AD10" s="1"/>
  <c r="O713"/>
  <c r="U712"/>
  <c r="AD710"/>
  <c r="R714"/>
  <c r="S714"/>
  <c r="Q686"/>
  <c r="R686" s="1"/>
  <c r="T686"/>
  <c r="W685"/>
  <c r="X685"/>
  <c r="AA685"/>
  <c r="AB685"/>
  <c r="S666"/>
  <c r="R666"/>
  <c r="U666" s="1"/>
  <c r="AC594"/>
  <c r="AD594" s="1"/>
  <c r="AC593"/>
  <c r="AD593" s="1"/>
  <c r="F552"/>
  <c r="R561"/>
  <c r="S561"/>
  <c r="R560"/>
  <c r="S560"/>
  <c r="U156"/>
  <c r="AC315"/>
  <c r="AD315" s="1"/>
  <c r="AC242"/>
  <c r="AD242" s="1"/>
  <c r="AC260"/>
  <c r="AD260" s="1"/>
  <c r="AC288"/>
  <c r="AD288" s="1"/>
  <c r="AC503"/>
  <c r="AD503" s="1"/>
  <c r="AC255"/>
  <c r="AD255" s="1"/>
  <c r="AC425"/>
  <c r="AD425" s="1"/>
  <c r="O526"/>
  <c r="AC203"/>
  <c r="AD203" s="1"/>
  <c r="AC443"/>
  <c r="AD443" s="1"/>
  <c r="AC476"/>
  <c r="AD476" s="1"/>
  <c r="R136"/>
  <c r="AC140"/>
  <c r="AD140" s="1"/>
  <c r="Y127"/>
  <c r="Z127" s="1"/>
  <c r="AA127"/>
  <c r="X127"/>
  <c r="W127"/>
  <c r="AB127"/>
  <c r="R128"/>
  <c r="U128" s="1"/>
  <c r="S128"/>
  <c r="AC125"/>
  <c r="AD125" s="1"/>
  <c r="W115"/>
  <c r="Y115"/>
  <c r="Z115" s="1"/>
  <c r="X115"/>
  <c r="AB115"/>
  <c r="AA115"/>
  <c r="S119"/>
  <c r="R119"/>
  <c r="U119" s="1"/>
  <c r="S116"/>
  <c r="R116"/>
  <c r="U116" s="1"/>
  <c r="R122"/>
  <c r="U122" s="1"/>
  <c r="S122"/>
  <c r="R121"/>
  <c r="U121" s="1"/>
  <c r="S121"/>
  <c r="R117"/>
  <c r="U117" s="1"/>
  <c r="S117"/>
  <c r="Q104"/>
  <c r="T104"/>
  <c r="R103"/>
  <c r="S103"/>
  <c r="R89"/>
  <c r="S89"/>
  <c r="AC73"/>
  <c r="AD73" s="1"/>
  <c r="AC74"/>
  <c r="AD74" s="1"/>
  <c r="R64"/>
  <c r="U64" s="1"/>
  <c r="S64"/>
  <c r="AC61"/>
  <c r="AD61" s="1"/>
  <c r="S55"/>
  <c r="R55"/>
  <c r="U55" s="1"/>
  <c r="S51"/>
  <c r="R51"/>
  <c r="U51" s="1"/>
  <c r="S52"/>
  <c r="R52"/>
  <c r="U52" s="1"/>
  <c r="W48"/>
  <c r="AA48"/>
  <c r="X48"/>
  <c r="AB48"/>
  <c r="Y48"/>
  <c r="Z48" s="1"/>
  <c r="AC37"/>
  <c r="AD37" s="1"/>
  <c r="R43"/>
  <c r="S43"/>
  <c r="W28"/>
  <c r="AB28"/>
  <c r="Y28"/>
  <c r="Z28" s="1"/>
  <c r="AA28"/>
  <c r="X28"/>
  <c r="AA23"/>
  <c r="W23"/>
  <c r="X23"/>
  <c r="Y23"/>
  <c r="Z23" s="1"/>
  <c r="AB23"/>
  <c r="S29"/>
  <c r="R29"/>
  <c r="U29" s="1"/>
  <c r="R15"/>
  <c r="U15" s="1"/>
  <c r="S15"/>
  <c r="W12"/>
  <c r="X12"/>
  <c r="Y12"/>
  <c r="Z12" s="1"/>
  <c r="Y13"/>
  <c r="Z13" s="1"/>
  <c r="X13"/>
  <c r="W13"/>
  <c r="M18" i="27"/>
  <c r="L16"/>
  <c r="M16" s="1"/>
  <c r="E42" i="24"/>
  <c r="F42" s="1"/>
  <c r="N18" i="4"/>
  <c r="N16" s="1"/>
  <c r="L16"/>
  <c r="D11" i="24"/>
  <c r="D6" s="1"/>
  <c r="D17" i="4"/>
  <c r="D16" s="1"/>
  <c r="D6" s="1"/>
  <c r="G46"/>
  <c r="G44" s="1"/>
  <c r="G43" s="1"/>
  <c r="E26" i="24"/>
  <c r="F26" s="1"/>
  <c r="E44" i="4"/>
  <c r="E43" s="1"/>
  <c r="H18" i="15" s="1"/>
  <c r="AB102" i="26"/>
  <c r="P17"/>
  <c r="S17" s="1"/>
  <c r="J17"/>
  <c r="X12"/>
  <c r="R25"/>
  <c r="S24"/>
  <c r="S13"/>
  <c r="AA22"/>
  <c r="P18"/>
  <c r="G18"/>
  <c r="J16"/>
  <c r="J6" s="1"/>
  <c r="J5" s="1"/>
  <c r="P16"/>
  <c r="Y23"/>
  <c r="U23"/>
  <c r="Z23"/>
  <c r="V23"/>
  <c r="W23"/>
  <c r="X23" s="1"/>
  <c r="X21"/>
  <c r="R38"/>
  <c r="S37"/>
  <c r="P15"/>
  <c r="M15"/>
  <c r="G15"/>
  <c r="AB89"/>
  <c r="Y36"/>
  <c r="U36"/>
  <c r="Z36"/>
  <c r="V36"/>
  <c r="W36"/>
  <c r="X36" s="1"/>
  <c r="P14"/>
  <c r="X34"/>
  <c r="AA12"/>
  <c r="F6"/>
  <c r="AA35"/>
  <c r="AA37" i="18"/>
  <c r="AA39"/>
  <c r="S41"/>
  <c r="R42"/>
  <c r="J6"/>
  <c r="J5" s="1"/>
  <c r="P14"/>
  <c r="S14" s="1"/>
  <c r="Y40"/>
  <c r="Z40"/>
  <c r="V40"/>
  <c r="W40"/>
  <c r="X40" s="1"/>
  <c r="U40"/>
  <c r="F6"/>
  <c r="G18"/>
  <c r="P18"/>
  <c r="AC671" i="17"/>
  <c r="AC672"/>
  <c r="AC177"/>
  <c r="AD177" s="1"/>
  <c r="F715"/>
  <c r="Q715"/>
  <c r="AC711"/>
  <c r="AD711" s="1"/>
  <c r="AC680"/>
  <c r="R611"/>
  <c r="S611"/>
  <c r="Y622"/>
  <c r="Z622" s="1"/>
  <c r="AA622"/>
  <c r="W622"/>
  <c r="AB622"/>
  <c r="X622"/>
  <c r="AC621"/>
  <c r="AD621" s="1"/>
  <c r="AD618"/>
  <c r="R623"/>
  <c r="U623" s="1"/>
  <c r="S623"/>
  <c r="U635"/>
  <c r="F636"/>
  <c r="AD631"/>
  <c r="AA634"/>
  <c r="W634"/>
  <c r="AB634"/>
  <c r="X634"/>
  <c r="Y634"/>
  <c r="Z634" s="1"/>
  <c r="AC633"/>
  <c r="AD633" s="1"/>
  <c r="Z632"/>
  <c r="AC632" s="1"/>
  <c r="AB530"/>
  <c r="X530"/>
  <c r="Y530"/>
  <c r="Z530" s="1"/>
  <c r="AA530"/>
  <c r="W530"/>
  <c r="U531"/>
  <c r="Q533"/>
  <c r="R533" s="1"/>
  <c r="U532"/>
  <c r="M522"/>
  <c r="M513" s="1"/>
  <c r="F523"/>
  <c r="Q523"/>
  <c r="R523" s="1"/>
  <c r="AA499"/>
  <c r="W499"/>
  <c r="AB499"/>
  <c r="X499"/>
  <c r="Y499"/>
  <c r="Z499" s="1"/>
  <c r="U478"/>
  <c r="F479"/>
  <c r="Q479"/>
  <c r="R479" s="1"/>
  <c r="AD462"/>
  <c r="T483"/>
  <c r="Q483"/>
  <c r="R483" s="1"/>
  <c r="Z489"/>
  <c r="O467"/>
  <c r="U466"/>
  <c r="AA491"/>
  <c r="W491"/>
  <c r="AB491"/>
  <c r="X491"/>
  <c r="Y491"/>
  <c r="Z491" s="1"/>
  <c r="AA464"/>
  <c r="W464"/>
  <c r="AB464"/>
  <c r="X464"/>
  <c r="Y464"/>
  <c r="Z464" s="1"/>
  <c r="F486"/>
  <c r="AA505"/>
  <c r="W505"/>
  <c r="AB505"/>
  <c r="X505"/>
  <c r="Y505"/>
  <c r="Z505" s="1"/>
  <c r="AD488"/>
  <c r="AC497"/>
  <c r="AD497" s="1"/>
  <c r="AC490"/>
  <c r="AD490" s="1"/>
  <c r="Y498"/>
  <c r="Z498" s="1"/>
  <c r="AA498"/>
  <c r="W498"/>
  <c r="AB498"/>
  <c r="X498"/>
  <c r="Q469"/>
  <c r="R469" s="1"/>
  <c r="F469"/>
  <c r="Q493"/>
  <c r="R493" s="1"/>
  <c r="U492"/>
  <c r="F493"/>
  <c r="U506"/>
  <c r="F507"/>
  <c r="Q507"/>
  <c r="R507" s="1"/>
  <c r="AA463"/>
  <c r="W463"/>
  <c r="AB463"/>
  <c r="X463"/>
  <c r="Y463"/>
  <c r="AA477"/>
  <c r="W477"/>
  <c r="AB477"/>
  <c r="X477"/>
  <c r="Y477"/>
  <c r="AD501"/>
  <c r="O483"/>
  <c r="U482"/>
  <c r="AA465"/>
  <c r="W465"/>
  <c r="AB465"/>
  <c r="X465"/>
  <c r="Y465"/>
  <c r="Z465" s="1"/>
  <c r="AC475"/>
  <c r="AA257"/>
  <c r="W257"/>
  <c r="AB257"/>
  <c r="X257"/>
  <c r="Y257"/>
  <c r="Z257" s="1"/>
  <c r="AD410"/>
  <c r="AD449"/>
  <c r="AD397"/>
  <c r="AD202"/>
  <c r="AA349"/>
  <c r="W349"/>
  <c r="AB349"/>
  <c r="X349"/>
  <c r="Y349"/>
  <c r="Z349" s="1"/>
  <c r="AA204"/>
  <c r="W204"/>
  <c r="AB204"/>
  <c r="X204"/>
  <c r="Y204"/>
  <c r="Z204" s="1"/>
  <c r="O174"/>
  <c r="U174" s="1"/>
  <c r="U173"/>
  <c r="O219"/>
  <c r="U218"/>
  <c r="AA348"/>
  <c r="W348"/>
  <c r="AB348"/>
  <c r="X348"/>
  <c r="Y348"/>
  <c r="Z348" s="1"/>
  <c r="R365"/>
  <c r="S365"/>
  <c r="AB387"/>
  <c r="X387"/>
  <c r="Y387"/>
  <c r="Z387" s="1"/>
  <c r="AA387"/>
  <c r="W387"/>
  <c r="Q455"/>
  <c r="R455" s="1"/>
  <c r="U454"/>
  <c r="F455"/>
  <c r="U440"/>
  <c r="Q441"/>
  <c r="R441" s="1"/>
  <c r="U441" s="1"/>
  <c r="AA190"/>
  <c r="W190"/>
  <c r="AB190"/>
  <c r="X190"/>
  <c r="Y190"/>
  <c r="AD254"/>
  <c r="AA333"/>
  <c r="W333"/>
  <c r="AB333"/>
  <c r="X333"/>
  <c r="Y333"/>
  <c r="Z216"/>
  <c r="U193"/>
  <c r="O194"/>
  <c r="R179"/>
  <c r="U179" s="1"/>
  <c r="S179"/>
  <c r="AA346"/>
  <c r="W346"/>
  <c r="AB346"/>
  <c r="X346"/>
  <c r="Y346"/>
  <c r="U361"/>
  <c r="F312"/>
  <c r="U311"/>
  <c r="Q312"/>
  <c r="R312" s="1"/>
  <c r="O245"/>
  <c r="U244"/>
  <c r="R270"/>
  <c r="S270"/>
  <c r="U256"/>
  <c r="Q324"/>
  <c r="R324" s="1"/>
  <c r="U323"/>
  <c r="F324"/>
  <c r="U445"/>
  <c r="F446"/>
  <c r="Q446"/>
  <c r="R446" s="1"/>
  <c r="Z281"/>
  <c r="U262"/>
  <c r="U291"/>
  <c r="AC317"/>
  <c r="AD317" s="1"/>
  <c r="AC170"/>
  <c r="AD170" s="1"/>
  <c r="AC165"/>
  <c r="AD165" s="1"/>
  <c r="U283"/>
  <c r="AC362"/>
  <c r="AD362" s="1"/>
  <c r="U390"/>
  <c r="AC316"/>
  <c r="AD316" s="1"/>
  <c r="AC386"/>
  <c r="AD386" s="1"/>
  <c r="AC411"/>
  <c r="AD411" s="1"/>
  <c r="AC217"/>
  <c r="AD217" s="1"/>
  <c r="AB166"/>
  <c r="X166"/>
  <c r="Y166"/>
  <c r="Z166" s="1"/>
  <c r="AA166"/>
  <c r="W166"/>
  <c r="Q264"/>
  <c r="F264"/>
  <c r="AA364"/>
  <c r="W364"/>
  <c r="AB364"/>
  <c r="X364"/>
  <c r="Y364"/>
  <c r="Z364" s="1"/>
  <c r="AA243"/>
  <c r="W243"/>
  <c r="AB243"/>
  <c r="X243"/>
  <c r="Y243"/>
  <c r="F221"/>
  <c r="Q221"/>
  <c r="R221" s="1"/>
  <c r="AB192"/>
  <c r="X192"/>
  <c r="Y192"/>
  <c r="Z192" s="1"/>
  <c r="AA192"/>
  <c r="W192"/>
  <c r="R186"/>
  <c r="S186"/>
  <c r="Q285"/>
  <c r="R285" s="1"/>
  <c r="U284"/>
  <c r="F285"/>
  <c r="U377"/>
  <c r="F378"/>
  <c r="Q378"/>
  <c r="R378" s="1"/>
  <c r="AD345"/>
  <c r="AB169"/>
  <c r="X169"/>
  <c r="Y169"/>
  <c r="Z169" s="1"/>
  <c r="AA169"/>
  <c r="W169"/>
  <c r="Z164"/>
  <c r="AC164" s="1"/>
  <c r="F233"/>
  <c r="U232"/>
  <c r="Q233"/>
  <c r="F297"/>
  <c r="Q297"/>
  <c r="Y261"/>
  <c r="Z261" s="1"/>
  <c r="AA261"/>
  <c r="W261"/>
  <c r="AB261"/>
  <c r="X261"/>
  <c r="AD384"/>
  <c r="AB373"/>
  <c r="X373"/>
  <c r="Y373"/>
  <c r="Z373" s="1"/>
  <c r="AA373"/>
  <c r="W373"/>
  <c r="Q392"/>
  <c r="R392" s="1"/>
  <c r="U391"/>
  <c r="F392"/>
  <c r="O351"/>
  <c r="U350"/>
  <c r="Q353"/>
  <c r="R353" s="1"/>
  <c r="F353"/>
  <c r="AC437"/>
  <c r="AD437" s="1"/>
  <c r="Z268"/>
  <c r="AC268" s="1"/>
  <c r="AC191"/>
  <c r="AD191" s="1"/>
  <c r="AC412"/>
  <c r="AD412" s="1"/>
  <c r="AC289"/>
  <c r="AD289" s="1"/>
  <c r="AC308"/>
  <c r="AD308" s="1"/>
  <c r="AC451"/>
  <c r="AD451" s="1"/>
  <c r="AC388"/>
  <c r="AD388" s="1"/>
  <c r="AC452"/>
  <c r="AD452" s="1"/>
  <c r="AC334"/>
  <c r="AD334" s="1"/>
  <c r="AC363"/>
  <c r="AD363" s="1"/>
  <c r="AC347"/>
  <c r="AD347" s="1"/>
  <c r="AC438"/>
  <c r="AD438" s="1"/>
  <c r="AD423"/>
  <c r="O175"/>
  <c r="S263"/>
  <c r="R263"/>
  <c r="U263" s="1"/>
  <c r="AC230"/>
  <c r="AD230" s="1"/>
  <c r="F250"/>
  <c r="Q250"/>
  <c r="R250" s="1"/>
  <c r="M249"/>
  <c r="M240" s="1"/>
  <c r="AA290"/>
  <c r="W290"/>
  <c r="AB290"/>
  <c r="X290"/>
  <c r="Y290"/>
  <c r="Z290" s="1"/>
  <c r="AD332"/>
  <c r="Q366"/>
  <c r="U365"/>
  <c r="F366"/>
  <c r="O206"/>
  <c r="U205"/>
  <c r="AA185"/>
  <c r="W185"/>
  <c r="AB185"/>
  <c r="X185"/>
  <c r="Y185"/>
  <c r="Z185" s="1"/>
  <c r="AD358"/>
  <c r="Y335"/>
  <c r="Z335" s="1"/>
  <c r="AA335"/>
  <c r="W335"/>
  <c r="AB335"/>
  <c r="X335"/>
  <c r="AB400"/>
  <c r="X400"/>
  <c r="Y400"/>
  <c r="AA400"/>
  <c r="W400"/>
  <c r="O414"/>
  <c r="U413"/>
  <c r="AA282"/>
  <c r="W282"/>
  <c r="AB282"/>
  <c r="X282"/>
  <c r="Y282"/>
  <c r="Z282" s="1"/>
  <c r="AB231"/>
  <c r="X231"/>
  <c r="AA231"/>
  <c r="W231"/>
  <c r="Y231"/>
  <c r="Z231" s="1"/>
  <c r="R296"/>
  <c r="S296"/>
  <c r="Z320"/>
  <c r="Z372"/>
  <c r="U374"/>
  <c r="AA428"/>
  <c r="W428"/>
  <c r="AB428"/>
  <c r="X428"/>
  <c r="Y428"/>
  <c r="Z428" s="1"/>
  <c r="U178"/>
  <c r="AA269"/>
  <c r="W269"/>
  <c r="AB269"/>
  <c r="X269"/>
  <c r="Y269"/>
  <c r="Z269" s="1"/>
  <c r="AD371"/>
  <c r="Y322"/>
  <c r="Z322" s="1"/>
  <c r="AA322"/>
  <c r="W322"/>
  <c r="AB322"/>
  <c r="X322"/>
  <c r="AA444"/>
  <c r="W444"/>
  <c r="AB444"/>
  <c r="X444"/>
  <c r="Y444"/>
  <c r="Z444" s="1"/>
  <c r="AC281"/>
  <c r="AD281" s="1"/>
  <c r="AC436"/>
  <c r="AC389"/>
  <c r="AD389" s="1"/>
  <c r="AA426"/>
  <c r="W426"/>
  <c r="AB426"/>
  <c r="X426"/>
  <c r="Y426"/>
  <c r="Z426" s="1"/>
  <c r="AA172"/>
  <c r="W172"/>
  <c r="AB172"/>
  <c r="X172"/>
  <c r="Y172"/>
  <c r="Z172" s="1"/>
  <c r="Q213"/>
  <c r="R213" s="1"/>
  <c r="F213"/>
  <c r="AD241"/>
  <c r="T419"/>
  <c r="Q419"/>
  <c r="R419" s="1"/>
  <c r="AA453"/>
  <c r="W453"/>
  <c r="AB453"/>
  <c r="X453"/>
  <c r="Y453"/>
  <c r="Y439"/>
  <c r="AA439"/>
  <c r="W439"/>
  <c r="AB439"/>
  <c r="X439"/>
  <c r="AC216"/>
  <c r="Q208"/>
  <c r="R208" s="1"/>
  <c r="F201"/>
  <c r="F187"/>
  <c r="F175" s="1"/>
  <c r="Q187"/>
  <c r="U186"/>
  <c r="Q180"/>
  <c r="T180"/>
  <c r="AD306"/>
  <c r="AA376"/>
  <c r="W376"/>
  <c r="AB376"/>
  <c r="X376"/>
  <c r="Y376"/>
  <c r="Z376" s="1"/>
  <c r="Q337"/>
  <c r="R337" s="1"/>
  <c r="U336"/>
  <c r="F337"/>
  <c r="F402"/>
  <c r="Q402"/>
  <c r="R402" s="1"/>
  <c r="U401"/>
  <c r="AD228"/>
  <c r="AD280"/>
  <c r="R258"/>
  <c r="U258" s="1"/>
  <c r="S258"/>
  <c r="Y310"/>
  <c r="Z310" s="1"/>
  <c r="AB310"/>
  <c r="W310"/>
  <c r="X310"/>
  <c r="AA310"/>
  <c r="Y295"/>
  <c r="Z295" s="1"/>
  <c r="AA295"/>
  <c r="W295"/>
  <c r="AB295"/>
  <c r="X295"/>
  <c r="AC320"/>
  <c r="Z385"/>
  <c r="Q430"/>
  <c r="R430" s="1"/>
  <c r="U429"/>
  <c r="F430"/>
  <c r="AC424"/>
  <c r="AD424" s="1"/>
  <c r="R304"/>
  <c r="U304" s="1"/>
  <c r="S304"/>
  <c r="F271"/>
  <c r="Q271"/>
  <c r="U270"/>
  <c r="AB294"/>
  <c r="X294"/>
  <c r="Y294"/>
  <c r="AA294"/>
  <c r="W294"/>
  <c r="Q416"/>
  <c r="R416" s="1"/>
  <c r="F409"/>
  <c r="AC287"/>
  <c r="AD287" s="1"/>
  <c r="AC360"/>
  <c r="AD360" s="1"/>
  <c r="AC171"/>
  <c r="AD171" s="1"/>
  <c r="AC427"/>
  <c r="AD427" s="1"/>
  <c r="U162"/>
  <c r="AC450"/>
  <c r="AD450" s="1"/>
  <c r="AC321"/>
  <c r="AD321" s="1"/>
  <c r="R162"/>
  <c r="AC167"/>
  <c r="AD167" s="1"/>
  <c r="O162"/>
  <c r="T136"/>
  <c r="O144"/>
  <c r="U143"/>
  <c r="AA142"/>
  <c r="W142"/>
  <c r="AB142"/>
  <c r="X142"/>
  <c r="Y142"/>
  <c r="Z142" s="1"/>
  <c r="AB139"/>
  <c r="X139"/>
  <c r="Y139"/>
  <c r="AA139"/>
  <c r="W139"/>
  <c r="AC141"/>
  <c r="AD141" s="1"/>
  <c r="AC24"/>
  <c r="AD24" s="1"/>
  <c r="AC25"/>
  <c r="AD25" s="1"/>
  <c r="T30"/>
  <c r="Q30"/>
  <c r="T16"/>
  <c r="Q16"/>
  <c r="AC9"/>
  <c r="AD9" s="1"/>
  <c r="AC557"/>
  <c r="AD557" s="1"/>
  <c r="AC41"/>
  <c r="AD41" s="1"/>
  <c r="R552"/>
  <c r="AC26"/>
  <c r="AD26" s="1"/>
  <c r="AC11"/>
  <c r="AD11" s="1"/>
  <c r="AC40"/>
  <c r="AD40" s="1"/>
  <c r="AC38"/>
  <c r="AD38" s="1"/>
  <c r="AC39"/>
  <c r="AD39" s="1"/>
  <c r="AC36"/>
  <c r="AD36" s="1"/>
  <c r="T45"/>
  <c r="F65"/>
  <c r="Q65"/>
  <c r="W63"/>
  <c r="AB63"/>
  <c r="Y63"/>
  <c r="AA63"/>
  <c r="X63"/>
  <c r="O78"/>
  <c r="U77"/>
  <c r="F80"/>
  <c r="Q80"/>
  <c r="AB76"/>
  <c r="X76"/>
  <c r="Y76"/>
  <c r="Z76" s="1"/>
  <c r="W76"/>
  <c r="AA76"/>
  <c r="AC87"/>
  <c r="AD87" s="1"/>
  <c r="U518"/>
  <c r="O519"/>
  <c r="X156"/>
  <c r="AC516"/>
  <c r="AD516" s="1"/>
  <c r="X155"/>
  <c r="W155"/>
  <c r="Y155"/>
  <c r="Z155" s="1"/>
  <c r="AB155"/>
  <c r="AA155"/>
  <c r="T525"/>
  <c r="T513" s="1"/>
  <c r="AC113"/>
  <c r="AD113" s="1"/>
  <c r="O158"/>
  <c r="U157"/>
  <c r="AB517"/>
  <c r="W517"/>
  <c r="AA517"/>
  <c r="X517"/>
  <c r="Y517"/>
  <c r="Z517" s="1"/>
  <c r="AC154"/>
  <c r="AD154" s="1"/>
  <c r="O599"/>
  <c r="O600" s="1"/>
  <c r="O601" s="1"/>
  <c r="O602" s="1"/>
  <c r="O603" s="1"/>
  <c r="AA597"/>
  <c r="W597"/>
  <c r="AB597"/>
  <c r="X597"/>
  <c r="Y597"/>
  <c r="Z597" s="1"/>
  <c r="AC596"/>
  <c r="AD596" s="1"/>
  <c r="AB56"/>
  <c r="W56"/>
  <c r="AA56"/>
  <c r="X56"/>
  <c r="Y56"/>
  <c r="Z56" s="1"/>
  <c r="AA122"/>
  <c r="Y122"/>
  <c r="Z122" s="1"/>
  <c r="X122"/>
  <c r="AB122"/>
  <c r="W122"/>
  <c r="AA610"/>
  <c r="X610"/>
  <c r="Y610"/>
  <c r="Z610" s="1"/>
  <c r="AB610"/>
  <c r="W610"/>
  <c r="AA568"/>
  <c r="X568"/>
  <c r="Y568"/>
  <c r="Z568" s="1"/>
  <c r="AB568"/>
  <c r="W568"/>
  <c r="AB528"/>
  <c r="AA528"/>
  <c r="Y528"/>
  <c r="Z528" s="1"/>
  <c r="X528"/>
  <c r="W528"/>
  <c r="Y556"/>
  <c r="Z556" s="1"/>
  <c r="AB556"/>
  <c r="W556"/>
  <c r="X556"/>
  <c r="AA556"/>
  <c r="AB581"/>
  <c r="Y581"/>
  <c r="Z581" s="1"/>
  <c r="X581"/>
  <c r="AA581"/>
  <c r="W581"/>
  <c r="U54"/>
  <c r="W54" s="1"/>
  <c r="AC115"/>
  <c r="AD115" s="1"/>
  <c r="AC112"/>
  <c r="AC543"/>
  <c r="AD543" s="1"/>
  <c r="AC22"/>
  <c r="AD22" s="1"/>
  <c r="AC515"/>
  <c r="AD515" s="1"/>
  <c r="T110"/>
  <c r="Z152"/>
  <c r="AB118"/>
  <c r="X118"/>
  <c r="W118"/>
  <c r="Y118"/>
  <c r="Z118" s="1"/>
  <c r="AA118"/>
  <c r="AA120"/>
  <c r="Y120"/>
  <c r="Z120" s="1"/>
  <c r="X120"/>
  <c r="W120"/>
  <c r="AB120"/>
  <c r="Y128"/>
  <c r="Z128" s="1"/>
  <c r="AA128"/>
  <c r="AB128"/>
  <c r="X128"/>
  <c r="W128"/>
  <c r="Q129"/>
  <c r="T129"/>
  <c r="Q583"/>
  <c r="R583" s="1"/>
  <c r="F583"/>
  <c r="AC544"/>
  <c r="AD544" s="1"/>
  <c r="AC609"/>
  <c r="AD609" s="1"/>
  <c r="AC127"/>
  <c r="AD127" s="1"/>
  <c r="Y53"/>
  <c r="Z53" s="1"/>
  <c r="AB53"/>
  <c r="W53"/>
  <c r="AA53"/>
  <c r="X53"/>
  <c r="AA545"/>
  <c r="W545"/>
  <c r="X545"/>
  <c r="Y545"/>
  <c r="Z545" s="1"/>
  <c r="AB545"/>
  <c r="G10" i="6"/>
  <c r="L10" i="4"/>
  <c r="Z126" i="17"/>
  <c r="O130"/>
  <c r="U546"/>
  <c r="U611"/>
  <c r="O570"/>
  <c r="U569"/>
  <c r="W57"/>
  <c r="AA57"/>
  <c r="X57"/>
  <c r="AB57"/>
  <c r="Y57"/>
  <c r="Z57" s="1"/>
  <c r="AC14"/>
  <c r="AD14" s="1"/>
  <c r="AC35"/>
  <c r="AD35" s="1"/>
  <c r="AC580"/>
  <c r="AD580" s="1"/>
  <c r="AC567"/>
  <c r="AD567" s="1"/>
  <c r="AC153"/>
  <c r="AD153" s="1"/>
  <c r="AC100"/>
  <c r="AD100" s="1"/>
  <c r="U582"/>
  <c r="AA50"/>
  <c r="AB50"/>
  <c r="X50"/>
  <c r="Y50"/>
  <c r="W50"/>
  <c r="X54"/>
  <c r="Y665"/>
  <c r="X665"/>
  <c r="AA665"/>
  <c r="W665"/>
  <c r="AB665"/>
  <c r="T90"/>
  <c r="Q90"/>
  <c r="G82" i="9"/>
  <c r="R59"/>
  <c r="G59" s="1"/>
  <c r="G58" s="1"/>
  <c r="G52" s="1"/>
  <c r="H68"/>
  <c r="V13" i="18"/>
  <c r="W13"/>
  <c r="X13" s="1"/>
  <c r="Y13"/>
  <c r="U13"/>
  <c r="Z13"/>
  <c r="U27"/>
  <c r="V27"/>
  <c r="W27"/>
  <c r="Y27"/>
  <c r="Z27"/>
  <c r="AC75" i="17"/>
  <c r="S15" i="18"/>
  <c r="F30" i="21"/>
  <c r="F29" s="1"/>
  <c r="F17"/>
  <c r="F16" s="1"/>
  <c r="F20"/>
  <c r="S16" i="18"/>
  <c r="X12"/>
  <c r="E21" i="24"/>
  <c r="F21" s="1"/>
  <c r="E30" i="4"/>
  <c r="Q600" i="17"/>
  <c r="R600" s="1"/>
  <c r="F600"/>
  <c r="U599"/>
  <c r="W88"/>
  <c r="Y88"/>
  <c r="X88"/>
  <c r="AB88"/>
  <c r="AA88"/>
  <c r="L5" i="18"/>
  <c r="F14" i="22"/>
  <c r="R92" i="9"/>
  <c r="G92" s="1"/>
  <c r="G91" s="1"/>
  <c r="H101"/>
  <c r="G94" i="6"/>
  <c r="F93"/>
  <c r="AC12" i="17"/>
  <c r="O604"/>
  <c r="Z101"/>
  <c r="AA12" i="18"/>
  <c r="G55" i="6"/>
  <c r="Z558" i="17"/>
  <c r="AC558" s="1"/>
  <c r="F34" i="20"/>
  <c r="F28"/>
  <c r="F9"/>
  <c r="F8" s="1"/>
  <c r="F7" s="1"/>
  <c r="F32"/>
  <c r="F24"/>
  <c r="F23" s="1"/>
  <c r="F12"/>
  <c r="F11" s="1"/>
  <c r="F10" s="1"/>
  <c r="F21"/>
  <c r="F20" s="1"/>
  <c r="F19" s="1"/>
  <c r="F33"/>
  <c r="F25"/>
  <c r="Y6" i="8"/>
  <c r="F29" i="20"/>
  <c r="F22"/>
  <c r="F15"/>
  <c r="F14" s="1"/>
  <c r="F13" s="1"/>
  <c r="F18"/>
  <c r="F17" s="1"/>
  <c r="F16" s="1"/>
  <c r="X559" i="17"/>
  <c r="W559"/>
  <c r="Y559"/>
  <c r="Z559" s="1"/>
  <c r="AA559"/>
  <c r="AB559"/>
  <c r="O105"/>
  <c r="M548"/>
  <c r="M539" s="1"/>
  <c r="F549"/>
  <c r="Q549"/>
  <c r="R549" s="1"/>
  <c r="T121" i="18"/>
  <c r="T44" i="17"/>
  <c r="T32" s="1"/>
  <c r="Q44"/>
  <c r="T667"/>
  <c r="Q667"/>
  <c r="F34" i="21"/>
  <c r="F33" s="1"/>
  <c r="AC102" i="17"/>
  <c r="AD102" s="1"/>
  <c r="AD606"/>
  <c r="AB42"/>
  <c r="W42"/>
  <c r="AA42"/>
  <c r="X42"/>
  <c r="Y42"/>
  <c r="AA598"/>
  <c r="AB598"/>
  <c r="X598"/>
  <c r="Y598"/>
  <c r="W598"/>
  <c r="U89"/>
  <c r="O561"/>
  <c r="U560"/>
  <c r="Q572"/>
  <c r="R572" s="1"/>
  <c r="T572"/>
  <c r="U43"/>
  <c r="Z17" i="18"/>
  <c r="V17"/>
  <c r="W17"/>
  <c r="X17" s="1"/>
  <c r="Y17"/>
  <c r="U17"/>
  <c r="O92" i="17"/>
  <c r="R29" i="18"/>
  <c r="S28"/>
  <c r="F6" i="21"/>
  <c r="W55" i="17" l="1"/>
  <c r="AB55"/>
  <c r="AA55"/>
  <c r="Y55"/>
  <c r="Z55" s="1"/>
  <c r="X55"/>
  <c r="X27"/>
  <c r="AB27"/>
  <c r="Y27"/>
  <c r="Z27" s="1"/>
  <c r="W27"/>
  <c r="AA27"/>
  <c r="AB666"/>
  <c r="Y666"/>
  <c r="Z666" s="1"/>
  <c r="AA666"/>
  <c r="X666"/>
  <c r="AC666" s="1"/>
  <c r="W666"/>
  <c r="AC498"/>
  <c r="AD498" s="1"/>
  <c r="AB693"/>
  <c r="AA693"/>
  <c r="Y693"/>
  <c r="Z693" s="1"/>
  <c r="W693"/>
  <c r="X693"/>
  <c r="Q694"/>
  <c r="U694" s="1"/>
  <c r="P695"/>
  <c r="AC692"/>
  <c r="AC684"/>
  <c r="X51"/>
  <c r="Y51"/>
  <c r="Z51" s="1"/>
  <c r="W51"/>
  <c r="AA51"/>
  <c r="AB51"/>
  <c r="Y121"/>
  <c r="Z121" s="1"/>
  <c r="W121"/>
  <c r="X121"/>
  <c r="AA121"/>
  <c r="AB121"/>
  <c r="R110"/>
  <c r="S110"/>
  <c r="S45"/>
  <c r="S552"/>
  <c r="AC464"/>
  <c r="AD464" s="1"/>
  <c r="F23" i="19"/>
  <c r="H23" s="1"/>
  <c r="L46" i="27"/>
  <c r="M46" s="1"/>
  <c r="Y15" i="17"/>
  <c r="Z15" s="1"/>
  <c r="X15"/>
  <c r="W15"/>
  <c r="AC28"/>
  <c r="AD28" s="1"/>
  <c r="X712"/>
  <c r="AB712"/>
  <c r="W712"/>
  <c r="AA712"/>
  <c r="Y712"/>
  <c r="S715"/>
  <c r="R715"/>
  <c r="O714"/>
  <c r="U713"/>
  <c r="U686"/>
  <c r="T687"/>
  <c r="Q687"/>
  <c r="R687" s="1"/>
  <c r="U687" s="1"/>
  <c r="AC685"/>
  <c r="R667"/>
  <c r="S667"/>
  <c r="AA156"/>
  <c r="W156"/>
  <c r="Y156"/>
  <c r="Z156" s="1"/>
  <c r="AB156"/>
  <c r="AC169"/>
  <c r="AD169" s="1"/>
  <c r="AC444"/>
  <c r="AD444" s="1"/>
  <c r="AC505"/>
  <c r="AD505" s="1"/>
  <c r="R201"/>
  <c r="AC335"/>
  <c r="AD335" s="1"/>
  <c r="AC373"/>
  <c r="AD373" s="1"/>
  <c r="AC257"/>
  <c r="AD257" s="1"/>
  <c r="AC142"/>
  <c r="AD142" s="1"/>
  <c r="S129"/>
  <c r="R129"/>
  <c r="U129" s="1"/>
  <c r="AB117"/>
  <c r="W117"/>
  <c r="Y117"/>
  <c r="Z117" s="1"/>
  <c r="AA117"/>
  <c r="X117"/>
  <c r="AB119"/>
  <c r="AA119"/>
  <c r="X119"/>
  <c r="Y119"/>
  <c r="Z119" s="1"/>
  <c r="W119"/>
  <c r="U110"/>
  <c r="Q105"/>
  <c r="T105"/>
  <c r="R104"/>
  <c r="U104" s="1"/>
  <c r="AB104" s="1"/>
  <c r="S104"/>
  <c r="U103"/>
  <c r="R90"/>
  <c r="S90"/>
  <c r="S80"/>
  <c r="R80"/>
  <c r="S65"/>
  <c r="R65"/>
  <c r="AB52"/>
  <c r="X52"/>
  <c r="W52"/>
  <c r="AA52"/>
  <c r="Y52"/>
  <c r="Z52" s="1"/>
  <c r="R45"/>
  <c r="AC48"/>
  <c r="AD48" s="1"/>
  <c r="S44"/>
  <c r="S32" s="1"/>
  <c r="R44"/>
  <c r="R32" s="1"/>
  <c r="W29"/>
  <c r="X29"/>
  <c r="AA29"/>
  <c r="AB29"/>
  <c r="Y29"/>
  <c r="Z29" s="1"/>
  <c r="AC23"/>
  <c r="AD23" s="1"/>
  <c r="S30"/>
  <c r="R30"/>
  <c r="U30" s="1"/>
  <c r="AC13"/>
  <c r="AD13" s="1"/>
  <c r="S16"/>
  <c r="R16"/>
  <c r="S14" i="26"/>
  <c r="S18"/>
  <c r="Y18" s="1"/>
  <c r="U18"/>
  <c r="V18"/>
  <c r="R39"/>
  <c r="S38"/>
  <c r="AA23"/>
  <c r="Y24"/>
  <c r="U24"/>
  <c r="Z24"/>
  <c r="V24"/>
  <c r="W24"/>
  <c r="S16"/>
  <c r="AA21"/>
  <c r="Y37"/>
  <c r="U37"/>
  <c r="Z37"/>
  <c r="V37"/>
  <c r="W37"/>
  <c r="Z13"/>
  <c r="V13"/>
  <c r="W13"/>
  <c r="Y13"/>
  <c r="U13"/>
  <c r="AA36"/>
  <c r="AA34"/>
  <c r="G6"/>
  <c r="G5" s="1"/>
  <c r="Z14"/>
  <c r="V14"/>
  <c r="W14"/>
  <c r="X14" s="1"/>
  <c r="Y14"/>
  <c r="U14"/>
  <c r="R26"/>
  <c r="S25"/>
  <c r="Z17"/>
  <c r="V17"/>
  <c r="W17"/>
  <c r="X17" s="1"/>
  <c r="Y17"/>
  <c r="U17"/>
  <c r="S15"/>
  <c r="S18" i="18"/>
  <c r="P6"/>
  <c r="P5" s="1"/>
  <c r="W41"/>
  <c r="Z41"/>
  <c r="V41"/>
  <c r="Y41"/>
  <c r="U41"/>
  <c r="U14"/>
  <c r="Y14"/>
  <c r="W14"/>
  <c r="X14" s="1"/>
  <c r="V14"/>
  <c r="Z14"/>
  <c r="R43"/>
  <c r="S42"/>
  <c r="Y18"/>
  <c r="W18"/>
  <c r="X18" s="1"/>
  <c r="V18"/>
  <c r="U18"/>
  <c r="Z18"/>
  <c r="AA40"/>
  <c r="G6"/>
  <c r="G5" s="1"/>
  <c r="Q716" i="17"/>
  <c r="F716"/>
  <c r="R612"/>
  <c r="U612" s="1"/>
  <c r="S612"/>
  <c r="AA623"/>
  <c r="W623"/>
  <c r="AB623"/>
  <c r="X623"/>
  <c r="Y623"/>
  <c r="Z623" s="1"/>
  <c r="AC622"/>
  <c r="R624"/>
  <c r="U624" s="1"/>
  <c r="S624"/>
  <c r="AD632"/>
  <c r="F637"/>
  <c r="U636"/>
  <c r="AC634"/>
  <c r="AD634" s="1"/>
  <c r="Y635"/>
  <c r="Z635" s="1"/>
  <c r="AA635"/>
  <c r="W635"/>
  <c r="AB635"/>
  <c r="X635"/>
  <c r="AC530"/>
  <c r="AD530" s="1"/>
  <c r="AB532"/>
  <c r="X532"/>
  <c r="Y532"/>
  <c r="Z532" s="1"/>
  <c r="AA532"/>
  <c r="W532"/>
  <c r="U533"/>
  <c r="F534"/>
  <c r="Q534"/>
  <c r="R534" s="1"/>
  <c r="AA531"/>
  <c r="W531"/>
  <c r="AB531"/>
  <c r="X531"/>
  <c r="Y531"/>
  <c r="Z531" s="1"/>
  <c r="F524"/>
  <c r="Q524"/>
  <c r="R524" s="1"/>
  <c r="Z463"/>
  <c r="AC463" s="1"/>
  <c r="AA506"/>
  <c r="W506"/>
  <c r="AB506"/>
  <c r="X506"/>
  <c r="Y506"/>
  <c r="AB466"/>
  <c r="X466"/>
  <c r="Y466"/>
  <c r="Z466" s="1"/>
  <c r="AA466"/>
  <c r="W466"/>
  <c r="AC499"/>
  <c r="AD499" s="1"/>
  <c r="AD475"/>
  <c r="O484"/>
  <c r="U483"/>
  <c r="U507"/>
  <c r="F508"/>
  <c r="Q508"/>
  <c r="R508" s="1"/>
  <c r="Y492"/>
  <c r="Z492" s="1"/>
  <c r="AA492"/>
  <c r="W492"/>
  <c r="AB492"/>
  <c r="X492"/>
  <c r="Z477"/>
  <c r="AC477" s="1"/>
  <c r="AD477" s="1"/>
  <c r="F494"/>
  <c r="Q494"/>
  <c r="R494" s="1"/>
  <c r="U493"/>
  <c r="Q470"/>
  <c r="R470" s="1"/>
  <c r="F470"/>
  <c r="AA478"/>
  <c r="W478"/>
  <c r="AB478"/>
  <c r="X478"/>
  <c r="Y478"/>
  <c r="Z478" s="1"/>
  <c r="AC465"/>
  <c r="AD465" s="1"/>
  <c r="AA482"/>
  <c r="W482"/>
  <c r="AB482"/>
  <c r="X482"/>
  <c r="Y482"/>
  <c r="Z482" s="1"/>
  <c r="O468"/>
  <c r="U467"/>
  <c r="T484"/>
  <c r="Q484"/>
  <c r="R484" s="1"/>
  <c r="Q480"/>
  <c r="R480" s="1"/>
  <c r="U479"/>
  <c r="F480"/>
  <c r="AC489"/>
  <c r="AC491"/>
  <c r="AD491" s="1"/>
  <c r="AB263"/>
  <c r="X263"/>
  <c r="Y263"/>
  <c r="Z263" s="1"/>
  <c r="AA263"/>
  <c r="W263"/>
  <c r="AD268"/>
  <c r="Z294"/>
  <c r="AA270"/>
  <c r="W270"/>
  <c r="AB270"/>
  <c r="X270"/>
  <c r="Y270"/>
  <c r="Z270" s="1"/>
  <c r="AA304"/>
  <c r="AB304"/>
  <c r="W304"/>
  <c r="X304"/>
  <c r="Y304"/>
  <c r="Z304" s="1"/>
  <c r="AB429"/>
  <c r="X429"/>
  <c r="Y429"/>
  <c r="Z429" s="1"/>
  <c r="AA429"/>
  <c r="W429"/>
  <c r="AA401"/>
  <c r="W401"/>
  <c r="AB401"/>
  <c r="X401"/>
  <c r="Y401"/>
  <c r="Z401" s="1"/>
  <c r="AB336"/>
  <c r="X336"/>
  <c r="Y336"/>
  <c r="Z336" s="1"/>
  <c r="AA336"/>
  <c r="W336"/>
  <c r="AA186"/>
  <c r="W186"/>
  <c r="AB186"/>
  <c r="X186"/>
  <c r="Y186"/>
  <c r="Z186" s="1"/>
  <c r="AB178"/>
  <c r="X178"/>
  <c r="Y178"/>
  <c r="AA178"/>
  <c r="W178"/>
  <c r="Y413"/>
  <c r="AA413"/>
  <c r="W413"/>
  <c r="AB413"/>
  <c r="X413"/>
  <c r="O207"/>
  <c r="U206"/>
  <c r="Q251"/>
  <c r="R251" s="1"/>
  <c r="F251"/>
  <c r="M392"/>
  <c r="M383" s="1"/>
  <c r="F393"/>
  <c r="Q393"/>
  <c r="R393" s="1"/>
  <c r="Q379"/>
  <c r="R379" s="1"/>
  <c r="U378"/>
  <c r="F379"/>
  <c r="AB284"/>
  <c r="X284"/>
  <c r="Y284"/>
  <c r="Z284" s="1"/>
  <c r="AA284"/>
  <c r="W284"/>
  <c r="Z243"/>
  <c r="AC243" s="1"/>
  <c r="Y390"/>
  <c r="AA390"/>
  <c r="W390"/>
  <c r="AB390"/>
  <c r="X390"/>
  <c r="AA262"/>
  <c r="W262"/>
  <c r="AB262"/>
  <c r="X262"/>
  <c r="Y262"/>
  <c r="Z262" s="1"/>
  <c r="F325"/>
  <c r="Q325"/>
  <c r="R325" s="1"/>
  <c r="U324"/>
  <c r="O246"/>
  <c r="U245"/>
  <c r="F313"/>
  <c r="Q313"/>
  <c r="R313" s="1"/>
  <c r="U312"/>
  <c r="O195"/>
  <c r="U194"/>
  <c r="AA441"/>
  <c r="W441"/>
  <c r="AB441"/>
  <c r="X441"/>
  <c r="Y441"/>
  <c r="Z441" s="1"/>
  <c r="O220"/>
  <c r="U219"/>
  <c r="AC295"/>
  <c r="AD295" s="1"/>
  <c r="AC172"/>
  <c r="AD172" s="1"/>
  <c r="AC322"/>
  <c r="AD322" s="1"/>
  <c r="AC185"/>
  <c r="AD185" s="1"/>
  <c r="AC192"/>
  <c r="AD192" s="1"/>
  <c r="AC348"/>
  <c r="AD348" s="1"/>
  <c r="AC204"/>
  <c r="Q431"/>
  <c r="R431" s="1"/>
  <c r="U430"/>
  <c r="F431"/>
  <c r="AA258"/>
  <c r="W258"/>
  <c r="AB258"/>
  <c r="X258"/>
  <c r="Y258"/>
  <c r="Z258" s="1"/>
  <c r="F338"/>
  <c r="Q338"/>
  <c r="R338" s="1"/>
  <c r="U337"/>
  <c r="R180"/>
  <c r="S180"/>
  <c r="AD216"/>
  <c r="Z453"/>
  <c r="T420"/>
  <c r="Q420"/>
  <c r="R420" s="1"/>
  <c r="Y205"/>
  <c r="AA205"/>
  <c r="W205"/>
  <c r="AB205"/>
  <c r="X205"/>
  <c r="R366"/>
  <c r="S366"/>
  <c r="U351"/>
  <c r="Q286"/>
  <c r="R286" s="1"/>
  <c r="U285"/>
  <c r="F265"/>
  <c r="Q265"/>
  <c r="Y445"/>
  <c r="Z445" s="1"/>
  <c r="AA445"/>
  <c r="W445"/>
  <c r="AB445"/>
  <c r="X445"/>
  <c r="Y256"/>
  <c r="AA256"/>
  <c r="W256"/>
  <c r="AB256"/>
  <c r="X256"/>
  <c r="Y244"/>
  <c r="Z244" s="1"/>
  <c r="AA244"/>
  <c r="W244"/>
  <c r="AB244"/>
  <c r="X244"/>
  <c r="AA311"/>
  <c r="W311"/>
  <c r="AB311"/>
  <c r="X311"/>
  <c r="Y311"/>
  <c r="Z311" s="1"/>
  <c r="Z346"/>
  <c r="Y179"/>
  <c r="Z179" s="1"/>
  <c r="AA179"/>
  <c r="W179"/>
  <c r="AB179"/>
  <c r="X179"/>
  <c r="AB454"/>
  <c r="X454"/>
  <c r="Y454"/>
  <c r="Z454" s="1"/>
  <c r="AA454"/>
  <c r="W454"/>
  <c r="Y218"/>
  <c r="AA218"/>
  <c r="W218"/>
  <c r="AB218"/>
  <c r="X218"/>
  <c r="AC372"/>
  <c r="U296"/>
  <c r="Q272"/>
  <c r="F272"/>
  <c r="AC310"/>
  <c r="U402"/>
  <c r="F403"/>
  <c r="Q403"/>
  <c r="R403" s="1"/>
  <c r="T181"/>
  <c r="Q181"/>
  <c r="AD436"/>
  <c r="Z400"/>
  <c r="AC400" s="1"/>
  <c r="Y365"/>
  <c r="Z365" s="1"/>
  <c r="AA365"/>
  <c r="W365"/>
  <c r="AB365"/>
  <c r="X365"/>
  <c r="Q354"/>
  <c r="R354" s="1"/>
  <c r="M353"/>
  <c r="M344" s="1"/>
  <c r="F354"/>
  <c r="F298"/>
  <c r="Q298"/>
  <c r="U233"/>
  <c r="F234"/>
  <c r="Q234"/>
  <c r="AD164"/>
  <c r="AA291"/>
  <c r="W291"/>
  <c r="AB291"/>
  <c r="X291"/>
  <c r="Y291"/>
  <c r="Z291" s="1"/>
  <c r="Q447"/>
  <c r="R447" s="1"/>
  <c r="R435" s="1"/>
  <c r="U446"/>
  <c r="F447"/>
  <c r="F435" s="1"/>
  <c r="Y361"/>
  <c r="AA361"/>
  <c r="W361"/>
  <c r="AB361"/>
  <c r="X361"/>
  <c r="AC346"/>
  <c r="Z190"/>
  <c r="U455"/>
  <c r="F456"/>
  <c r="Q456"/>
  <c r="R456" s="1"/>
  <c r="AA174"/>
  <c r="W174"/>
  <c r="AB174"/>
  <c r="X174"/>
  <c r="Y174"/>
  <c r="Z174" s="1"/>
  <c r="AC385"/>
  <c r="AC376"/>
  <c r="AD376" s="1"/>
  <c r="AC453"/>
  <c r="AD453" s="1"/>
  <c r="AC426"/>
  <c r="AD426" s="1"/>
  <c r="AC231"/>
  <c r="AC290"/>
  <c r="AD290" s="1"/>
  <c r="F279"/>
  <c r="AC166"/>
  <c r="AD166" s="1"/>
  <c r="S271"/>
  <c r="R271"/>
  <c r="U271" s="1"/>
  <c r="AD320"/>
  <c r="S187"/>
  <c r="R187"/>
  <c r="U187" s="1"/>
  <c r="Z439"/>
  <c r="Y374"/>
  <c r="AA374"/>
  <c r="W374"/>
  <c r="AB374"/>
  <c r="X374"/>
  <c r="O415"/>
  <c r="U414"/>
  <c r="F367"/>
  <c r="Q367"/>
  <c r="M366"/>
  <c r="M357" s="1"/>
  <c r="AB350"/>
  <c r="X350"/>
  <c r="Y350"/>
  <c r="Z350" s="1"/>
  <c r="AA350"/>
  <c r="W350"/>
  <c r="AB391"/>
  <c r="X391"/>
  <c r="Y391"/>
  <c r="Z391" s="1"/>
  <c r="AA391"/>
  <c r="W391"/>
  <c r="R297"/>
  <c r="S297"/>
  <c r="AA232"/>
  <c r="W232"/>
  <c r="AB232"/>
  <c r="X232"/>
  <c r="Y232"/>
  <c r="Z232" s="1"/>
  <c r="AA377"/>
  <c r="W377"/>
  <c r="AB377"/>
  <c r="X377"/>
  <c r="Y377"/>
  <c r="Z377" s="1"/>
  <c r="F222"/>
  <c r="Q222"/>
  <c r="R222" s="1"/>
  <c r="R264"/>
  <c r="S264"/>
  <c r="Y283"/>
  <c r="Z283" s="1"/>
  <c r="AA283"/>
  <c r="W283"/>
  <c r="AB283"/>
  <c r="X283"/>
  <c r="AB323"/>
  <c r="X323"/>
  <c r="Y323"/>
  <c r="Z323" s="1"/>
  <c r="AA323"/>
  <c r="W323"/>
  <c r="AA193"/>
  <c r="W193"/>
  <c r="AB193"/>
  <c r="X193"/>
  <c r="Y193"/>
  <c r="Z193" s="1"/>
  <c r="Z333"/>
  <c r="AC333" s="1"/>
  <c r="AC190"/>
  <c r="Y440"/>
  <c r="Z440" s="1"/>
  <c r="AA440"/>
  <c r="W440"/>
  <c r="AB440"/>
  <c r="X440"/>
  <c r="AC387"/>
  <c r="AD387" s="1"/>
  <c r="AB173"/>
  <c r="AB162" s="1"/>
  <c r="X173"/>
  <c r="Y173"/>
  <c r="Z173" s="1"/>
  <c r="Z162" s="1"/>
  <c r="AA173"/>
  <c r="W173"/>
  <c r="AC269"/>
  <c r="AD269" s="1"/>
  <c r="AC428"/>
  <c r="AD428" s="1"/>
  <c r="AC282"/>
  <c r="AD282" s="1"/>
  <c r="AC261"/>
  <c r="AD261" s="1"/>
  <c r="AC364"/>
  <c r="AD364" s="1"/>
  <c r="AC349"/>
  <c r="AD349" s="1"/>
  <c r="Z139"/>
  <c r="O145"/>
  <c r="U144"/>
  <c r="AA143"/>
  <c r="W143"/>
  <c r="AB143"/>
  <c r="X143"/>
  <c r="Y143"/>
  <c r="Z143" s="1"/>
  <c r="AC139"/>
  <c r="Q31"/>
  <c r="T31"/>
  <c r="T19" s="1"/>
  <c r="U16"/>
  <c r="O591"/>
  <c r="T17"/>
  <c r="Q17"/>
  <c r="Y54"/>
  <c r="Z54" s="1"/>
  <c r="AA54"/>
  <c r="AB54"/>
  <c r="U45"/>
  <c r="Q66"/>
  <c r="F66"/>
  <c r="U65"/>
  <c r="Z63"/>
  <c r="AA64"/>
  <c r="Y64"/>
  <c r="Z64" s="1"/>
  <c r="AB64"/>
  <c r="X64"/>
  <c r="W64"/>
  <c r="O79"/>
  <c r="U78"/>
  <c r="AC76"/>
  <c r="AD76" s="1"/>
  <c r="Y77"/>
  <c r="Z77" s="1"/>
  <c r="AA77"/>
  <c r="W77"/>
  <c r="AB77"/>
  <c r="X77"/>
  <c r="F81"/>
  <c r="M80"/>
  <c r="M71" s="1"/>
  <c r="Q81"/>
  <c r="W518"/>
  <c r="X518"/>
  <c r="AB518"/>
  <c r="Y518"/>
  <c r="Z518" s="1"/>
  <c r="AA518"/>
  <c r="AC121"/>
  <c r="AD121" s="1"/>
  <c r="U158"/>
  <c r="O159"/>
  <c r="O520"/>
  <c r="U519"/>
  <c r="AC545"/>
  <c r="AD545" s="1"/>
  <c r="AB157"/>
  <c r="W157"/>
  <c r="X157"/>
  <c r="AA157"/>
  <c r="Y157"/>
  <c r="AC122"/>
  <c r="AD122" s="1"/>
  <c r="AC517"/>
  <c r="AD517" s="1"/>
  <c r="AC155"/>
  <c r="AD155" s="1"/>
  <c r="AC117"/>
  <c r="AD117" s="1"/>
  <c r="AC152"/>
  <c r="AC610"/>
  <c r="AD610" s="1"/>
  <c r="AC597"/>
  <c r="AD597" s="1"/>
  <c r="O571"/>
  <c r="U570"/>
  <c r="U547"/>
  <c r="O131"/>
  <c r="T130"/>
  <c r="Q130"/>
  <c r="AD112"/>
  <c r="U90"/>
  <c r="AA90" s="1"/>
  <c r="AC556"/>
  <c r="AD556" s="1"/>
  <c r="Y569"/>
  <c r="Z569" s="1"/>
  <c r="AA569"/>
  <c r="W569"/>
  <c r="X569"/>
  <c r="AB569"/>
  <c r="AB546"/>
  <c r="W546"/>
  <c r="AA546"/>
  <c r="X546"/>
  <c r="Y546"/>
  <c r="Z546" s="1"/>
  <c r="Y129"/>
  <c r="X129"/>
  <c r="AA129"/>
  <c r="W129"/>
  <c r="AB129"/>
  <c r="F584"/>
  <c r="Q584"/>
  <c r="R584" s="1"/>
  <c r="U583"/>
  <c r="AC53"/>
  <c r="AD53" s="1"/>
  <c r="AC120"/>
  <c r="AD120" s="1"/>
  <c r="AC568"/>
  <c r="AD568" s="1"/>
  <c r="AB116"/>
  <c r="AB110" s="1"/>
  <c r="X116"/>
  <c r="W116"/>
  <c r="AA116"/>
  <c r="AA110" s="1"/>
  <c r="Y116"/>
  <c r="Q613"/>
  <c r="F613"/>
  <c r="AC56"/>
  <c r="AD56" s="1"/>
  <c r="Y582"/>
  <c r="Z582" s="1"/>
  <c r="AB582"/>
  <c r="AA582"/>
  <c r="W582"/>
  <c r="X582"/>
  <c r="X611"/>
  <c r="Y611"/>
  <c r="AB611"/>
  <c r="W611"/>
  <c r="AA611"/>
  <c r="AC126"/>
  <c r="AD152"/>
  <c r="E35" i="24"/>
  <c r="F35" s="1"/>
  <c r="N10" i="4"/>
  <c r="AC128" i="17"/>
  <c r="AD128" s="1"/>
  <c r="AC528"/>
  <c r="AD528" s="1"/>
  <c r="AC57"/>
  <c r="AD57" s="1"/>
  <c r="AC118"/>
  <c r="AD118" s="1"/>
  <c r="AC581"/>
  <c r="AD581" s="1"/>
  <c r="AD558"/>
  <c r="Z28" i="18"/>
  <c r="V28"/>
  <c r="Y28"/>
  <c r="W28"/>
  <c r="X28" s="1"/>
  <c r="U28"/>
  <c r="R30"/>
  <c r="S29"/>
  <c r="AB560" i="17"/>
  <c r="Y560"/>
  <c r="Z560" s="1"/>
  <c r="AA560"/>
  <c r="W560"/>
  <c r="X560"/>
  <c r="Z598"/>
  <c r="AA104"/>
  <c r="X27" i="18"/>
  <c r="AA27" s="1"/>
  <c r="W45" i="17"/>
  <c r="AA17" i="18"/>
  <c r="U548" i="17"/>
  <c r="AA45"/>
  <c r="O93"/>
  <c r="T668"/>
  <c r="Q668"/>
  <c r="Z88"/>
  <c r="AC88" s="1"/>
  <c r="Q91"/>
  <c r="T91"/>
  <c r="Z665"/>
  <c r="AC665" s="1"/>
  <c r="F27" i="20"/>
  <c r="F26" s="1"/>
  <c r="F6" s="1"/>
  <c r="AA13" i="18"/>
  <c r="AB45" i="17"/>
  <c r="W43"/>
  <c r="Y43"/>
  <c r="Z43" s="1"/>
  <c r="AA43"/>
  <c r="X43"/>
  <c r="AB43"/>
  <c r="T573"/>
  <c r="Q574" s="1"/>
  <c r="R574" s="1"/>
  <c r="Q573"/>
  <c r="R573" s="1"/>
  <c r="X89"/>
  <c r="W89"/>
  <c r="AB89"/>
  <c r="Y89"/>
  <c r="Z89" s="1"/>
  <c r="AA89"/>
  <c r="Z42"/>
  <c r="AC42" s="1"/>
  <c r="U667"/>
  <c r="F550"/>
  <c r="Q550"/>
  <c r="R550" s="1"/>
  <c r="AD12"/>
  <c r="R101" i="9"/>
  <c r="G101" s="1"/>
  <c r="G100" s="1"/>
  <c r="H111"/>
  <c r="F12" i="22"/>
  <c r="S12" s="1"/>
  <c r="G14"/>
  <c r="G12" s="1"/>
  <c r="F601" i="17"/>
  <c r="M600"/>
  <c r="M591" s="1"/>
  <c r="Q601"/>
  <c r="R601" s="1"/>
  <c r="C26" i="1"/>
  <c r="AD75" i="17"/>
  <c r="W90"/>
  <c r="Y90"/>
  <c r="Z90" s="1"/>
  <c r="X90"/>
  <c r="AB90"/>
  <c r="AC559"/>
  <c r="AD559" s="1"/>
  <c r="AC51"/>
  <c r="AD51" s="1"/>
  <c r="X45"/>
  <c r="U561"/>
  <c r="O562"/>
  <c r="T122" i="18"/>
  <c r="O106" i="17"/>
  <c r="L46" i="4"/>
  <c r="G93" i="6"/>
  <c r="Y599" i="17"/>
  <c r="Z599" s="1"/>
  <c r="AB599"/>
  <c r="AA599"/>
  <c r="W599"/>
  <c r="X599"/>
  <c r="W16" i="18"/>
  <c r="X16" s="1"/>
  <c r="U16"/>
  <c r="Z16"/>
  <c r="V16"/>
  <c r="Y16"/>
  <c r="W15"/>
  <c r="X15" s="1"/>
  <c r="X6" s="1"/>
  <c r="U15"/>
  <c r="Z15"/>
  <c r="V15"/>
  <c r="Y15"/>
  <c r="Y6" s="1"/>
  <c r="R68" i="9"/>
  <c r="G68" s="1"/>
  <c r="G67" s="1"/>
  <c r="G61" s="1"/>
  <c r="H77"/>
  <c r="Z50" i="17"/>
  <c r="Z45" s="1"/>
  <c r="Y45"/>
  <c r="T565"/>
  <c r="AC52"/>
  <c r="AD52" s="1"/>
  <c r="U44"/>
  <c r="U32" s="1"/>
  <c r="F31" i="20"/>
  <c r="F30" s="1"/>
  <c r="S6" i="18"/>
  <c r="AC55" i="17"/>
  <c r="AD55" s="1"/>
  <c r="AC101"/>
  <c r="AC27" l="1"/>
  <c r="AD27" s="1"/>
  <c r="AC173"/>
  <c r="AD173" s="1"/>
  <c r="AC693"/>
  <c r="Q695"/>
  <c r="U695" s="1"/>
  <c r="P696"/>
  <c r="AC532"/>
  <c r="AD532" s="1"/>
  <c r="AB694"/>
  <c r="AA694"/>
  <c r="Y694"/>
  <c r="Z694" s="1"/>
  <c r="W694"/>
  <c r="X694"/>
  <c r="AC15"/>
  <c r="AD15" s="1"/>
  <c r="U392"/>
  <c r="AC29"/>
  <c r="AD29" s="1"/>
  <c r="R716"/>
  <c r="S716"/>
  <c r="O715"/>
  <c r="U714"/>
  <c r="Z712"/>
  <c r="Y713"/>
  <c r="Z713" s="1"/>
  <c r="X713"/>
  <c r="AB713"/>
  <c r="W713"/>
  <c r="AA713"/>
  <c r="AA686"/>
  <c r="W686"/>
  <c r="AB686"/>
  <c r="Y686"/>
  <c r="X686"/>
  <c r="T688"/>
  <c r="Q688"/>
  <c r="R688" s="1"/>
  <c r="W687"/>
  <c r="AA687"/>
  <c r="Y687"/>
  <c r="Z687" s="1"/>
  <c r="AB687"/>
  <c r="X687"/>
  <c r="R668"/>
  <c r="U668" s="1"/>
  <c r="S668"/>
  <c r="AC635"/>
  <c r="AD635" s="1"/>
  <c r="X162"/>
  <c r="AC156"/>
  <c r="AD156" s="1"/>
  <c r="AA162"/>
  <c r="AC441"/>
  <c r="AD441" s="1"/>
  <c r="AC482"/>
  <c r="AD482" s="1"/>
  <c r="AC454"/>
  <c r="AD454" s="1"/>
  <c r="S130"/>
  <c r="R130"/>
  <c r="X110"/>
  <c r="AC119"/>
  <c r="AD119" s="1"/>
  <c r="S105"/>
  <c r="R105"/>
  <c r="U105" s="1"/>
  <c r="T106"/>
  <c r="Q107" s="1"/>
  <c r="Q106"/>
  <c r="X104"/>
  <c r="AA103"/>
  <c r="Y103"/>
  <c r="Z103" s="1"/>
  <c r="AB103"/>
  <c r="W103"/>
  <c r="X103"/>
  <c r="W104"/>
  <c r="Y104"/>
  <c r="Z104" s="1"/>
  <c r="S91"/>
  <c r="R91"/>
  <c r="S81"/>
  <c r="R81"/>
  <c r="S66"/>
  <c r="R66"/>
  <c r="Y30"/>
  <c r="Z30" s="1"/>
  <c r="AA30"/>
  <c r="W30"/>
  <c r="AB30"/>
  <c r="X30"/>
  <c r="R31"/>
  <c r="S31"/>
  <c r="S19" s="1"/>
  <c r="S17"/>
  <c r="R17"/>
  <c r="U17" s="1"/>
  <c r="Z18" i="26"/>
  <c r="AA17"/>
  <c r="W18"/>
  <c r="X18" s="1"/>
  <c r="Y15"/>
  <c r="U15"/>
  <c r="Z15"/>
  <c r="V15"/>
  <c r="W15"/>
  <c r="X15" s="1"/>
  <c r="R27"/>
  <c r="S26"/>
  <c r="W16"/>
  <c r="X16" s="1"/>
  <c r="Y16"/>
  <c r="U16"/>
  <c r="Z16"/>
  <c r="V16"/>
  <c r="W25"/>
  <c r="X25" s="1"/>
  <c r="Y25"/>
  <c r="U25"/>
  <c r="Z25"/>
  <c r="V25"/>
  <c r="X13"/>
  <c r="X24"/>
  <c r="AA24" s="1"/>
  <c r="R40"/>
  <c r="S39"/>
  <c r="AA14"/>
  <c r="X37"/>
  <c r="AA37" s="1"/>
  <c r="W38"/>
  <c r="X38" s="1"/>
  <c r="Y38"/>
  <c r="U38"/>
  <c r="Z38"/>
  <c r="V38"/>
  <c r="Y6"/>
  <c r="AA18"/>
  <c r="AA13"/>
  <c r="U6"/>
  <c r="Z6"/>
  <c r="AA16" i="18"/>
  <c r="Z6"/>
  <c r="R44"/>
  <c r="S43"/>
  <c r="X41"/>
  <c r="AA41" s="1"/>
  <c r="Y42"/>
  <c r="Z42"/>
  <c r="V42"/>
  <c r="U42"/>
  <c r="W42"/>
  <c r="X42" s="1"/>
  <c r="AA18"/>
  <c r="AA14"/>
  <c r="AC179" i="17"/>
  <c r="AD179" s="1"/>
  <c r="Q717"/>
  <c r="M716"/>
  <c r="M708" s="1"/>
  <c r="M707" s="1"/>
  <c r="F717"/>
  <c r="R613"/>
  <c r="S613"/>
  <c r="AA624"/>
  <c r="W624"/>
  <c r="AB624"/>
  <c r="X624"/>
  <c r="Y624"/>
  <c r="Z624" s="1"/>
  <c r="AD622"/>
  <c r="Q626"/>
  <c r="F626"/>
  <c r="S625"/>
  <c r="R625"/>
  <c r="U625" s="1"/>
  <c r="AC623"/>
  <c r="AD623" s="1"/>
  <c r="U637"/>
  <c r="F638"/>
  <c r="AA636"/>
  <c r="W636"/>
  <c r="AB636"/>
  <c r="X636"/>
  <c r="Y636"/>
  <c r="Z636" s="1"/>
  <c r="AC531"/>
  <c r="AD531" s="1"/>
  <c r="Q535"/>
  <c r="R535" s="1"/>
  <c r="U534"/>
  <c r="F535"/>
  <c r="AA533"/>
  <c r="W533"/>
  <c r="AB533"/>
  <c r="X533"/>
  <c r="Y533"/>
  <c r="Z533" s="1"/>
  <c r="F525"/>
  <c r="F513" s="1"/>
  <c r="Q525"/>
  <c r="R525" s="1"/>
  <c r="R513" s="1"/>
  <c r="AB479"/>
  <c r="X479"/>
  <c r="Y479"/>
  <c r="Z479" s="1"/>
  <c r="AA479"/>
  <c r="W479"/>
  <c r="T485"/>
  <c r="Q485"/>
  <c r="R485" s="1"/>
  <c r="F471"/>
  <c r="Q471"/>
  <c r="R471" s="1"/>
  <c r="M470"/>
  <c r="M461" s="1"/>
  <c r="AB483"/>
  <c r="X483"/>
  <c r="Y483"/>
  <c r="Z483" s="1"/>
  <c r="AA483"/>
  <c r="W483"/>
  <c r="Z506"/>
  <c r="AC506" s="1"/>
  <c r="U480"/>
  <c r="Q481"/>
  <c r="R481" s="1"/>
  <c r="U481" s="1"/>
  <c r="AA493"/>
  <c r="W493"/>
  <c r="AB493"/>
  <c r="X493"/>
  <c r="Y493"/>
  <c r="Y507"/>
  <c r="Z507" s="1"/>
  <c r="AA507"/>
  <c r="W507"/>
  <c r="AB507"/>
  <c r="X507"/>
  <c r="AD463"/>
  <c r="O469"/>
  <c r="U468"/>
  <c r="Q509"/>
  <c r="R509" s="1"/>
  <c r="U508"/>
  <c r="F509"/>
  <c r="F474"/>
  <c r="AC466"/>
  <c r="AD466" s="1"/>
  <c r="AD489"/>
  <c r="AA467"/>
  <c r="W467"/>
  <c r="AB467"/>
  <c r="X467"/>
  <c r="Y467"/>
  <c r="Z467" s="1"/>
  <c r="AC478"/>
  <c r="AD478" s="1"/>
  <c r="Q495"/>
  <c r="R495" s="1"/>
  <c r="U494"/>
  <c r="F495"/>
  <c r="AC492"/>
  <c r="AD492" s="1"/>
  <c r="O485"/>
  <c r="U484"/>
  <c r="AB187"/>
  <c r="X187"/>
  <c r="Y187"/>
  <c r="Z187" s="1"/>
  <c r="AA187"/>
  <c r="W187"/>
  <c r="AD333"/>
  <c r="AB271"/>
  <c r="X271"/>
  <c r="Y271"/>
  <c r="AA271"/>
  <c r="W271"/>
  <c r="AD400"/>
  <c r="Q368"/>
  <c r="F368"/>
  <c r="S298"/>
  <c r="R298"/>
  <c r="S181"/>
  <c r="R181"/>
  <c r="U181" s="1"/>
  <c r="AA402"/>
  <c r="W402"/>
  <c r="AB402"/>
  <c r="X402"/>
  <c r="Y402"/>
  <c r="AA296"/>
  <c r="W296"/>
  <c r="AB296"/>
  <c r="X296"/>
  <c r="Y296"/>
  <c r="AD372"/>
  <c r="U286"/>
  <c r="R279"/>
  <c r="U180"/>
  <c r="U195"/>
  <c r="O196"/>
  <c r="AA245"/>
  <c r="W245"/>
  <c r="AB245"/>
  <c r="X245"/>
  <c r="Y245"/>
  <c r="AA324"/>
  <c r="W324"/>
  <c r="AB324"/>
  <c r="X324"/>
  <c r="Y324"/>
  <c r="F380"/>
  <c r="Q380"/>
  <c r="R380" s="1"/>
  <c r="M379"/>
  <c r="M370" s="1"/>
  <c r="U393"/>
  <c r="F394"/>
  <c r="Q394"/>
  <c r="R394" s="1"/>
  <c r="AC429"/>
  <c r="AD429" s="1"/>
  <c r="AC193"/>
  <c r="AD193" s="1"/>
  <c r="W162"/>
  <c r="AC350"/>
  <c r="AD350" s="1"/>
  <c r="AC439"/>
  <c r="U447"/>
  <c r="AC365"/>
  <c r="AD365" s="1"/>
  <c r="U264"/>
  <c r="AC258"/>
  <c r="AD258" s="1"/>
  <c r="AC336"/>
  <c r="AD336" s="1"/>
  <c r="AC304"/>
  <c r="AD304" s="1"/>
  <c r="AC270"/>
  <c r="AD270" s="1"/>
  <c r="S367"/>
  <c r="R367"/>
  <c r="U367" s="1"/>
  <c r="O416"/>
  <c r="U415"/>
  <c r="AD231"/>
  <c r="AA455"/>
  <c r="W455"/>
  <c r="AB455"/>
  <c r="X455"/>
  <c r="Y455"/>
  <c r="Z455" s="1"/>
  <c r="AD346"/>
  <c r="U403"/>
  <c r="F404"/>
  <c r="Q404"/>
  <c r="R404" s="1"/>
  <c r="F273"/>
  <c r="Q273"/>
  <c r="Z256"/>
  <c r="F253"/>
  <c r="AA285"/>
  <c r="W285"/>
  <c r="AB285"/>
  <c r="X285"/>
  <c r="Y285"/>
  <c r="U338"/>
  <c r="F339"/>
  <c r="Q339"/>
  <c r="R339" s="1"/>
  <c r="AA430"/>
  <c r="W430"/>
  <c r="AB430"/>
  <c r="X430"/>
  <c r="Y430"/>
  <c r="O221"/>
  <c r="U220"/>
  <c r="AB194"/>
  <c r="X194"/>
  <c r="Y194"/>
  <c r="Z194" s="1"/>
  <c r="AA194"/>
  <c r="W194"/>
  <c r="Q314"/>
  <c r="R314" s="1"/>
  <c r="U313"/>
  <c r="F305"/>
  <c r="F252"/>
  <c r="F240" s="1"/>
  <c r="Q252"/>
  <c r="R252" s="1"/>
  <c r="R240" s="1"/>
  <c r="O208"/>
  <c r="U207"/>
  <c r="Z178"/>
  <c r="U297"/>
  <c r="Y162"/>
  <c r="AC263"/>
  <c r="AD263" s="1"/>
  <c r="AD190"/>
  <c r="AC323"/>
  <c r="AC283"/>
  <c r="AD283" s="1"/>
  <c r="AA414"/>
  <c r="W414"/>
  <c r="AB414"/>
  <c r="X414"/>
  <c r="Y414"/>
  <c r="Z414" s="1"/>
  <c r="Z374"/>
  <c r="AC374" s="1"/>
  <c r="AD385"/>
  <c r="Q457"/>
  <c r="R457" s="1"/>
  <c r="U456"/>
  <c r="F457"/>
  <c r="Z361"/>
  <c r="AA233"/>
  <c r="W233"/>
  <c r="Y233"/>
  <c r="Z233" s="1"/>
  <c r="AB233"/>
  <c r="X233"/>
  <c r="F355"/>
  <c r="Q355"/>
  <c r="R355" s="1"/>
  <c r="AD310"/>
  <c r="Z218"/>
  <c r="AC218" s="1"/>
  <c r="S265"/>
  <c r="S253" s="1"/>
  <c r="R265"/>
  <c r="U265" s="1"/>
  <c r="AD243"/>
  <c r="O353"/>
  <c r="U352"/>
  <c r="Z205"/>
  <c r="AC205" s="1"/>
  <c r="AD205" s="1"/>
  <c r="T421"/>
  <c r="T409" s="1"/>
  <c r="Q421"/>
  <c r="R421" s="1"/>
  <c r="R409" s="1"/>
  <c r="F432"/>
  <c r="Q432"/>
  <c r="R432" s="1"/>
  <c r="M431"/>
  <c r="M422" s="1"/>
  <c r="AD204"/>
  <c r="AA219"/>
  <c r="W219"/>
  <c r="AB219"/>
  <c r="X219"/>
  <c r="Y219"/>
  <c r="Z219" s="1"/>
  <c r="U246"/>
  <c r="O247"/>
  <c r="U325"/>
  <c r="F326"/>
  <c r="Q326"/>
  <c r="R326" s="1"/>
  <c r="Z390"/>
  <c r="AC390" s="1"/>
  <c r="AA392"/>
  <c r="W392"/>
  <c r="AB392"/>
  <c r="X392"/>
  <c r="Y392"/>
  <c r="Z392" s="1"/>
  <c r="AA206"/>
  <c r="W206"/>
  <c r="AB206"/>
  <c r="X206"/>
  <c r="Y206"/>
  <c r="Z206" s="1"/>
  <c r="Z413"/>
  <c r="AC413" s="1"/>
  <c r="AC377"/>
  <c r="AD377" s="1"/>
  <c r="AC232"/>
  <c r="AD232" s="1"/>
  <c r="AC391"/>
  <c r="AD391" s="1"/>
  <c r="AC174"/>
  <c r="AD174" s="1"/>
  <c r="AC291"/>
  <c r="AD291" s="1"/>
  <c r="AC445"/>
  <c r="AD445" s="1"/>
  <c r="AC262"/>
  <c r="AD262" s="1"/>
  <c r="AC186"/>
  <c r="AD186" s="1"/>
  <c r="AC401"/>
  <c r="AD401" s="1"/>
  <c r="Q223"/>
  <c r="R223" s="1"/>
  <c r="F223"/>
  <c r="AB446"/>
  <c r="X446"/>
  <c r="Y446"/>
  <c r="AA446"/>
  <c r="W446"/>
  <c r="Q235"/>
  <c r="U234"/>
  <c r="F235"/>
  <c r="Q299"/>
  <c r="U298"/>
  <c r="F299"/>
  <c r="T182"/>
  <c r="Q182"/>
  <c r="R272"/>
  <c r="S272"/>
  <c r="AA351"/>
  <c r="W351"/>
  <c r="AB351"/>
  <c r="X351"/>
  <c r="Y351"/>
  <c r="Z351" s="1"/>
  <c r="AA337"/>
  <c r="W337"/>
  <c r="AB337"/>
  <c r="X337"/>
  <c r="Y337"/>
  <c r="AA312"/>
  <c r="W312"/>
  <c r="Y312"/>
  <c r="AB312"/>
  <c r="X312"/>
  <c r="Y378"/>
  <c r="Z378" s="1"/>
  <c r="AA378"/>
  <c r="W378"/>
  <c r="AB378"/>
  <c r="X378"/>
  <c r="AC440"/>
  <c r="AD440" s="1"/>
  <c r="U366"/>
  <c r="AC311"/>
  <c r="AD311" s="1"/>
  <c r="AC244"/>
  <c r="AD244" s="1"/>
  <c r="AC284"/>
  <c r="AD284" s="1"/>
  <c r="AC294"/>
  <c r="AB144"/>
  <c r="X144"/>
  <c r="Y144"/>
  <c r="Z144" s="1"/>
  <c r="AA144"/>
  <c r="W144"/>
  <c r="AD139"/>
  <c r="O146"/>
  <c r="U145"/>
  <c r="AC143"/>
  <c r="AD143" s="1"/>
  <c r="AC599"/>
  <c r="AD599" s="1"/>
  <c r="T18"/>
  <c r="T6" s="1"/>
  <c r="Q18"/>
  <c r="W16"/>
  <c r="X16"/>
  <c r="Y16"/>
  <c r="Z16" s="1"/>
  <c r="U31"/>
  <c r="R19"/>
  <c r="AC64"/>
  <c r="AD64" s="1"/>
  <c r="AC54"/>
  <c r="AD54" s="1"/>
  <c r="F67"/>
  <c r="Q67"/>
  <c r="U66"/>
  <c r="Y65"/>
  <c r="Z65" s="1"/>
  <c r="W65"/>
  <c r="AB65"/>
  <c r="AA65"/>
  <c r="X65"/>
  <c r="AC63"/>
  <c r="Q82"/>
  <c r="F82"/>
  <c r="O80"/>
  <c r="O81" s="1"/>
  <c r="O82" s="1"/>
  <c r="O83" s="1"/>
  <c r="U79"/>
  <c r="AA78"/>
  <c r="AB78"/>
  <c r="W78"/>
  <c r="X78"/>
  <c r="Y78"/>
  <c r="Z78" s="1"/>
  <c r="U80"/>
  <c r="AC77"/>
  <c r="AD77" s="1"/>
  <c r="Z157"/>
  <c r="AC157" s="1"/>
  <c r="AC518"/>
  <c r="AD518" s="1"/>
  <c r="O521"/>
  <c r="U520"/>
  <c r="AA158"/>
  <c r="Y158"/>
  <c r="Z158" s="1"/>
  <c r="W158"/>
  <c r="AB158"/>
  <c r="X158"/>
  <c r="X519"/>
  <c r="AA519"/>
  <c r="W519"/>
  <c r="Y519"/>
  <c r="AB519"/>
  <c r="O160"/>
  <c r="U159"/>
  <c r="AC546"/>
  <c r="AD546" s="1"/>
  <c r="AC582"/>
  <c r="AD582" s="1"/>
  <c r="M613"/>
  <c r="M604" s="1"/>
  <c r="Q614"/>
  <c r="F614"/>
  <c r="AC560"/>
  <c r="AD560" s="1"/>
  <c r="AC569"/>
  <c r="AD569" s="1"/>
  <c r="W612"/>
  <c r="Y612"/>
  <c r="Z612" s="1"/>
  <c r="X612"/>
  <c r="AA612"/>
  <c r="AB612"/>
  <c r="W110"/>
  <c r="Q585"/>
  <c r="R585" s="1"/>
  <c r="U584"/>
  <c r="F585"/>
  <c r="Z129"/>
  <c r="AC129" s="1"/>
  <c r="O132"/>
  <c r="AD126"/>
  <c r="T131"/>
  <c r="Q131"/>
  <c r="W547"/>
  <c r="AB547"/>
  <c r="X547"/>
  <c r="Y547"/>
  <c r="Z547" s="1"/>
  <c r="AA547"/>
  <c r="O572"/>
  <c r="U571"/>
  <c r="AC89"/>
  <c r="AD89" s="1"/>
  <c r="R565"/>
  <c r="U130"/>
  <c r="Z611"/>
  <c r="AC611" s="1"/>
  <c r="Z116"/>
  <c r="Z110" s="1"/>
  <c r="Y110"/>
  <c r="AB583"/>
  <c r="AA583"/>
  <c r="Y583"/>
  <c r="Z583" s="1"/>
  <c r="X583"/>
  <c r="W583"/>
  <c r="AB570"/>
  <c r="AA570"/>
  <c r="X570"/>
  <c r="Y570"/>
  <c r="Z570" s="1"/>
  <c r="W570"/>
  <c r="AD42"/>
  <c r="AD101"/>
  <c r="W44"/>
  <c r="AB44"/>
  <c r="AB32" s="1"/>
  <c r="Y44"/>
  <c r="Z44" s="1"/>
  <c r="Z32" s="1"/>
  <c r="X44"/>
  <c r="X32" s="1"/>
  <c r="AA44"/>
  <c r="AA32" s="1"/>
  <c r="R77" i="9"/>
  <c r="G77" s="1"/>
  <c r="G76" s="1"/>
  <c r="G70" s="1"/>
  <c r="H86"/>
  <c r="Q551" i="17"/>
  <c r="R551" s="1"/>
  <c r="R539" s="1"/>
  <c r="F551"/>
  <c r="U91"/>
  <c r="Q669"/>
  <c r="T669"/>
  <c r="Q670" s="1"/>
  <c r="V6" i="18"/>
  <c r="U600" i="17"/>
  <c r="AC43"/>
  <c r="AD43" s="1"/>
  <c r="AA28" i="18"/>
  <c r="AA561" i="17"/>
  <c r="AB561"/>
  <c r="X561"/>
  <c r="Y561"/>
  <c r="W561"/>
  <c r="Q92"/>
  <c r="T92"/>
  <c r="S30" i="18"/>
  <c r="R31"/>
  <c r="S31" s="1"/>
  <c r="AA15"/>
  <c r="U6"/>
  <c r="O107" i="17"/>
  <c r="U562"/>
  <c r="O563"/>
  <c r="AD88"/>
  <c r="R111" i="9"/>
  <c r="G111" s="1"/>
  <c r="G110" s="1"/>
  <c r="H120"/>
  <c r="R120" s="1"/>
  <c r="G120" s="1"/>
  <c r="G119" s="1"/>
  <c r="G116" s="1"/>
  <c r="AA667" i="17"/>
  <c r="Y667"/>
  <c r="X667"/>
  <c r="W667"/>
  <c r="AB667"/>
  <c r="W548"/>
  <c r="Y548"/>
  <c r="X548"/>
  <c r="AA548"/>
  <c r="AB548"/>
  <c r="Z29" i="18"/>
  <c r="V29"/>
  <c r="Y29"/>
  <c r="W29"/>
  <c r="U29"/>
  <c r="AC598" i="17"/>
  <c r="W6" i="18"/>
  <c r="AC50" i="17"/>
  <c r="N46" i="4"/>
  <c r="E69" i="24"/>
  <c r="F69" s="1"/>
  <c r="X105" i="17"/>
  <c r="W105"/>
  <c r="AB105"/>
  <c r="AA105"/>
  <c r="Y105"/>
  <c r="T123" i="18"/>
  <c r="Q602" i="17"/>
  <c r="R602" s="1"/>
  <c r="F602"/>
  <c r="U601"/>
  <c r="O94"/>
  <c r="AC90"/>
  <c r="AD90" s="1"/>
  <c r="AC104"/>
  <c r="AD104" s="1"/>
  <c r="O71" l="1"/>
  <c r="U81"/>
  <c r="T97"/>
  <c r="AC414"/>
  <c r="AD414" s="1"/>
  <c r="AC194"/>
  <c r="AD194" s="1"/>
  <c r="AA695"/>
  <c r="W695"/>
  <c r="Y695"/>
  <c r="Z695" s="1"/>
  <c r="AB695"/>
  <c r="X695"/>
  <c r="P697"/>
  <c r="Q696"/>
  <c r="U696" s="1"/>
  <c r="AC694"/>
  <c r="W668"/>
  <c r="AA668"/>
  <c r="AB668"/>
  <c r="X668"/>
  <c r="Y668"/>
  <c r="Z668" s="1"/>
  <c r="T660"/>
  <c r="T659" s="1"/>
  <c r="U688"/>
  <c r="AB688" s="1"/>
  <c r="AB714"/>
  <c r="W714"/>
  <c r="AA714"/>
  <c r="Y714"/>
  <c r="Z714" s="1"/>
  <c r="X714"/>
  <c r="S717"/>
  <c r="R717"/>
  <c r="AC712"/>
  <c r="O716"/>
  <c r="U715"/>
  <c r="AC713"/>
  <c r="AD713" s="1"/>
  <c r="Z686"/>
  <c r="AC687"/>
  <c r="T689"/>
  <c r="T677" s="1"/>
  <c r="T676" s="1"/>
  <c r="Q689"/>
  <c r="R689" s="1"/>
  <c r="X688"/>
  <c r="R669"/>
  <c r="U669" s="1"/>
  <c r="S669"/>
  <c r="S670"/>
  <c r="R670"/>
  <c r="U670" s="1"/>
  <c r="AC158"/>
  <c r="AD158" s="1"/>
  <c r="AC479"/>
  <c r="AD479" s="1"/>
  <c r="AC187"/>
  <c r="AD187" s="1"/>
  <c r="AC483"/>
  <c r="AD483" s="1"/>
  <c r="AC533"/>
  <c r="AD533" s="1"/>
  <c r="S131"/>
  <c r="R131"/>
  <c r="AC103"/>
  <c r="AD103" s="1"/>
  <c r="R106"/>
  <c r="S106"/>
  <c r="R107"/>
  <c r="S107"/>
  <c r="R92"/>
  <c r="U92" s="1"/>
  <c r="S92"/>
  <c r="R82"/>
  <c r="S82"/>
  <c r="S67"/>
  <c r="R67"/>
  <c r="AC30"/>
  <c r="R18"/>
  <c r="R6" s="1"/>
  <c r="S18"/>
  <c r="S6" s="1"/>
  <c r="V6" i="26"/>
  <c r="R41"/>
  <c r="S40"/>
  <c r="R28"/>
  <c r="S27"/>
  <c r="AA38"/>
  <c r="X6"/>
  <c r="AA16"/>
  <c r="AA15"/>
  <c r="Z39"/>
  <c r="V39"/>
  <c r="W39"/>
  <c r="X39" s="1"/>
  <c r="Y39"/>
  <c r="U39"/>
  <c r="Z26"/>
  <c r="V26"/>
  <c r="W26"/>
  <c r="Y26"/>
  <c r="U26"/>
  <c r="W6"/>
  <c r="AA25"/>
  <c r="AA6"/>
  <c r="AA6" i="18"/>
  <c r="R19"/>
  <c r="S44"/>
  <c r="R32"/>
  <c r="V43"/>
  <c r="Z43"/>
  <c r="U43"/>
  <c r="Y43"/>
  <c r="W43"/>
  <c r="X43" s="1"/>
  <c r="AA42"/>
  <c r="F718" i="17"/>
  <c r="Q718"/>
  <c r="R614"/>
  <c r="U614" s="1"/>
  <c r="S614"/>
  <c r="AB625"/>
  <c r="X625"/>
  <c r="Y625"/>
  <c r="AA625"/>
  <c r="W625"/>
  <c r="S626"/>
  <c r="R626"/>
  <c r="AC624"/>
  <c r="AD624" s="1"/>
  <c r="M626"/>
  <c r="M617" s="1"/>
  <c r="Q627"/>
  <c r="F627"/>
  <c r="F639"/>
  <c r="U638"/>
  <c r="AC636"/>
  <c r="Y637"/>
  <c r="Z637" s="1"/>
  <c r="AA637"/>
  <c r="W637"/>
  <c r="AB637"/>
  <c r="X637"/>
  <c r="AB534"/>
  <c r="X534"/>
  <c r="Y534"/>
  <c r="Z534" s="1"/>
  <c r="AA534"/>
  <c r="W534"/>
  <c r="Q536"/>
  <c r="R536" s="1"/>
  <c r="M535"/>
  <c r="M526" s="1"/>
  <c r="F536"/>
  <c r="O486"/>
  <c r="O474" s="1"/>
  <c r="U485"/>
  <c r="Y494"/>
  <c r="Z494" s="1"/>
  <c r="AA494"/>
  <c r="W494"/>
  <c r="AB494"/>
  <c r="X494"/>
  <c r="AB508"/>
  <c r="X508"/>
  <c r="Y508"/>
  <c r="Z508" s="1"/>
  <c r="AA508"/>
  <c r="W508"/>
  <c r="O470"/>
  <c r="U469"/>
  <c r="AC507"/>
  <c r="AD507" s="1"/>
  <c r="T486"/>
  <c r="T474" s="1"/>
  <c r="Q486"/>
  <c r="R486" s="1"/>
  <c r="R474" s="1"/>
  <c r="AC467"/>
  <c r="AD467" s="1"/>
  <c r="AA484"/>
  <c r="W484"/>
  <c r="AB484"/>
  <c r="X484"/>
  <c r="Y484"/>
  <c r="Z484" s="1"/>
  <c r="Q496"/>
  <c r="R496" s="1"/>
  <c r="U495"/>
  <c r="F487"/>
  <c r="M509"/>
  <c r="M500" s="1"/>
  <c r="F510"/>
  <c r="Q510"/>
  <c r="R510" s="1"/>
  <c r="AA480"/>
  <c r="W480"/>
  <c r="AB480"/>
  <c r="X480"/>
  <c r="Y480"/>
  <c r="AB468"/>
  <c r="X468"/>
  <c r="Y468"/>
  <c r="Z468" s="1"/>
  <c r="AA468"/>
  <c r="W468"/>
  <c r="Y481"/>
  <c r="Z481" s="1"/>
  <c r="AA481"/>
  <c r="W481"/>
  <c r="AB481"/>
  <c r="X481"/>
  <c r="Q472"/>
  <c r="R472" s="1"/>
  <c r="F472"/>
  <c r="AD506"/>
  <c r="Z493"/>
  <c r="AD413"/>
  <c r="AB265"/>
  <c r="X265"/>
  <c r="Y265"/>
  <c r="Z265" s="1"/>
  <c r="AA265"/>
  <c r="W265"/>
  <c r="AD374"/>
  <c r="AD390"/>
  <c r="AB367"/>
  <c r="X367"/>
  <c r="Y367"/>
  <c r="Z367" s="1"/>
  <c r="AA367"/>
  <c r="W367"/>
  <c r="AD294"/>
  <c r="Q183"/>
  <c r="T175"/>
  <c r="F236"/>
  <c r="Q236"/>
  <c r="U235"/>
  <c r="R182"/>
  <c r="S182"/>
  <c r="R299"/>
  <c r="U299" s="1"/>
  <c r="S299"/>
  <c r="AA246"/>
  <c r="W246"/>
  <c r="AB246"/>
  <c r="X246"/>
  <c r="Y246"/>
  <c r="Z246" s="1"/>
  <c r="Q433"/>
  <c r="R433" s="1"/>
  <c r="U432"/>
  <c r="F433"/>
  <c r="AB456"/>
  <c r="X456"/>
  <c r="Y456"/>
  <c r="AA456"/>
  <c r="W456"/>
  <c r="F274"/>
  <c r="Q274"/>
  <c r="Y403"/>
  <c r="Z403" s="1"/>
  <c r="AA403"/>
  <c r="W403"/>
  <c r="AB403"/>
  <c r="X403"/>
  <c r="AA447"/>
  <c r="AA435" s="1"/>
  <c r="W447"/>
  <c r="AB447"/>
  <c r="AB435" s="1"/>
  <c r="X447"/>
  <c r="X435" s="1"/>
  <c r="Y447"/>
  <c r="Z447" s="1"/>
  <c r="U435"/>
  <c r="Z324"/>
  <c r="AC324" s="1"/>
  <c r="AD324" s="1"/>
  <c r="O197"/>
  <c r="U196"/>
  <c r="F369"/>
  <c r="Q369"/>
  <c r="AC378"/>
  <c r="AD378" s="1"/>
  <c r="AC162"/>
  <c r="AD162" s="1"/>
  <c r="AC219"/>
  <c r="AD219" s="1"/>
  <c r="U379"/>
  <c r="AA366"/>
  <c r="W366"/>
  <c r="AB366"/>
  <c r="X366"/>
  <c r="Y366"/>
  <c r="Z312"/>
  <c r="AC312" s="1"/>
  <c r="Z337"/>
  <c r="AC337" s="1"/>
  <c r="AC351"/>
  <c r="AB298"/>
  <c r="X298"/>
  <c r="Y298"/>
  <c r="Z298" s="1"/>
  <c r="AA298"/>
  <c r="W298"/>
  <c r="Z446"/>
  <c r="Z435" s="1"/>
  <c r="Q224"/>
  <c r="R224" s="1"/>
  <c r="M223"/>
  <c r="M214" s="1"/>
  <c r="F224"/>
  <c r="AC392"/>
  <c r="AD392" s="1"/>
  <c r="O248"/>
  <c r="U247"/>
  <c r="Q458"/>
  <c r="R458" s="1"/>
  <c r="M457"/>
  <c r="M448" s="1"/>
  <c r="F458"/>
  <c r="AD323"/>
  <c r="U208"/>
  <c r="O209"/>
  <c r="Z430"/>
  <c r="AC430" s="1"/>
  <c r="AA338"/>
  <c r="W338"/>
  <c r="AB338"/>
  <c r="X338"/>
  <c r="Y338"/>
  <c r="Z338" s="1"/>
  <c r="Z285"/>
  <c r="AC285" s="1"/>
  <c r="AD285" s="1"/>
  <c r="R273"/>
  <c r="U273" s="1"/>
  <c r="S273"/>
  <c r="Q405"/>
  <c r="R405" s="1"/>
  <c r="U404"/>
  <c r="F405"/>
  <c r="AA264"/>
  <c r="W264"/>
  <c r="AB264"/>
  <c r="X264"/>
  <c r="Y264"/>
  <c r="U253"/>
  <c r="AD439"/>
  <c r="Z245"/>
  <c r="AC245" s="1"/>
  <c r="AD245" s="1"/>
  <c r="Z296"/>
  <c r="AB181"/>
  <c r="X181"/>
  <c r="Y181"/>
  <c r="Z181" s="1"/>
  <c r="AA181"/>
  <c r="W181"/>
  <c r="AC256"/>
  <c r="R253"/>
  <c r="F300"/>
  <c r="Q300"/>
  <c r="Y234"/>
  <c r="Z234" s="1"/>
  <c r="AB234"/>
  <c r="X234"/>
  <c r="W234"/>
  <c r="AA234"/>
  <c r="AA325"/>
  <c r="W325"/>
  <c r="AB325"/>
  <c r="X325"/>
  <c r="Y325"/>
  <c r="Z325" s="1"/>
  <c r="O354"/>
  <c r="U353"/>
  <c r="Q356"/>
  <c r="R356" s="1"/>
  <c r="R344" s="1"/>
  <c r="F356"/>
  <c r="AC233"/>
  <c r="AD233" s="1"/>
  <c r="AA297"/>
  <c r="W297"/>
  <c r="AB297"/>
  <c r="X297"/>
  <c r="Y297"/>
  <c r="Z297" s="1"/>
  <c r="Y207"/>
  <c r="Z207" s="1"/>
  <c r="AA207"/>
  <c r="W207"/>
  <c r="AB207"/>
  <c r="X207"/>
  <c r="U314"/>
  <c r="R305"/>
  <c r="O222"/>
  <c r="U221"/>
  <c r="Q340"/>
  <c r="R340" s="1"/>
  <c r="U339"/>
  <c r="F340"/>
  <c r="O417"/>
  <c r="U416"/>
  <c r="Y393"/>
  <c r="AA393"/>
  <c r="W393"/>
  <c r="AB393"/>
  <c r="X393"/>
  <c r="Q381"/>
  <c r="R381" s="1"/>
  <c r="U380"/>
  <c r="F381"/>
  <c r="AA180"/>
  <c r="W180"/>
  <c r="AB180"/>
  <c r="X180"/>
  <c r="Y180"/>
  <c r="AC296"/>
  <c r="AD296" s="1"/>
  <c r="R368"/>
  <c r="U368" s="1"/>
  <c r="S368"/>
  <c r="Z271"/>
  <c r="AC206"/>
  <c r="AD206" s="1"/>
  <c r="AC361"/>
  <c r="AC178"/>
  <c r="Q327"/>
  <c r="R327" s="1"/>
  <c r="U326"/>
  <c r="F327"/>
  <c r="AB352"/>
  <c r="X352"/>
  <c r="Y352"/>
  <c r="Z352" s="1"/>
  <c r="AA352"/>
  <c r="W352"/>
  <c r="Y313"/>
  <c r="Z313" s="1"/>
  <c r="AA313"/>
  <c r="W313"/>
  <c r="AB313"/>
  <c r="X313"/>
  <c r="AB220"/>
  <c r="X220"/>
  <c r="W220"/>
  <c r="Y220"/>
  <c r="AA220"/>
  <c r="AD218"/>
  <c r="Y415"/>
  <c r="Z415" s="1"/>
  <c r="AA415"/>
  <c r="W415"/>
  <c r="AB415"/>
  <c r="X415"/>
  <c r="Q395"/>
  <c r="R395" s="1"/>
  <c r="R383" s="1"/>
  <c r="U394"/>
  <c r="F395"/>
  <c r="AA195"/>
  <c r="W195"/>
  <c r="AB195"/>
  <c r="X195"/>
  <c r="Y195"/>
  <c r="Z195" s="1"/>
  <c r="AB286"/>
  <c r="AB279" s="1"/>
  <c r="X286"/>
  <c r="X279" s="1"/>
  <c r="Y286"/>
  <c r="Z286" s="1"/>
  <c r="Z279" s="1"/>
  <c r="AA286"/>
  <c r="AA279" s="1"/>
  <c r="W286"/>
  <c r="W279" s="1"/>
  <c r="U279"/>
  <c r="Z402"/>
  <c r="U431"/>
  <c r="U272"/>
  <c r="AC455"/>
  <c r="O147"/>
  <c r="U146"/>
  <c r="Y145"/>
  <c r="AA145"/>
  <c r="W145"/>
  <c r="AB145"/>
  <c r="X145"/>
  <c r="AC144"/>
  <c r="AC570"/>
  <c r="AD570" s="1"/>
  <c r="X17"/>
  <c r="W17"/>
  <c r="Y17"/>
  <c r="AD30"/>
  <c r="Y31"/>
  <c r="X31"/>
  <c r="X19" s="1"/>
  <c r="AB31"/>
  <c r="AB19" s="1"/>
  <c r="AA31"/>
  <c r="AA19" s="1"/>
  <c r="W31"/>
  <c r="U19"/>
  <c r="AC16"/>
  <c r="AD16" s="1"/>
  <c r="Y32"/>
  <c r="AD63"/>
  <c r="M67"/>
  <c r="M58" s="1"/>
  <c r="F68"/>
  <c r="Q68"/>
  <c r="AB66"/>
  <c r="AA66"/>
  <c r="Y66"/>
  <c r="Z66" s="1"/>
  <c r="X66"/>
  <c r="W66"/>
  <c r="AC65"/>
  <c r="AD65" s="1"/>
  <c r="AB79"/>
  <c r="X79"/>
  <c r="AA79"/>
  <c r="W79"/>
  <c r="Y79"/>
  <c r="Z79" s="1"/>
  <c r="X81"/>
  <c r="W81"/>
  <c r="Y81"/>
  <c r="Z81" s="1"/>
  <c r="AB81"/>
  <c r="AA81"/>
  <c r="AC78"/>
  <c r="AD78" s="1"/>
  <c r="Q83"/>
  <c r="F83"/>
  <c r="U82"/>
  <c r="AA80"/>
  <c r="X80"/>
  <c r="W80"/>
  <c r="AB80"/>
  <c r="Y80"/>
  <c r="Z80" s="1"/>
  <c r="U160"/>
  <c r="O161"/>
  <c r="U161" s="1"/>
  <c r="W520"/>
  <c r="AB520"/>
  <c r="Y520"/>
  <c r="Z520" s="1"/>
  <c r="X520"/>
  <c r="AA520"/>
  <c r="U131"/>
  <c r="AA131" s="1"/>
  <c r="Y159"/>
  <c r="Z159" s="1"/>
  <c r="AB159"/>
  <c r="W159"/>
  <c r="X159"/>
  <c r="AA159"/>
  <c r="Z519"/>
  <c r="AC519" s="1"/>
  <c r="AD157"/>
  <c r="O522"/>
  <c r="U521"/>
  <c r="AC583"/>
  <c r="AD583" s="1"/>
  <c r="U613"/>
  <c r="X613" s="1"/>
  <c r="AD611"/>
  <c r="AD129"/>
  <c r="O573"/>
  <c r="U572"/>
  <c r="O133"/>
  <c r="U585"/>
  <c r="Q586"/>
  <c r="R586" s="1"/>
  <c r="F586"/>
  <c r="AB571"/>
  <c r="W571"/>
  <c r="X571"/>
  <c r="AA571"/>
  <c r="Y571"/>
  <c r="Z571" s="1"/>
  <c r="AC116"/>
  <c r="W130"/>
  <c r="Y130"/>
  <c r="AB130"/>
  <c r="AA130"/>
  <c r="X130"/>
  <c r="T132"/>
  <c r="Q133" s="1"/>
  <c r="Q132"/>
  <c r="F615"/>
  <c r="Q615"/>
  <c r="AC612"/>
  <c r="AD612" s="1"/>
  <c r="U549"/>
  <c r="W584"/>
  <c r="Y584"/>
  <c r="Z584" s="1"/>
  <c r="AA584"/>
  <c r="AB584"/>
  <c r="X584"/>
  <c r="AC547"/>
  <c r="AD547" s="1"/>
  <c r="O95"/>
  <c r="Q603"/>
  <c r="R603" s="1"/>
  <c r="R591" s="1"/>
  <c r="F603"/>
  <c r="U602"/>
  <c r="X29" i="18"/>
  <c r="AA29" s="1"/>
  <c r="O108" i="17"/>
  <c r="U107"/>
  <c r="AB601"/>
  <c r="Y601"/>
  <c r="Z601" s="1"/>
  <c r="AA601"/>
  <c r="X601"/>
  <c r="W601"/>
  <c r="Z105"/>
  <c r="AC105" s="1"/>
  <c r="AD105" s="1"/>
  <c r="Z548"/>
  <c r="AC548" s="1"/>
  <c r="Z667"/>
  <c r="AC667" s="1"/>
  <c r="Y30" i="18"/>
  <c r="U30"/>
  <c r="Z30"/>
  <c r="Z19" s="1"/>
  <c r="V30"/>
  <c r="W30"/>
  <c r="X30" s="1"/>
  <c r="S19"/>
  <c r="AB600" i="17"/>
  <c r="X600"/>
  <c r="Y600"/>
  <c r="AA600"/>
  <c r="W600"/>
  <c r="R86" i="9"/>
  <c r="G86" s="1"/>
  <c r="G85" s="1"/>
  <c r="G79" s="1"/>
  <c r="H95"/>
  <c r="AC44" i="17"/>
  <c r="AD44" s="1"/>
  <c r="W32"/>
  <c r="T124" i="18"/>
  <c r="AC45" i="17"/>
  <c r="AD45" s="1"/>
  <c r="AD50"/>
  <c r="W562"/>
  <c r="AA562"/>
  <c r="Y562"/>
  <c r="Z562" s="1"/>
  <c r="X562"/>
  <c r="AB562"/>
  <c r="U31" i="18"/>
  <c r="V31"/>
  <c r="W31"/>
  <c r="X31" s="1"/>
  <c r="Z31"/>
  <c r="Y31"/>
  <c r="Y19" s="1"/>
  <c r="Z561" i="17"/>
  <c r="AC561" s="1"/>
  <c r="AD598"/>
  <c r="O564"/>
  <c r="U563"/>
  <c r="Q93"/>
  <c r="T93"/>
  <c r="W91"/>
  <c r="X91"/>
  <c r="Y91"/>
  <c r="AA91"/>
  <c r="AB91"/>
  <c r="F539"/>
  <c r="Y688" l="1"/>
  <c r="Z688" s="1"/>
  <c r="AC668"/>
  <c r="P698"/>
  <c r="Q697"/>
  <c r="U697" s="1"/>
  <c r="AA696"/>
  <c r="X696"/>
  <c r="W696"/>
  <c r="AB696"/>
  <c r="Y696"/>
  <c r="Z696" s="1"/>
  <c r="U18"/>
  <c r="U6" s="1"/>
  <c r="Y435"/>
  <c r="AC695"/>
  <c r="R660"/>
  <c r="R659" s="1"/>
  <c r="AA688"/>
  <c r="X670"/>
  <c r="AB670"/>
  <c r="W670"/>
  <c r="Y670"/>
  <c r="Z670" s="1"/>
  <c r="AA670"/>
  <c r="U660"/>
  <c r="U659" s="1"/>
  <c r="X669"/>
  <c r="Y669"/>
  <c r="Z669" s="1"/>
  <c r="Z660" s="1"/>
  <c r="Z659" s="1"/>
  <c r="W669"/>
  <c r="W688"/>
  <c r="AC714"/>
  <c r="AD714" s="1"/>
  <c r="S97"/>
  <c r="AC234"/>
  <c r="AD234" s="1"/>
  <c r="U457"/>
  <c r="AB457" s="1"/>
  <c r="AD712"/>
  <c r="O717"/>
  <c r="U716"/>
  <c r="X715"/>
  <c r="AB715"/>
  <c r="W715"/>
  <c r="AA715"/>
  <c r="Y715"/>
  <c r="R718"/>
  <c r="S718"/>
  <c r="R677"/>
  <c r="R676" s="1"/>
  <c r="U689"/>
  <c r="AC686"/>
  <c r="S660"/>
  <c r="S659" s="1"/>
  <c r="AC195"/>
  <c r="AD195" s="1"/>
  <c r="AC415"/>
  <c r="AD415" s="1"/>
  <c r="AC181"/>
  <c r="AD181" s="1"/>
  <c r="AA253"/>
  <c r="Y131"/>
  <c r="Z131" s="1"/>
  <c r="U149"/>
  <c r="AC481"/>
  <c r="AD481" s="1"/>
  <c r="U509"/>
  <c r="AB509" s="1"/>
  <c r="S133"/>
  <c r="R133"/>
  <c r="AB131"/>
  <c r="R132"/>
  <c r="S132"/>
  <c r="X131"/>
  <c r="U106"/>
  <c r="R97"/>
  <c r="R93"/>
  <c r="U93" s="1"/>
  <c r="S93"/>
  <c r="R83"/>
  <c r="R71" s="1"/>
  <c r="S83"/>
  <c r="S71" s="1"/>
  <c r="R68"/>
  <c r="U68" s="1"/>
  <c r="S68"/>
  <c r="AA39" i="26"/>
  <c r="R29"/>
  <c r="S28"/>
  <c r="Y27"/>
  <c r="U27"/>
  <c r="Z27"/>
  <c r="V27"/>
  <c r="W27"/>
  <c r="X27" s="1"/>
  <c r="R42"/>
  <c r="S41"/>
  <c r="Y40"/>
  <c r="U40"/>
  <c r="Z40"/>
  <c r="V40"/>
  <c r="W40"/>
  <c r="AA26"/>
  <c r="X26"/>
  <c r="R5" i="18"/>
  <c r="V19"/>
  <c r="Z44"/>
  <c r="Z32" s="1"/>
  <c r="Z5" s="1"/>
  <c r="W44"/>
  <c r="X44" s="1"/>
  <c r="X32" s="1"/>
  <c r="V44"/>
  <c r="V32" s="1"/>
  <c r="U44"/>
  <c r="Y44"/>
  <c r="Y32" s="1"/>
  <c r="Y5" s="1"/>
  <c r="F30" i="22" s="1"/>
  <c r="S32" i="18"/>
  <c r="W32"/>
  <c r="AA43"/>
  <c r="AA669" i="17"/>
  <c r="AB669"/>
  <c r="Q719"/>
  <c r="F719"/>
  <c r="F708" s="1"/>
  <c r="F707" s="1"/>
  <c r="U626"/>
  <c r="AB626" s="1"/>
  <c r="W613"/>
  <c r="AA613"/>
  <c r="AB613"/>
  <c r="R615"/>
  <c r="S615"/>
  <c r="Y613"/>
  <c r="Z613" s="1"/>
  <c r="R627"/>
  <c r="U627" s="1"/>
  <c r="S627"/>
  <c r="Z625"/>
  <c r="AC625" s="1"/>
  <c r="Q628"/>
  <c r="F628"/>
  <c r="AD636"/>
  <c r="U639"/>
  <c r="F640"/>
  <c r="AA638"/>
  <c r="W638"/>
  <c r="AB638"/>
  <c r="X638"/>
  <c r="Y638"/>
  <c r="Z638" s="1"/>
  <c r="AC637"/>
  <c r="AD637" s="1"/>
  <c r="AC534"/>
  <c r="AD534" s="1"/>
  <c r="U535"/>
  <c r="F537"/>
  <c r="Q537"/>
  <c r="R537" s="1"/>
  <c r="U536"/>
  <c r="Z480"/>
  <c r="AC480" s="1"/>
  <c r="U496"/>
  <c r="U487" s="1"/>
  <c r="R487"/>
  <c r="AC494"/>
  <c r="AD494" s="1"/>
  <c r="AC484"/>
  <c r="AD484" s="1"/>
  <c r="AC508"/>
  <c r="AC468"/>
  <c r="U510"/>
  <c r="F511"/>
  <c r="Q511"/>
  <c r="R511" s="1"/>
  <c r="AA495"/>
  <c r="W495"/>
  <c r="AB495"/>
  <c r="X495"/>
  <c r="Y495"/>
  <c r="Z495" s="1"/>
  <c r="F473"/>
  <c r="F461" s="1"/>
  <c r="Q473"/>
  <c r="R473" s="1"/>
  <c r="R461" s="1"/>
  <c r="O471"/>
  <c r="U470"/>
  <c r="U486"/>
  <c r="AA509"/>
  <c r="W509"/>
  <c r="AA469"/>
  <c r="W469"/>
  <c r="AB469"/>
  <c r="X469"/>
  <c r="Y469"/>
  <c r="Z469" s="1"/>
  <c r="AB485"/>
  <c r="X485"/>
  <c r="Y485"/>
  <c r="Z485" s="1"/>
  <c r="AA485"/>
  <c r="W485"/>
  <c r="AC493"/>
  <c r="AA273"/>
  <c r="W273"/>
  <c r="AB273"/>
  <c r="X273"/>
  <c r="Y273"/>
  <c r="Z273" s="1"/>
  <c r="AA368"/>
  <c r="W368"/>
  <c r="AB368"/>
  <c r="X368"/>
  <c r="Y368"/>
  <c r="Z368" s="1"/>
  <c r="AD430"/>
  <c r="AD312"/>
  <c r="AD337"/>
  <c r="Y272"/>
  <c r="AA272"/>
  <c r="W272"/>
  <c r="AB272"/>
  <c r="X272"/>
  <c r="Z220"/>
  <c r="AC220" s="1"/>
  <c r="F328"/>
  <c r="Q328"/>
  <c r="R328" s="1"/>
  <c r="M327"/>
  <c r="M318" s="1"/>
  <c r="Z180"/>
  <c r="AC180" s="1"/>
  <c r="AD180" s="1"/>
  <c r="Y380"/>
  <c r="Z380" s="1"/>
  <c r="AB380"/>
  <c r="X380"/>
  <c r="AA380"/>
  <c r="W380"/>
  <c r="AB416"/>
  <c r="X416"/>
  <c r="Y416"/>
  <c r="Z416" s="1"/>
  <c r="AA416"/>
  <c r="W416"/>
  <c r="AB314"/>
  <c r="AB305" s="1"/>
  <c r="X314"/>
  <c r="X305" s="1"/>
  <c r="Y314"/>
  <c r="AA314"/>
  <c r="AA305" s="1"/>
  <c r="W314"/>
  <c r="W305" s="1"/>
  <c r="U305"/>
  <c r="F344"/>
  <c r="Y353"/>
  <c r="AA353"/>
  <c r="W353"/>
  <c r="AB353"/>
  <c r="X353"/>
  <c r="S300"/>
  <c r="R300"/>
  <c r="U300" s="1"/>
  <c r="Z264"/>
  <c r="Z253" s="1"/>
  <c r="Y253"/>
  <c r="AB404"/>
  <c r="X404"/>
  <c r="Y404"/>
  <c r="AA404"/>
  <c r="W404"/>
  <c r="F357"/>
  <c r="S274"/>
  <c r="R274"/>
  <c r="U274" s="1"/>
  <c r="AC207"/>
  <c r="AD207" s="1"/>
  <c r="AC297"/>
  <c r="AD297" s="1"/>
  <c r="Y279"/>
  <c r="AC298"/>
  <c r="AD298" s="1"/>
  <c r="AA431"/>
  <c r="W431"/>
  <c r="AB431"/>
  <c r="X431"/>
  <c r="Y431"/>
  <c r="AB394"/>
  <c r="X394"/>
  <c r="Y394"/>
  <c r="Z394" s="1"/>
  <c r="AA394"/>
  <c r="W394"/>
  <c r="Q382"/>
  <c r="R382" s="1"/>
  <c r="R370" s="1"/>
  <c r="F382"/>
  <c r="F370" s="1"/>
  <c r="U381"/>
  <c r="Z393"/>
  <c r="AC393" s="1"/>
  <c r="AD393" s="1"/>
  <c r="Y339"/>
  <c r="Z339" s="1"/>
  <c r="AA339"/>
  <c r="W339"/>
  <c r="AB339"/>
  <c r="X339"/>
  <c r="W253"/>
  <c r="M405"/>
  <c r="M396" s="1"/>
  <c r="F406"/>
  <c r="Q406"/>
  <c r="R406" s="1"/>
  <c r="Y208"/>
  <c r="Z208" s="1"/>
  <c r="AA208"/>
  <c r="W208"/>
  <c r="AB208"/>
  <c r="X208"/>
  <c r="Y457"/>
  <c r="Z457" s="1"/>
  <c r="X457"/>
  <c r="O249"/>
  <c r="U248"/>
  <c r="F225"/>
  <c r="Q225"/>
  <c r="R225" s="1"/>
  <c r="AD351"/>
  <c r="S369"/>
  <c r="S357" s="1"/>
  <c r="R369"/>
  <c r="R357" s="1"/>
  <c r="AC246"/>
  <c r="AD246" s="1"/>
  <c r="M236"/>
  <c r="M227" s="1"/>
  <c r="F237"/>
  <c r="Q237"/>
  <c r="AC402"/>
  <c r="AC403"/>
  <c r="AD403" s="1"/>
  <c r="AC367"/>
  <c r="AD367" s="1"/>
  <c r="AD455"/>
  <c r="U395"/>
  <c r="F383"/>
  <c r="AD178"/>
  <c r="AD361"/>
  <c r="F341"/>
  <c r="Q341"/>
  <c r="R341" s="1"/>
  <c r="M340"/>
  <c r="M331" s="1"/>
  <c r="O223"/>
  <c r="U222"/>
  <c r="AC325"/>
  <c r="AD325" s="1"/>
  <c r="AA299"/>
  <c r="W299"/>
  <c r="AB299"/>
  <c r="X299"/>
  <c r="Y299"/>
  <c r="Z299" s="1"/>
  <c r="O210"/>
  <c r="U209"/>
  <c r="F459"/>
  <c r="Q459"/>
  <c r="R459" s="1"/>
  <c r="U458"/>
  <c r="AB247"/>
  <c r="X247"/>
  <c r="Y247"/>
  <c r="AA247"/>
  <c r="W247"/>
  <c r="Y379"/>
  <c r="W379"/>
  <c r="X379"/>
  <c r="AA379"/>
  <c r="AB379"/>
  <c r="U197"/>
  <c r="O198"/>
  <c r="AC447"/>
  <c r="AD447" s="1"/>
  <c r="W435"/>
  <c r="Y432"/>
  <c r="Z432" s="1"/>
  <c r="AA432"/>
  <c r="W432"/>
  <c r="AB432"/>
  <c r="X432"/>
  <c r="AC271"/>
  <c r="AB253"/>
  <c r="Y326"/>
  <c r="Z326" s="1"/>
  <c r="AA326"/>
  <c r="W326"/>
  <c r="AB326"/>
  <c r="X326"/>
  <c r="U417"/>
  <c r="O418"/>
  <c r="Y221"/>
  <c r="Z221" s="1"/>
  <c r="AA221"/>
  <c r="AB221"/>
  <c r="W221"/>
  <c r="X221"/>
  <c r="O355"/>
  <c r="U354"/>
  <c r="Q301"/>
  <c r="F301"/>
  <c r="AD256"/>
  <c r="Z366"/>
  <c r="AC366" s="1"/>
  <c r="AB196"/>
  <c r="X196"/>
  <c r="Y196"/>
  <c r="AA196"/>
  <c r="W196"/>
  <c r="Q275"/>
  <c r="F275"/>
  <c r="Z456"/>
  <c r="AC456" s="1"/>
  <c r="AD456" s="1"/>
  <c r="F434"/>
  <c r="Q434"/>
  <c r="R434" s="1"/>
  <c r="R422" s="1"/>
  <c r="U433"/>
  <c r="U182"/>
  <c r="AB235"/>
  <c r="X235"/>
  <c r="Y235"/>
  <c r="Z235" s="1"/>
  <c r="AA235"/>
  <c r="W235"/>
  <c r="S183"/>
  <c r="S175" s="1"/>
  <c r="R183"/>
  <c r="U183" s="1"/>
  <c r="AC286"/>
  <c r="AD286" s="1"/>
  <c r="AC313"/>
  <c r="AD313" s="1"/>
  <c r="AC352"/>
  <c r="AD352" s="1"/>
  <c r="AC338"/>
  <c r="AD338" s="1"/>
  <c r="AC446"/>
  <c r="AC265"/>
  <c r="AD265" s="1"/>
  <c r="X253"/>
  <c r="O148"/>
  <c r="U147"/>
  <c r="AD144"/>
  <c r="AA146"/>
  <c r="W146"/>
  <c r="AB146"/>
  <c r="X146"/>
  <c r="Y146"/>
  <c r="Z146" s="1"/>
  <c r="Z145"/>
  <c r="AC145" s="1"/>
  <c r="W19"/>
  <c r="Z31"/>
  <c r="Z19" s="1"/>
  <c r="Y19"/>
  <c r="AC81"/>
  <c r="AD81" s="1"/>
  <c r="Z17"/>
  <c r="AC17" s="1"/>
  <c r="AD17" s="1"/>
  <c r="F69"/>
  <c r="Q69"/>
  <c r="AC66"/>
  <c r="AD66" s="1"/>
  <c r="U67"/>
  <c r="F71"/>
  <c r="U83"/>
  <c r="AC80"/>
  <c r="AD80" s="1"/>
  <c r="AA82"/>
  <c r="X82"/>
  <c r="AB82"/>
  <c r="Y82"/>
  <c r="Z82" s="1"/>
  <c r="W82"/>
  <c r="AC79"/>
  <c r="AD79" s="1"/>
  <c r="AD519"/>
  <c r="AB160"/>
  <c r="W160"/>
  <c r="Y160"/>
  <c r="Z160" s="1"/>
  <c r="X160"/>
  <c r="AA160"/>
  <c r="R123"/>
  <c r="W131"/>
  <c r="Y161"/>
  <c r="Z161" s="1"/>
  <c r="AA161"/>
  <c r="AA149" s="1"/>
  <c r="W161"/>
  <c r="X161"/>
  <c r="AB161"/>
  <c r="AC159"/>
  <c r="U522"/>
  <c r="O523"/>
  <c r="O149"/>
  <c r="W521"/>
  <c r="AB521"/>
  <c r="X521"/>
  <c r="AA521"/>
  <c r="Y521"/>
  <c r="Z521" s="1"/>
  <c r="AC520"/>
  <c r="AD520" s="1"/>
  <c r="W549"/>
  <c r="Y549"/>
  <c r="Z549" s="1"/>
  <c r="X549"/>
  <c r="AA549"/>
  <c r="AB549"/>
  <c r="AC571"/>
  <c r="AD571" s="1"/>
  <c r="O134"/>
  <c r="U133"/>
  <c r="O574"/>
  <c r="U573"/>
  <c r="AC601"/>
  <c r="AD601" s="1"/>
  <c r="Q616"/>
  <c r="F616"/>
  <c r="F604" s="1"/>
  <c r="U615"/>
  <c r="AA585"/>
  <c r="W585"/>
  <c r="Y585"/>
  <c r="Z585" s="1"/>
  <c r="AB585"/>
  <c r="X585"/>
  <c r="AA572"/>
  <c r="Y572"/>
  <c r="W572"/>
  <c r="X572"/>
  <c r="AB572"/>
  <c r="AC584"/>
  <c r="AD584" s="1"/>
  <c r="Z130"/>
  <c r="AC110"/>
  <c r="AD110" s="1"/>
  <c r="AD116"/>
  <c r="T123"/>
  <c r="U551"/>
  <c r="AB551" s="1"/>
  <c r="U550"/>
  <c r="AB614"/>
  <c r="Y614"/>
  <c r="Z614" s="1"/>
  <c r="AA614"/>
  <c r="W614"/>
  <c r="X614"/>
  <c r="U586"/>
  <c r="Q587"/>
  <c r="R587" s="1"/>
  <c r="F587"/>
  <c r="U132"/>
  <c r="AD548"/>
  <c r="R10" i="9"/>
  <c r="G9"/>
  <c r="G6" s="1"/>
  <c r="F59" i="6"/>
  <c r="Q94" i="17"/>
  <c r="T94"/>
  <c r="Q95" s="1"/>
  <c r="W563"/>
  <c r="AA563"/>
  <c r="AB563"/>
  <c r="Y563"/>
  <c r="X563"/>
  <c r="AB602"/>
  <c r="X602"/>
  <c r="Y602"/>
  <c r="Z602" s="1"/>
  <c r="AA602"/>
  <c r="W602"/>
  <c r="AC32"/>
  <c r="W19" i="18"/>
  <c r="W5" s="1"/>
  <c r="AD561" i="17"/>
  <c r="O109"/>
  <c r="U108"/>
  <c r="O96"/>
  <c r="AA31" i="18"/>
  <c r="AA19" s="1"/>
  <c r="AA30"/>
  <c r="U19"/>
  <c r="Z91" i="17"/>
  <c r="AC91" s="1"/>
  <c r="T125" i="18"/>
  <c r="Z600" i="17"/>
  <c r="X107"/>
  <c r="W107"/>
  <c r="AB107"/>
  <c r="Y107"/>
  <c r="AA107"/>
  <c r="Y551"/>
  <c r="U564"/>
  <c r="O552"/>
  <c r="Y92"/>
  <c r="Z92" s="1"/>
  <c r="X92"/>
  <c r="AA92"/>
  <c r="AB92"/>
  <c r="W92"/>
  <c r="R95" i="9"/>
  <c r="G95" s="1"/>
  <c r="G94" s="1"/>
  <c r="G88" s="1"/>
  <c r="H105"/>
  <c r="U603" i="17"/>
  <c r="F591"/>
  <c r="AC562"/>
  <c r="AD562" s="1"/>
  <c r="Y660"/>
  <c r="Y659" s="1"/>
  <c r="X19" i="18"/>
  <c r="Y509" i="17" l="1"/>
  <c r="AB660"/>
  <c r="AB659" s="1"/>
  <c r="X509"/>
  <c r="W551"/>
  <c r="AC669"/>
  <c r="AC131"/>
  <c r="AD131" s="1"/>
  <c r="P699"/>
  <c r="Q698"/>
  <c r="U698" s="1"/>
  <c r="AB697"/>
  <c r="Y697"/>
  <c r="X697"/>
  <c r="W697"/>
  <c r="AA697"/>
  <c r="AC670"/>
  <c r="AC660" s="1"/>
  <c r="AC659" s="1"/>
  <c r="X18"/>
  <c r="X6" s="1"/>
  <c r="W457"/>
  <c r="U382"/>
  <c r="AA660"/>
  <c r="AA659" s="1"/>
  <c r="W18"/>
  <c r="W6" s="1"/>
  <c r="AA457"/>
  <c r="AC696"/>
  <c r="Y18"/>
  <c r="Z18" s="1"/>
  <c r="Z6" s="1"/>
  <c r="U405"/>
  <c r="AC688"/>
  <c r="X660"/>
  <c r="X659" s="1"/>
  <c r="W660"/>
  <c r="W659" s="1"/>
  <c r="U327"/>
  <c r="AB327" s="1"/>
  <c r="U340"/>
  <c r="AB340" s="1"/>
  <c r="AC273"/>
  <c r="AD273" s="1"/>
  <c r="AC485"/>
  <c r="AD485" s="1"/>
  <c r="L35" i="27"/>
  <c r="F54" i="6"/>
  <c r="Z715" i="17"/>
  <c r="S719"/>
  <c r="S708" s="1"/>
  <c r="S707" s="1"/>
  <c r="R719"/>
  <c r="R708" s="1"/>
  <c r="R707" s="1"/>
  <c r="Q708"/>
  <c r="Q707" s="1"/>
  <c r="O718"/>
  <c r="U717"/>
  <c r="AB716"/>
  <c r="W716"/>
  <c r="AA716"/>
  <c r="Y716"/>
  <c r="Z716" s="1"/>
  <c r="X716"/>
  <c r="X689"/>
  <c r="X677" s="1"/>
  <c r="AB689"/>
  <c r="AB677" s="1"/>
  <c r="AA689"/>
  <c r="AA677" s="1"/>
  <c r="Y689"/>
  <c r="W689"/>
  <c r="W677" s="1"/>
  <c r="U677"/>
  <c r="F102" i="6"/>
  <c r="Y626" i="17"/>
  <c r="Z626" s="1"/>
  <c r="AA626"/>
  <c r="AC326"/>
  <c r="AD326" s="1"/>
  <c r="U370"/>
  <c r="AC161"/>
  <c r="AD161" s="1"/>
  <c r="AC495"/>
  <c r="AD495" s="1"/>
  <c r="X149"/>
  <c r="AC160"/>
  <c r="AD160" s="1"/>
  <c r="U236"/>
  <c r="AA236" s="1"/>
  <c r="U369"/>
  <c r="AB369" s="1"/>
  <c r="AB357" s="1"/>
  <c r="S123"/>
  <c r="W106"/>
  <c r="AB106"/>
  <c r="Y106"/>
  <c r="Z106" s="1"/>
  <c r="AA106"/>
  <c r="X106"/>
  <c r="AB93"/>
  <c r="Y93"/>
  <c r="Z93" s="1"/>
  <c r="W93"/>
  <c r="AA93"/>
  <c r="X93"/>
  <c r="R94"/>
  <c r="S94"/>
  <c r="S95"/>
  <c r="R95"/>
  <c r="U95" s="1"/>
  <c r="S69"/>
  <c r="R69"/>
  <c r="AC31"/>
  <c r="AC19" s="1"/>
  <c r="AD19" s="1"/>
  <c r="R43" i="26"/>
  <c r="S42"/>
  <c r="AA27"/>
  <c r="Y41"/>
  <c r="U41"/>
  <c r="Z41"/>
  <c r="V41"/>
  <c r="W41"/>
  <c r="X41" s="1"/>
  <c r="R30"/>
  <c r="S29"/>
  <c r="X40"/>
  <c r="AA40" s="1"/>
  <c r="Y28"/>
  <c r="U28"/>
  <c r="Z28"/>
  <c r="V28"/>
  <c r="W28"/>
  <c r="AA44" i="18"/>
  <c r="AA32" s="1"/>
  <c r="AA5" s="1"/>
  <c r="F27" i="22"/>
  <c r="S27" s="1"/>
  <c r="G30"/>
  <c r="G27" s="1"/>
  <c r="X5" i="18"/>
  <c r="V5"/>
  <c r="U32"/>
  <c r="U5" s="1"/>
  <c r="F26" i="22" s="1"/>
  <c r="X626" i="17"/>
  <c r="W626"/>
  <c r="AC613"/>
  <c r="AD613" s="1"/>
  <c r="R616"/>
  <c r="R604" s="1"/>
  <c r="S616"/>
  <c r="S604" s="1"/>
  <c r="AD625"/>
  <c r="R628"/>
  <c r="U628" s="1"/>
  <c r="S628"/>
  <c r="Y627"/>
  <c r="Z627" s="1"/>
  <c r="AA627"/>
  <c r="W627"/>
  <c r="AB627"/>
  <c r="X627"/>
  <c r="F629"/>
  <c r="F617" s="1"/>
  <c r="Q629"/>
  <c r="AC638"/>
  <c r="AD638" s="1"/>
  <c r="Y639"/>
  <c r="Z639" s="1"/>
  <c r="AA639"/>
  <c r="W639"/>
  <c r="AB639"/>
  <c r="X639"/>
  <c r="F641"/>
  <c r="U640"/>
  <c r="AA551"/>
  <c r="AA536"/>
  <c r="W536"/>
  <c r="AB536"/>
  <c r="X536"/>
  <c r="Y536"/>
  <c r="Z536" s="1"/>
  <c r="Y535"/>
  <c r="Z535" s="1"/>
  <c r="AA535"/>
  <c r="W535"/>
  <c r="AB535"/>
  <c r="X535"/>
  <c r="Q538"/>
  <c r="R538" s="1"/>
  <c r="R526" s="1"/>
  <c r="U537"/>
  <c r="F538"/>
  <c r="AD493"/>
  <c r="AA486"/>
  <c r="AA474" s="1"/>
  <c r="W486"/>
  <c r="W474" s="1"/>
  <c r="AB486"/>
  <c r="AB474" s="1"/>
  <c r="X486"/>
  <c r="X474" s="1"/>
  <c r="Y486"/>
  <c r="Z486" s="1"/>
  <c r="Z474" s="1"/>
  <c r="U474"/>
  <c r="O472"/>
  <c r="U471"/>
  <c r="Y510"/>
  <c r="Z510" s="1"/>
  <c r="AA510"/>
  <c r="W510"/>
  <c r="AB510"/>
  <c r="X510"/>
  <c r="AD468"/>
  <c r="Y496"/>
  <c r="AA496"/>
  <c r="AA487" s="1"/>
  <c r="W496"/>
  <c r="AB496"/>
  <c r="AB487" s="1"/>
  <c r="X496"/>
  <c r="X487" s="1"/>
  <c r="AA470"/>
  <c r="W470"/>
  <c r="AB470"/>
  <c r="X470"/>
  <c r="Y470"/>
  <c r="Z470" s="1"/>
  <c r="Q512"/>
  <c r="R512" s="1"/>
  <c r="R500" s="1"/>
  <c r="U511"/>
  <c r="F512"/>
  <c r="AC469"/>
  <c r="AD469" s="1"/>
  <c r="Z509"/>
  <c r="AD480"/>
  <c r="AD508"/>
  <c r="AD220"/>
  <c r="AB300"/>
  <c r="X300"/>
  <c r="Y300"/>
  <c r="Z300" s="1"/>
  <c r="AA300"/>
  <c r="W300"/>
  <c r="AD366"/>
  <c r="M275"/>
  <c r="M266" s="1"/>
  <c r="Q276"/>
  <c r="F276"/>
  <c r="R301"/>
  <c r="S301"/>
  <c r="AA433"/>
  <c r="W433"/>
  <c r="AB433"/>
  <c r="X433"/>
  <c r="Y433"/>
  <c r="Z433" s="1"/>
  <c r="S275"/>
  <c r="R275"/>
  <c r="Z196"/>
  <c r="AA209"/>
  <c r="W209"/>
  <c r="AB209"/>
  <c r="X209"/>
  <c r="Y209"/>
  <c r="Z209" s="1"/>
  <c r="O224"/>
  <c r="U223"/>
  <c r="U341"/>
  <c r="F342"/>
  <c r="Q342"/>
  <c r="R342" s="1"/>
  <c r="AA248"/>
  <c r="W248"/>
  <c r="AB248"/>
  <c r="X248"/>
  <c r="Y248"/>
  <c r="Z248" s="1"/>
  <c r="U406"/>
  <c r="F407"/>
  <c r="Q407"/>
  <c r="R407" s="1"/>
  <c r="AC339"/>
  <c r="AD339" s="1"/>
  <c r="Z314"/>
  <c r="Z305" s="1"/>
  <c r="Y305"/>
  <c r="U328"/>
  <c r="F329"/>
  <c r="Q329"/>
  <c r="R329" s="1"/>
  <c r="R175"/>
  <c r="AC432"/>
  <c r="AD432" s="1"/>
  <c r="AC279"/>
  <c r="AD279" s="1"/>
  <c r="AC264"/>
  <c r="AC368"/>
  <c r="AD368" s="1"/>
  <c r="AA182"/>
  <c r="W182"/>
  <c r="AB182"/>
  <c r="X182"/>
  <c r="Y182"/>
  <c r="U175"/>
  <c r="AB274"/>
  <c r="X274"/>
  <c r="Y274"/>
  <c r="Z274" s="1"/>
  <c r="AA274"/>
  <c r="W274"/>
  <c r="M301"/>
  <c r="M292" s="1"/>
  <c r="F302"/>
  <c r="Q302"/>
  <c r="O356"/>
  <c r="U356" s="1"/>
  <c r="U355"/>
  <c r="AA417"/>
  <c r="W417"/>
  <c r="AB417"/>
  <c r="X417"/>
  <c r="Y417"/>
  <c r="Z417" s="1"/>
  <c r="Y197"/>
  <c r="Z197" s="1"/>
  <c r="AA197"/>
  <c r="W197"/>
  <c r="AB197"/>
  <c r="X197"/>
  <c r="Q460"/>
  <c r="R460" s="1"/>
  <c r="R448" s="1"/>
  <c r="U459"/>
  <c r="F460"/>
  <c r="AB222"/>
  <c r="X222"/>
  <c r="AA222"/>
  <c r="W222"/>
  <c r="Y222"/>
  <c r="Z222" s="1"/>
  <c r="AD402"/>
  <c r="Q238"/>
  <c r="U237"/>
  <c r="F238"/>
  <c r="AA382"/>
  <c r="W382"/>
  <c r="X382"/>
  <c r="Y382"/>
  <c r="Z382" s="1"/>
  <c r="AB382"/>
  <c r="X369"/>
  <c r="X357" s="1"/>
  <c r="Y369"/>
  <c r="U357"/>
  <c r="AC208"/>
  <c r="AC394"/>
  <c r="AC416"/>
  <c r="AD446"/>
  <c r="AC435"/>
  <c r="AD435" s="1"/>
  <c r="AA354"/>
  <c r="W354"/>
  <c r="AB354"/>
  <c r="X354"/>
  <c r="Y354"/>
  <c r="Z354" s="1"/>
  <c r="O419"/>
  <c r="U418"/>
  <c r="AD271"/>
  <c r="O199"/>
  <c r="U198"/>
  <c r="Z247"/>
  <c r="AC247" s="1"/>
  <c r="AD247" s="1"/>
  <c r="AA340"/>
  <c r="X340"/>
  <c r="Y340"/>
  <c r="Z340" s="1"/>
  <c r="AA395"/>
  <c r="AA383" s="1"/>
  <c r="W395"/>
  <c r="AB395"/>
  <c r="AB383" s="1"/>
  <c r="X395"/>
  <c r="X383" s="1"/>
  <c r="Y395"/>
  <c r="U383"/>
  <c r="Q226"/>
  <c r="R226" s="1"/>
  <c r="R214" s="1"/>
  <c r="F226"/>
  <c r="AA405"/>
  <c r="W405"/>
  <c r="AB405"/>
  <c r="X405"/>
  <c r="Y405"/>
  <c r="Z405" s="1"/>
  <c r="AB381"/>
  <c r="X381"/>
  <c r="AA381"/>
  <c r="W381"/>
  <c r="Y381"/>
  <c r="Z381" s="1"/>
  <c r="Z431"/>
  <c r="AC431" s="1"/>
  <c r="X327"/>
  <c r="Y183"/>
  <c r="Z183" s="1"/>
  <c r="AA183"/>
  <c r="W183"/>
  <c r="AB183"/>
  <c r="AB175" s="1"/>
  <c r="X183"/>
  <c r="U434"/>
  <c r="F422"/>
  <c r="AC235"/>
  <c r="Z379"/>
  <c r="AC379" s="1"/>
  <c r="AA458"/>
  <c r="W458"/>
  <c r="AB458"/>
  <c r="X458"/>
  <c r="Y458"/>
  <c r="O211"/>
  <c r="U210"/>
  <c r="AC299"/>
  <c r="AD299" s="1"/>
  <c r="W236"/>
  <c r="O250"/>
  <c r="U249"/>
  <c r="Z404"/>
  <c r="AC404" s="1"/>
  <c r="Z353"/>
  <c r="AC353" s="1"/>
  <c r="Z272"/>
  <c r="AC272" s="1"/>
  <c r="AC196"/>
  <c r="AC221"/>
  <c r="AD221" s="1"/>
  <c r="AC314"/>
  <c r="AD314" s="1"/>
  <c r="AC380"/>
  <c r="AD380" s="1"/>
  <c r="AD145"/>
  <c r="U148"/>
  <c r="O136"/>
  <c r="AC146"/>
  <c r="AD146" s="1"/>
  <c r="Y147"/>
  <c r="AA147"/>
  <c r="W147"/>
  <c r="AB147"/>
  <c r="X147"/>
  <c r="AB149"/>
  <c r="Z149"/>
  <c r="AD31"/>
  <c r="Y6"/>
  <c r="U539"/>
  <c r="F70"/>
  <c r="Q70"/>
  <c r="U69"/>
  <c r="AA67"/>
  <c r="Y67"/>
  <c r="X67"/>
  <c r="W67"/>
  <c r="AB67"/>
  <c r="X68"/>
  <c r="AB68"/>
  <c r="AA68"/>
  <c r="Y68"/>
  <c r="Z68" s="1"/>
  <c r="W68"/>
  <c r="AC82"/>
  <c r="AD82" s="1"/>
  <c r="U71"/>
  <c r="Y83"/>
  <c r="AA83"/>
  <c r="AA71" s="1"/>
  <c r="AB83"/>
  <c r="AB71" s="1"/>
  <c r="X83"/>
  <c r="X71" s="1"/>
  <c r="W83"/>
  <c r="AD159"/>
  <c r="Y522"/>
  <c r="Z522" s="1"/>
  <c r="W522"/>
  <c r="AA522"/>
  <c r="X522"/>
  <c r="AB522"/>
  <c r="Y149"/>
  <c r="U523"/>
  <c r="O524"/>
  <c r="W149"/>
  <c r="AC521"/>
  <c r="AD521" s="1"/>
  <c r="X551"/>
  <c r="Q588"/>
  <c r="R588" s="1"/>
  <c r="M587"/>
  <c r="M578" s="1"/>
  <c r="F588"/>
  <c r="AC614"/>
  <c r="AD614" s="1"/>
  <c r="AA615"/>
  <c r="X615"/>
  <c r="Y615"/>
  <c r="Z615" s="1"/>
  <c r="W615"/>
  <c r="AB615"/>
  <c r="O575"/>
  <c r="U574"/>
  <c r="AC585"/>
  <c r="AD585" s="1"/>
  <c r="W550"/>
  <c r="W539" s="1"/>
  <c r="AB550"/>
  <c r="AB539" s="1"/>
  <c r="Y550"/>
  <c r="Z550" s="1"/>
  <c r="X550"/>
  <c r="AA550"/>
  <c r="M5"/>
  <c r="AC130"/>
  <c r="AB573"/>
  <c r="AA573"/>
  <c r="X573"/>
  <c r="Y573"/>
  <c r="Z573" s="1"/>
  <c r="W573"/>
  <c r="U134"/>
  <c r="O135"/>
  <c r="U135" s="1"/>
  <c r="W586"/>
  <c r="AA586"/>
  <c r="X586"/>
  <c r="AB586"/>
  <c r="Y586"/>
  <c r="Z586" s="1"/>
  <c r="Z572"/>
  <c r="AC572" s="1"/>
  <c r="AB133"/>
  <c r="X133"/>
  <c r="AA133"/>
  <c r="Y133"/>
  <c r="Z133" s="1"/>
  <c r="W133"/>
  <c r="Y132"/>
  <c r="AB132"/>
  <c r="AA132"/>
  <c r="W132"/>
  <c r="X132"/>
  <c r="AC549"/>
  <c r="AD549" s="1"/>
  <c r="O539"/>
  <c r="AD91"/>
  <c r="X603"/>
  <c r="X591" s="1"/>
  <c r="AB603"/>
  <c r="AB591" s="1"/>
  <c r="AA603"/>
  <c r="AA591" s="1"/>
  <c r="Y603"/>
  <c r="W603"/>
  <c r="W591" s="1"/>
  <c r="U591"/>
  <c r="AB564"/>
  <c r="AB552" s="1"/>
  <c r="Y564"/>
  <c r="Z564" s="1"/>
  <c r="X564"/>
  <c r="X552" s="1"/>
  <c r="W564"/>
  <c r="AA564"/>
  <c r="AA552" s="1"/>
  <c r="U552"/>
  <c r="AD32"/>
  <c r="U94"/>
  <c r="R105" i="9"/>
  <c r="G105" s="1"/>
  <c r="G104" s="1"/>
  <c r="G97" s="1"/>
  <c r="H114"/>
  <c r="R114" s="1"/>
  <c r="G114" s="1"/>
  <c r="G113" s="1"/>
  <c r="G107" s="1"/>
  <c r="Z107" i="17"/>
  <c r="T126" i="18"/>
  <c r="U96" i="17"/>
  <c r="O84"/>
  <c r="U109"/>
  <c r="O97"/>
  <c r="Z563"/>
  <c r="AC563" s="1"/>
  <c r="AD563" s="1"/>
  <c r="T84"/>
  <c r="Z551"/>
  <c r="AA108"/>
  <c r="AB108"/>
  <c r="W108"/>
  <c r="Y108"/>
  <c r="Z108" s="1"/>
  <c r="X108"/>
  <c r="G59" i="6"/>
  <c r="L35" i="4"/>
  <c r="AC92" i="17"/>
  <c r="AD92" s="1"/>
  <c r="AC600"/>
  <c r="AC602"/>
  <c r="AD602" s="1"/>
  <c r="AC18" l="1"/>
  <c r="AC457"/>
  <c r="AD457" s="1"/>
  <c r="U275"/>
  <c r="AA275" s="1"/>
  <c r="AC93"/>
  <c r="AD93" s="1"/>
  <c r="Z697"/>
  <c r="AC697" s="1"/>
  <c r="P700"/>
  <c r="Q699"/>
  <c r="U699" s="1"/>
  <c r="AB698"/>
  <c r="W698"/>
  <c r="Y698"/>
  <c r="Z698" s="1"/>
  <c r="X698"/>
  <c r="AA698"/>
  <c r="S84"/>
  <c r="AC305"/>
  <c r="AD305" s="1"/>
  <c r="X236"/>
  <c r="W327"/>
  <c r="W340"/>
  <c r="AA369"/>
  <c r="AA357" s="1"/>
  <c r="Y474"/>
  <c r="Y236"/>
  <c r="Z236" s="1"/>
  <c r="Y327"/>
  <c r="Z327" s="1"/>
  <c r="AA327"/>
  <c r="AC149"/>
  <c r="AD149" s="1"/>
  <c r="AB236"/>
  <c r="W369"/>
  <c r="M35" i="27"/>
  <c r="L34"/>
  <c r="M34" s="1"/>
  <c r="F22" i="19"/>
  <c r="H22" s="1"/>
  <c r="F18"/>
  <c r="H18" s="1"/>
  <c r="E8" i="1"/>
  <c r="X717" i="17"/>
  <c r="AB717"/>
  <c r="W717"/>
  <c r="AA717"/>
  <c r="Y717"/>
  <c r="Z717" s="1"/>
  <c r="AC715"/>
  <c r="O719"/>
  <c r="U718"/>
  <c r="AC716"/>
  <c r="AD716" s="1"/>
  <c r="Z689"/>
  <c r="Y677"/>
  <c r="G102" i="6"/>
  <c r="U301" i="17"/>
  <c r="Y301" s="1"/>
  <c r="Z301" s="1"/>
  <c r="AC470"/>
  <c r="AD470" s="1"/>
  <c r="W370"/>
  <c r="O344"/>
  <c r="AC222"/>
  <c r="AD222" s="1"/>
  <c r="AC510"/>
  <c r="AD510" s="1"/>
  <c r="AC106"/>
  <c r="AD106" s="1"/>
  <c r="X95"/>
  <c r="AB95"/>
  <c r="AA95"/>
  <c r="Y95"/>
  <c r="Z95" s="1"/>
  <c r="W95"/>
  <c r="R84"/>
  <c r="S70"/>
  <c r="S58" s="1"/>
  <c r="R70"/>
  <c r="R58" s="1"/>
  <c r="F19" i="6"/>
  <c r="G19" s="1"/>
  <c r="R31" i="26"/>
  <c r="S30"/>
  <c r="R44"/>
  <c r="S43"/>
  <c r="AA41"/>
  <c r="X28"/>
  <c r="AA28" s="1"/>
  <c r="W29"/>
  <c r="X29" s="1"/>
  <c r="Y29"/>
  <c r="U29"/>
  <c r="Z29"/>
  <c r="V29"/>
  <c r="W42"/>
  <c r="Y42"/>
  <c r="U42"/>
  <c r="Z42"/>
  <c r="V42"/>
  <c r="G26" i="22"/>
  <c r="S26"/>
  <c r="AA175" i="17"/>
  <c r="X175"/>
  <c r="AC626"/>
  <c r="AD626" s="1"/>
  <c r="U616"/>
  <c r="W616" s="1"/>
  <c r="R629"/>
  <c r="R617" s="1"/>
  <c r="S629"/>
  <c r="S617" s="1"/>
  <c r="AA628"/>
  <c r="W628"/>
  <c r="AB628"/>
  <c r="X628"/>
  <c r="Y628"/>
  <c r="Z628" s="1"/>
  <c r="AC627"/>
  <c r="AD627" s="1"/>
  <c r="U641"/>
  <c r="F642"/>
  <c r="AA640"/>
  <c r="W640"/>
  <c r="AB640"/>
  <c r="X640"/>
  <c r="Y640"/>
  <c r="Z640" s="1"/>
  <c r="AC639"/>
  <c r="AD639" s="1"/>
  <c r="Z539"/>
  <c r="X539"/>
  <c r="AA539"/>
  <c r="Y537"/>
  <c r="AA537"/>
  <c r="W537"/>
  <c r="AB537"/>
  <c r="X537"/>
  <c r="U538"/>
  <c r="U526" s="1"/>
  <c r="F526"/>
  <c r="AC535"/>
  <c r="AD535" s="1"/>
  <c r="AC536"/>
  <c r="AD536" s="1"/>
  <c r="AB511"/>
  <c r="X511"/>
  <c r="Y511"/>
  <c r="Z511" s="1"/>
  <c r="AA511"/>
  <c r="W511"/>
  <c r="AC486"/>
  <c r="U512"/>
  <c r="F500"/>
  <c r="O473"/>
  <c r="U472"/>
  <c r="W487"/>
  <c r="Y471"/>
  <c r="Z471" s="1"/>
  <c r="AA471"/>
  <c r="W471"/>
  <c r="AB471"/>
  <c r="X471"/>
  <c r="Z496"/>
  <c r="Z487" s="1"/>
  <c r="Y487"/>
  <c r="AC509"/>
  <c r="AD404"/>
  <c r="AD353"/>
  <c r="X275"/>
  <c r="AD272"/>
  <c r="AD431"/>
  <c r="AD379"/>
  <c r="AA249"/>
  <c r="W249"/>
  <c r="AB249"/>
  <c r="X249"/>
  <c r="Y249"/>
  <c r="AB210"/>
  <c r="X210"/>
  <c r="Y210"/>
  <c r="Z210" s="1"/>
  <c r="AA210"/>
  <c r="W210"/>
  <c r="Z395"/>
  <c r="Z383" s="1"/>
  <c r="Y383"/>
  <c r="Y237"/>
  <c r="Z237" s="1"/>
  <c r="AB237"/>
  <c r="X237"/>
  <c r="W237"/>
  <c r="AA237"/>
  <c r="AA356"/>
  <c r="W356"/>
  <c r="AB356"/>
  <c r="X356"/>
  <c r="Y356"/>
  <c r="U344"/>
  <c r="Z182"/>
  <c r="Z175" s="1"/>
  <c r="Y175"/>
  <c r="AA328"/>
  <c r="W328"/>
  <c r="AB328"/>
  <c r="X328"/>
  <c r="Y328"/>
  <c r="Z328" s="1"/>
  <c r="U342"/>
  <c r="F343"/>
  <c r="Q343"/>
  <c r="R343" s="1"/>
  <c r="R331" s="1"/>
  <c r="Y370"/>
  <c r="AC183"/>
  <c r="AD183" s="1"/>
  <c r="AC405"/>
  <c r="AD405" s="1"/>
  <c r="AC197"/>
  <c r="AD197" s="1"/>
  <c r="AC248"/>
  <c r="AD248" s="1"/>
  <c r="Z458"/>
  <c r="AC458" s="1"/>
  <c r="AD458" s="1"/>
  <c r="AD235"/>
  <c r="F214"/>
  <c r="AD416"/>
  <c r="W357"/>
  <c r="Q239"/>
  <c r="F239"/>
  <c r="U238"/>
  <c r="Y459"/>
  <c r="Z459" s="1"/>
  <c r="AA459"/>
  <c r="W459"/>
  <c r="AB459"/>
  <c r="X459"/>
  <c r="Y355"/>
  <c r="Z355" s="1"/>
  <c r="AA355"/>
  <c r="W355"/>
  <c r="AB355"/>
  <c r="X355"/>
  <c r="AA301"/>
  <c r="W301"/>
  <c r="AB301"/>
  <c r="W175"/>
  <c r="AD264"/>
  <c r="AC253"/>
  <c r="AD253" s="1"/>
  <c r="U329"/>
  <c r="F330"/>
  <c r="F318" s="1"/>
  <c r="Q330"/>
  <c r="R330" s="1"/>
  <c r="R318" s="1"/>
  <c r="Y406"/>
  <c r="AA406"/>
  <c r="W406"/>
  <c r="AB406"/>
  <c r="X406"/>
  <c r="O225"/>
  <c r="U224"/>
  <c r="R276"/>
  <c r="U276" s="1"/>
  <c r="S276"/>
  <c r="AC354"/>
  <c r="AD354" s="1"/>
  <c r="X370"/>
  <c r="AC417"/>
  <c r="AD417" s="1"/>
  <c r="W383"/>
  <c r="U199"/>
  <c r="O200"/>
  <c r="O420"/>
  <c r="U419"/>
  <c r="AD208"/>
  <c r="Z369"/>
  <c r="Z357" s="1"/>
  <c r="Y357"/>
  <c r="U460"/>
  <c r="U448" s="1"/>
  <c r="F448"/>
  <c r="Q303"/>
  <c r="F292"/>
  <c r="Q408"/>
  <c r="R408" s="1"/>
  <c r="R396" s="1"/>
  <c r="U407"/>
  <c r="F408"/>
  <c r="Y223"/>
  <c r="Z223" s="1"/>
  <c r="AB223"/>
  <c r="W223"/>
  <c r="X223"/>
  <c r="AA223"/>
  <c r="Z370"/>
  <c r="AA370"/>
  <c r="AD196"/>
  <c r="O251"/>
  <c r="U250"/>
  <c r="O212"/>
  <c r="U211"/>
  <c r="Y434"/>
  <c r="AA434"/>
  <c r="AA422" s="1"/>
  <c r="W434"/>
  <c r="AB434"/>
  <c r="AB422" s="1"/>
  <c r="X434"/>
  <c r="X422" s="1"/>
  <c r="U422"/>
  <c r="AA198"/>
  <c r="W198"/>
  <c r="AB198"/>
  <c r="X198"/>
  <c r="Y198"/>
  <c r="Z198" s="1"/>
  <c r="AA418"/>
  <c r="W418"/>
  <c r="AB418"/>
  <c r="X418"/>
  <c r="Y418"/>
  <c r="Z418" s="1"/>
  <c r="AD394"/>
  <c r="R302"/>
  <c r="U302" s="1"/>
  <c r="S302"/>
  <c r="AA341"/>
  <c r="W341"/>
  <c r="AB341"/>
  <c r="X341"/>
  <c r="Y341"/>
  <c r="Z341" s="1"/>
  <c r="Q277"/>
  <c r="F277"/>
  <c r="AC327"/>
  <c r="AD327" s="1"/>
  <c r="AC381"/>
  <c r="AD381" s="1"/>
  <c r="AC340"/>
  <c r="AB370"/>
  <c r="AC382"/>
  <c r="AD382" s="1"/>
  <c r="AC274"/>
  <c r="AD274" s="1"/>
  <c r="AC209"/>
  <c r="AD209" s="1"/>
  <c r="AC433"/>
  <c r="AD433" s="1"/>
  <c r="AC300"/>
  <c r="AD300" s="1"/>
  <c r="Z147"/>
  <c r="AC147" s="1"/>
  <c r="AA148"/>
  <c r="AA136" s="1"/>
  <c r="W148"/>
  <c r="AB148"/>
  <c r="AB136" s="1"/>
  <c r="X148"/>
  <c r="X136" s="1"/>
  <c r="Y148"/>
  <c r="Z148" s="1"/>
  <c r="U136"/>
  <c r="U123"/>
  <c r="G5" i="9"/>
  <c r="AD18" i="17"/>
  <c r="AC6"/>
  <c r="AD6" s="1"/>
  <c r="Z67"/>
  <c r="AC67" s="1"/>
  <c r="F58"/>
  <c r="Y69"/>
  <c r="Z69" s="1"/>
  <c r="X69"/>
  <c r="AA69"/>
  <c r="W69"/>
  <c r="AB69"/>
  <c r="AC68"/>
  <c r="AD68" s="1"/>
  <c r="W71"/>
  <c r="Z83"/>
  <c r="Z71" s="1"/>
  <c r="Y71"/>
  <c r="AC522"/>
  <c r="X523"/>
  <c r="AB523"/>
  <c r="AA523"/>
  <c r="Y523"/>
  <c r="Z523" s="1"/>
  <c r="W523"/>
  <c r="O123"/>
  <c r="O525"/>
  <c r="U524"/>
  <c r="U587"/>
  <c r="AB587" s="1"/>
  <c r="Y539"/>
  <c r="Y134"/>
  <c r="Z134" s="1"/>
  <c r="W134"/>
  <c r="AB134"/>
  <c r="X134"/>
  <c r="AA134"/>
  <c r="AD130"/>
  <c r="Q589"/>
  <c r="R589" s="1"/>
  <c r="U588"/>
  <c r="F589"/>
  <c r="AC615"/>
  <c r="AD615" s="1"/>
  <c r="Z132"/>
  <c r="AC132" s="1"/>
  <c r="AD132" s="1"/>
  <c r="W135"/>
  <c r="AB135"/>
  <c r="AA135"/>
  <c r="X135"/>
  <c r="Y135"/>
  <c r="Z135" s="1"/>
  <c r="AC586"/>
  <c r="AD586" s="1"/>
  <c r="AC550"/>
  <c r="AD550" s="1"/>
  <c r="AD572"/>
  <c r="O576"/>
  <c r="U575"/>
  <c r="AB574"/>
  <c r="Y574"/>
  <c r="W574"/>
  <c r="AA574"/>
  <c r="X574"/>
  <c r="AC133"/>
  <c r="AD133" s="1"/>
  <c r="AC573"/>
  <c r="AD573" s="1"/>
  <c r="E54" i="24"/>
  <c r="F54" s="1"/>
  <c r="N35" i="4"/>
  <c r="N34" s="1"/>
  <c r="L34"/>
  <c r="G54" i="6"/>
  <c r="F53"/>
  <c r="Y109" i="17"/>
  <c r="Z109" s="1"/>
  <c r="Z97" s="1"/>
  <c r="W109"/>
  <c r="AA109"/>
  <c r="AA97" s="1"/>
  <c r="AB109"/>
  <c r="AB97" s="1"/>
  <c r="X109"/>
  <c r="X97" s="1"/>
  <c r="U97"/>
  <c r="T127" i="18"/>
  <c r="F115"/>
  <c r="W94" i="17"/>
  <c r="AA94"/>
  <c r="AB94"/>
  <c r="Y94"/>
  <c r="X94"/>
  <c r="AC551"/>
  <c r="AC108"/>
  <c r="AD108" s="1"/>
  <c r="Y552"/>
  <c r="AD600"/>
  <c r="T5"/>
  <c r="F100" i="6" s="1"/>
  <c r="AC107" i="17"/>
  <c r="W96"/>
  <c r="X96"/>
  <c r="Y96"/>
  <c r="Z96" s="1"/>
  <c r="AB96"/>
  <c r="AA96"/>
  <c r="U84"/>
  <c r="AC564"/>
  <c r="W552"/>
  <c r="Z603"/>
  <c r="Z591" s="1"/>
  <c r="Y591"/>
  <c r="Z552"/>
  <c r="X301" l="1"/>
  <c r="W275"/>
  <c r="AC275" s="1"/>
  <c r="AD275" s="1"/>
  <c r="AB275"/>
  <c r="Y275"/>
  <c r="Z275" s="1"/>
  <c r="AB616"/>
  <c r="AB604" s="1"/>
  <c r="AC236"/>
  <c r="AD236" s="1"/>
  <c r="W587"/>
  <c r="AC95"/>
  <c r="AD95" s="1"/>
  <c r="AC198"/>
  <c r="AD198" s="1"/>
  <c r="AC698"/>
  <c r="Q700"/>
  <c r="U700" s="1"/>
  <c r="P701"/>
  <c r="AC640"/>
  <c r="AD640" s="1"/>
  <c r="W699"/>
  <c r="AB699"/>
  <c r="Y699"/>
  <c r="X699"/>
  <c r="AA699"/>
  <c r="U70"/>
  <c r="X587"/>
  <c r="AA123"/>
  <c r="Y587"/>
  <c r="Z587" s="1"/>
  <c r="AC511"/>
  <c r="AD511" s="1"/>
  <c r="AA587"/>
  <c r="AC395"/>
  <c r="Y718"/>
  <c r="Z718" s="1"/>
  <c r="X718"/>
  <c r="AB718"/>
  <c r="W718"/>
  <c r="AA718"/>
  <c r="AD715"/>
  <c r="AC717"/>
  <c r="AD717" s="1"/>
  <c r="O708"/>
  <c r="O707" s="1"/>
  <c r="U719"/>
  <c r="AC689"/>
  <c r="AC677" s="1"/>
  <c r="Z677"/>
  <c r="X616"/>
  <c r="X604" s="1"/>
  <c r="U604"/>
  <c r="Z136"/>
  <c r="AC182"/>
  <c r="U330"/>
  <c r="AC301"/>
  <c r="AD301" s="1"/>
  <c r="X42" i="26"/>
  <c r="S31"/>
  <c r="R19"/>
  <c r="Z30"/>
  <c r="V30"/>
  <c r="W30"/>
  <c r="Y30"/>
  <c r="U30"/>
  <c r="AA29"/>
  <c r="S44"/>
  <c r="R32"/>
  <c r="AA42"/>
  <c r="Z43"/>
  <c r="V43"/>
  <c r="W43"/>
  <c r="X43" s="1"/>
  <c r="Y43"/>
  <c r="U43"/>
  <c r="Y616" i="17"/>
  <c r="Y604" s="1"/>
  <c r="AA616"/>
  <c r="AA604" s="1"/>
  <c r="U629"/>
  <c r="AA629" s="1"/>
  <c r="AA617" s="1"/>
  <c r="AC628"/>
  <c r="AD628" s="1"/>
  <c r="Y641"/>
  <c r="Z641" s="1"/>
  <c r="AA641"/>
  <c r="W641"/>
  <c r="AB641"/>
  <c r="X641"/>
  <c r="U642"/>
  <c r="F630"/>
  <c r="Z537"/>
  <c r="AC537" s="1"/>
  <c r="AD537" s="1"/>
  <c r="AA538"/>
  <c r="AA526" s="1"/>
  <c r="W538"/>
  <c r="AB538"/>
  <c r="AB526" s="1"/>
  <c r="X538"/>
  <c r="X526" s="1"/>
  <c r="Y538"/>
  <c r="Z538" s="1"/>
  <c r="AD509"/>
  <c r="AA512"/>
  <c r="AA500" s="1"/>
  <c r="W512"/>
  <c r="AB512"/>
  <c r="AB500" s="1"/>
  <c r="X512"/>
  <c r="X500" s="1"/>
  <c r="Y512"/>
  <c r="U500"/>
  <c r="AC496"/>
  <c r="U473"/>
  <c r="O461"/>
  <c r="AC471"/>
  <c r="AD471" s="1"/>
  <c r="AA472"/>
  <c r="W472"/>
  <c r="AB472"/>
  <c r="X472"/>
  <c r="Y472"/>
  <c r="Z472" s="1"/>
  <c r="AD486"/>
  <c r="AC474"/>
  <c r="AD474" s="1"/>
  <c r="AA302"/>
  <c r="W302"/>
  <c r="AB302"/>
  <c r="X302"/>
  <c r="Y302"/>
  <c r="Z302" s="1"/>
  <c r="Y276"/>
  <c r="Z276" s="1"/>
  <c r="AA276"/>
  <c r="W276"/>
  <c r="AB276"/>
  <c r="X276"/>
  <c r="R277"/>
  <c r="U277" s="1"/>
  <c r="S277"/>
  <c r="O213"/>
  <c r="U212"/>
  <c r="U408"/>
  <c r="F396"/>
  <c r="Y419"/>
  <c r="Z419" s="1"/>
  <c r="AA419"/>
  <c r="W419"/>
  <c r="AB419"/>
  <c r="X419"/>
  <c r="AA224"/>
  <c r="W224"/>
  <c r="Y224"/>
  <c r="Z224" s="1"/>
  <c r="AB224"/>
  <c r="X224"/>
  <c r="Z406"/>
  <c r="U239"/>
  <c r="U227" s="1"/>
  <c r="F227"/>
  <c r="AC223"/>
  <c r="AD223" s="1"/>
  <c r="AC418"/>
  <c r="AD418" s="1"/>
  <c r="AC355"/>
  <c r="AD355" s="1"/>
  <c r="AB344"/>
  <c r="AC237"/>
  <c r="AD237" s="1"/>
  <c r="AC370"/>
  <c r="AD370" s="1"/>
  <c r="AD340"/>
  <c r="Q278"/>
  <c r="F266"/>
  <c r="W422"/>
  <c r="AA211"/>
  <c r="W211"/>
  <c r="AB211"/>
  <c r="X211"/>
  <c r="Y211"/>
  <c r="Z211" s="1"/>
  <c r="O252"/>
  <c r="U251"/>
  <c r="AA460"/>
  <c r="AA448" s="1"/>
  <c r="W460"/>
  <c r="AB460"/>
  <c r="AB448" s="1"/>
  <c r="X460"/>
  <c r="X448" s="1"/>
  <c r="Y460"/>
  <c r="Y199"/>
  <c r="Z199" s="1"/>
  <c r="AA199"/>
  <c r="W199"/>
  <c r="AB199"/>
  <c r="X199"/>
  <c r="Y329"/>
  <c r="Z329" s="1"/>
  <c r="AA329"/>
  <c r="W329"/>
  <c r="AB329"/>
  <c r="X329"/>
  <c r="AD182"/>
  <c r="AC175"/>
  <c r="AD175" s="1"/>
  <c r="AB238"/>
  <c r="X238"/>
  <c r="Y238"/>
  <c r="Z238" s="1"/>
  <c r="AA238"/>
  <c r="W238"/>
  <c r="Y342"/>
  <c r="Z342" s="1"/>
  <c r="AA342"/>
  <c r="W342"/>
  <c r="AB342"/>
  <c r="X342"/>
  <c r="AC459"/>
  <c r="AD459" s="1"/>
  <c r="AC369"/>
  <c r="AC328"/>
  <c r="AD328" s="1"/>
  <c r="X344"/>
  <c r="AC210"/>
  <c r="AD210" s="1"/>
  <c r="Z434"/>
  <c r="Z422" s="1"/>
  <c r="Y422"/>
  <c r="Y250"/>
  <c r="Z250" s="1"/>
  <c r="AA250"/>
  <c r="W250"/>
  <c r="AB250"/>
  <c r="X250"/>
  <c r="U200"/>
  <c r="O188"/>
  <c r="O226"/>
  <c r="U225"/>
  <c r="AB330"/>
  <c r="X330"/>
  <c r="Y330"/>
  <c r="AA330"/>
  <c r="W330"/>
  <c r="U318"/>
  <c r="U343"/>
  <c r="F331"/>
  <c r="Z356"/>
  <c r="Z344" s="1"/>
  <c r="Y344"/>
  <c r="Z249"/>
  <c r="AC249" s="1"/>
  <c r="AD249" s="1"/>
  <c r="AA344"/>
  <c r="AB407"/>
  <c r="X407"/>
  <c r="Y407"/>
  <c r="Z407" s="1"/>
  <c r="AA407"/>
  <c r="W407"/>
  <c r="R303"/>
  <c r="S303"/>
  <c r="S292" s="1"/>
  <c r="O421"/>
  <c r="U420"/>
  <c r="AC406"/>
  <c r="AD406" s="1"/>
  <c r="W344"/>
  <c r="AC341"/>
  <c r="AD341" s="1"/>
  <c r="AC148"/>
  <c r="AD148" s="1"/>
  <c r="W136"/>
  <c r="AD147"/>
  <c r="Y136"/>
  <c r="AD67"/>
  <c r="AB70"/>
  <c r="AB58" s="1"/>
  <c r="Y70"/>
  <c r="Z70" s="1"/>
  <c r="Z58" s="1"/>
  <c r="AA70"/>
  <c r="AA58" s="1"/>
  <c r="W70"/>
  <c r="X70"/>
  <c r="X58" s="1"/>
  <c r="U58"/>
  <c r="AC69"/>
  <c r="AD69" s="1"/>
  <c r="AC83"/>
  <c r="Y97"/>
  <c r="Z123"/>
  <c r="W123"/>
  <c r="U525"/>
  <c r="U513" s="1"/>
  <c r="O513"/>
  <c r="AC523"/>
  <c r="AD523" s="1"/>
  <c r="AD522"/>
  <c r="X84"/>
  <c r="X123"/>
  <c r="Y123"/>
  <c r="Y524"/>
  <c r="Z524" s="1"/>
  <c r="AB524"/>
  <c r="W524"/>
  <c r="AA524"/>
  <c r="X524"/>
  <c r="AB84"/>
  <c r="O577"/>
  <c r="U576"/>
  <c r="AC587"/>
  <c r="AD587" s="1"/>
  <c r="AC135"/>
  <c r="AD135" s="1"/>
  <c r="Z574"/>
  <c r="W604"/>
  <c r="AA575"/>
  <c r="W575"/>
  <c r="Y575"/>
  <c r="Z575" s="1"/>
  <c r="X575"/>
  <c r="AB575"/>
  <c r="AA588"/>
  <c r="Y588"/>
  <c r="AB588"/>
  <c r="W588"/>
  <c r="X588"/>
  <c r="AB123"/>
  <c r="U589"/>
  <c r="Q590"/>
  <c r="R590" s="1"/>
  <c r="R578" s="1"/>
  <c r="F590"/>
  <c r="AC574"/>
  <c r="AD574" s="1"/>
  <c r="AC134"/>
  <c r="AD134" s="1"/>
  <c r="AC552"/>
  <c r="AD552" s="1"/>
  <c r="AD564"/>
  <c r="W84"/>
  <c r="AC109"/>
  <c r="AD109" s="1"/>
  <c r="W97"/>
  <c r="AC603"/>
  <c r="AD551"/>
  <c r="AC539"/>
  <c r="AD539" s="1"/>
  <c r="G53" i="6"/>
  <c r="G100"/>
  <c r="AD107" i="17"/>
  <c r="Z94"/>
  <c r="Z84" s="1"/>
  <c r="Y84"/>
  <c r="S115" i="18"/>
  <c r="F5"/>
  <c r="AA84" i="17"/>
  <c r="AC96"/>
  <c r="AD96" s="1"/>
  <c r="AA318" l="1"/>
  <c r="Z699"/>
  <c r="X318"/>
  <c r="Y700"/>
  <c r="Z700" s="1"/>
  <c r="W700"/>
  <c r="AB700"/>
  <c r="AA700"/>
  <c r="X700"/>
  <c r="P702"/>
  <c r="Q702" s="1"/>
  <c r="U702" s="1"/>
  <c r="Q701"/>
  <c r="U701" s="1"/>
  <c r="AC699"/>
  <c r="AC250"/>
  <c r="AD250" s="1"/>
  <c r="U617"/>
  <c r="AD395"/>
  <c r="AC383"/>
  <c r="AD383" s="1"/>
  <c r="U708"/>
  <c r="U707" s="1"/>
  <c r="AB719"/>
  <c r="AB708" s="1"/>
  <c r="AB707" s="1"/>
  <c r="W719"/>
  <c r="AA719"/>
  <c r="AA708" s="1"/>
  <c r="AA707" s="1"/>
  <c r="Y719"/>
  <c r="X719"/>
  <c r="X708" s="1"/>
  <c r="X707" s="1"/>
  <c r="AC718"/>
  <c r="Z616"/>
  <c r="Z604" s="1"/>
  <c r="AC238"/>
  <c r="AD238" s="1"/>
  <c r="AC302"/>
  <c r="AD302" s="1"/>
  <c r="AC136"/>
  <c r="AD136" s="1"/>
  <c r="AC419"/>
  <c r="AD419" s="1"/>
  <c r="Y44" i="26"/>
  <c r="Y32" s="1"/>
  <c r="U44"/>
  <c r="Z44"/>
  <c r="Z32" s="1"/>
  <c r="V44"/>
  <c r="V32" s="1"/>
  <c r="W44"/>
  <c r="S32"/>
  <c r="X30"/>
  <c r="Y31"/>
  <c r="Y19" s="1"/>
  <c r="U31"/>
  <c r="Z31"/>
  <c r="Z19" s="1"/>
  <c r="Z5" s="1"/>
  <c r="F31" i="8" s="1"/>
  <c r="V31" i="26"/>
  <c r="V19" s="1"/>
  <c r="V5" s="1"/>
  <c r="W31"/>
  <c r="X31" s="1"/>
  <c r="S19"/>
  <c r="AA30"/>
  <c r="AA43"/>
  <c r="AB629" i="17"/>
  <c r="AB617" s="1"/>
  <c r="W629"/>
  <c r="W617" s="1"/>
  <c r="X629"/>
  <c r="X617" s="1"/>
  <c r="Y629"/>
  <c r="Y617" s="1"/>
  <c r="AA642"/>
  <c r="AA630" s="1"/>
  <c r="W642"/>
  <c r="AB642"/>
  <c r="AB630" s="1"/>
  <c r="X642"/>
  <c r="X630" s="1"/>
  <c r="Y642"/>
  <c r="U630"/>
  <c r="AC641"/>
  <c r="AD641" s="1"/>
  <c r="AC538"/>
  <c r="AD538" s="1"/>
  <c r="W526"/>
  <c r="Z526"/>
  <c r="Y526"/>
  <c r="Y473"/>
  <c r="AA473"/>
  <c r="AA461" s="1"/>
  <c r="W473"/>
  <c r="AB473"/>
  <c r="AB461" s="1"/>
  <c r="X473"/>
  <c r="X461" s="1"/>
  <c r="U461"/>
  <c r="Z512"/>
  <c r="Z500" s="1"/>
  <c r="Y500"/>
  <c r="W500"/>
  <c r="AC487"/>
  <c r="AD487" s="1"/>
  <c r="AD496"/>
  <c r="AC472"/>
  <c r="AD472" s="1"/>
  <c r="U303"/>
  <c r="R292"/>
  <c r="AA200"/>
  <c r="AA188" s="1"/>
  <c r="W200"/>
  <c r="AB200"/>
  <c r="AB188" s="1"/>
  <c r="X200"/>
  <c r="X188" s="1"/>
  <c r="Y200"/>
  <c r="U188"/>
  <c r="AD369"/>
  <c r="AC357"/>
  <c r="AD357" s="1"/>
  <c r="U252"/>
  <c r="O240"/>
  <c r="AB212"/>
  <c r="X212"/>
  <c r="Y212"/>
  <c r="Z212" s="1"/>
  <c r="AA212"/>
  <c r="W212"/>
  <c r="AB318"/>
  <c r="AC342"/>
  <c r="AD342" s="1"/>
  <c r="AC211"/>
  <c r="AD211" s="1"/>
  <c r="AC434"/>
  <c r="W318"/>
  <c r="AA251"/>
  <c r="W251"/>
  <c r="AB251"/>
  <c r="X251"/>
  <c r="Y251"/>
  <c r="Z251" s="1"/>
  <c r="AA277"/>
  <c r="W277"/>
  <c r="AB277"/>
  <c r="X277"/>
  <c r="Y277"/>
  <c r="Z277" s="1"/>
  <c r="AA239"/>
  <c r="AA227" s="1"/>
  <c r="W239"/>
  <c r="AB239"/>
  <c r="AB227" s="1"/>
  <c r="X239"/>
  <c r="X227" s="1"/>
  <c r="Y239"/>
  <c r="AA408"/>
  <c r="AA396" s="1"/>
  <c r="W408"/>
  <c r="AB408"/>
  <c r="AB396" s="1"/>
  <c r="X408"/>
  <c r="X396" s="1"/>
  <c r="Y408"/>
  <c r="U396"/>
  <c r="AC329"/>
  <c r="AD329" s="1"/>
  <c r="AC276"/>
  <c r="AD276" s="1"/>
  <c r="Z460"/>
  <c r="Z448" s="1"/>
  <c r="Y448"/>
  <c r="S278"/>
  <c r="S266" s="1"/>
  <c r="S5" s="1"/>
  <c r="R278"/>
  <c r="AC224"/>
  <c r="AD224" s="1"/>
  <c r="U421"/>
  <c r="O409"/>
  <c r="Z330"/>
  <c r="Z318" s="1"/>
  <c r="Y318"/>
  <c r="O214"/>
  <c r="U226"/>
  <c r="AA420"/>
  <c r="W420"/>
  <c r="AB420"/>
  <c r="X420"/>
  <c r="Y420"/>
  <c r="Z420" s="1"/>
  <c r="AB343"/>
  <c r="AB331" s="1"/>
  <c r="X343"/>
  <c r="X331" s="1"/>
  <c r="Y343"/>
  <c r="AA343"/>
  <c r="AA331" s="1"/>
  <c r="W343"/>
  <c r="U331"/>
  <c r="Y225"/>
  <c r="Z225" s="1"/>
  <c r="AA225"/>
  <c r="AB225"/>
  <c r="W225"/>
  <c r="X225"/>
  <c r="W448"/>
  <c r="U213"/>
  <c r="O201"/>
  <c r="AC356"/>
  <c r="AC407"/>
  <c r="AD407" s="1"/>
  <c r="AC199"/>
  <c r="AD199" s="1"/>
  <c r="AC97"/>
  <c r="AD97" s="1"/>
  <c r="Y58"/>
  <c r="AC70"/>
  <c r="AD70" s="1"/>
  <c r="W58"/>
  <c r="AC71"/>
  <c r="AD71" s="1"/>
  <c r="AD83"/>
  <c r="AA525"/>
  <c r="AA513" s="1"/>
  <c r="W525"/>
  <c r="W513" s="1"/>
  <c r="Y525"/>
  <c r="X525"/>
  <c r="X513" s="1"/>
  <c r="AB525"/>
  <c r="AB513" s="1"/>
  <c r="AC524"/>
  <c r="AC94"/>
  <c r="AC84" s="1"/>
  <c r="AC575"/>
  <c r="AD575" s="1"/>
  <c r="AA589"/>
  <c r="AB589"/>
  <c r="W589"/>
  <c r="X589"/>
  <c r="Y589"/>
  <c r="Z589" s="1"/>
  <c r="U590"/>
  <c r="U578" s="1"/>
  <c r="F578"/>
  <c r="Z588"/>
  <c r="AC588" s="1"/>
  <c r="AD588" s="1"/>
  <c r="AC123"/>
  <c r="AD123" s="1"/>
  <c r="AC616"/>
  <c r="U577"/>
  <c r="U565" s="1"/>
  <c r="O565"/>
  <c r="AA576"/>
  <c r="Y576"/>
  <c r="Z576" s="1"/>
  <c r="AB576"/>
  <c r="W576"/>
  <c r="X576"/>
  <c r="AD603"/>
  <c r="AC591"/>
  <c r="AD591" s="1"/>
  <c r="G20" i="4"/>
  <c r="E12" i="24"/>
  <c r="F12" s="1"/>
  <c r="F11" i="22"/>
  <c r="L11" i="27" s="1"/>
  <c r="M11" s="1"/>
  <c r="S5" i="18"/>
  <c r="AC700" i="17" l="1"/>
  <c r="AB702"/>
  <c r="Y702"/>
  <c r="Z702" s="1"/>
  <c r="W702"/>
  <c r="AA702"/>
  <c r="X702"/>
  <c r="U690"/>
  <c r="U676" s="1"/>
  <c r="AA701"/>
  <c r="X701"/>
  <c r="AB701"/>
  <c r="AB690" s="1"/>
  <c r="AB676" s="1"/>
  <c r="Y701"/>
  <c r="W701"/>
  <c r="AC460"/>
  <c r="AC512"/>
  <c r="AD512" s="1"/>
  <c r="Z719"/>
  <c r="Z708" s="1"/>
  <c r="Z707" s="1"/>
  <c r="Y708"/>
  <c r="Y707" s="1"/>
  <c r="AD718"/>
  <c r="W708"/>
  <c r="W707" s="1"/>
  <c r="AC277"/>
  <c r="AD277" s="1"/>
  <c r="AC420"/>
  <c r="AD420" s="1"/>
  <c r="AD94"/>
  <c r="G25" i="6"/>
  <c r="F108"/>
  <c r="G31" i="8"/>
  <c r="Y5" i="26"/>
  <c r="F30" i="8" s="1"/>
  <c r="G30" s="1"/>
  <c r="X44" i="26"/>
  <c r="X32" s="1"/>
  <c r="W32"/>
  <c r="X19"/>
  <c r="AA31"/>
  <c r="AA19" s="1"/>
  <c r="U19"/>
  <c r="U32"/>
  <c r="W19"/>
  <c r="Z629" i="17"/>
  <c r="Z617" s="1"/>
  <c r="Z642"/>
  <c r="Z630" s="1"/>
  <c r="Y630"/>
  <c r="W630"/>
  <c r="AC526"/>
  <c r="AD526" s="1"/>
  <c r="W461"/>
  <c r="Z473"/>
  <c r="Z461" s="1"/>
  <c r="Y461"/>
  <c r="AC344"/>
  <c r="AD344" s="1"/>
  <c r="AD356"/>
  <c r="AC448"/>
  <c r="AD448" s="1"/>
  <c r="AD460"/>
  <c r="W331"/>
  <c r="AA226"/>
  <c r="AA214" s="1"/>
  <c r="W226"/>
  <c r="X226"/>
  <c r="X214" s="1"/>
  <c r="Y226"/>
  <c r="AB226"/>
  <c r="AB214" s="1"/>
  <c r="U214"/>
  <c r="U278"/>
  <c r="R266"/>
  <c r="R5" s="1"/>
  <c r="F23" i="6" s="1"/>
  <c r="G23" s="1"/>
  <c r="Z408" i="17"/>
  <c r="Z396" s="1"/>
  <c r="Y396"/>
  <c r="Y252"/>
  <c r="AA252"/>
  <c r="AA240" s="1"/>
  <c r="W252"/>
  <c r="AB252"/>
  <c r="AB240" s="1"/>
  <c r="X252"/>
  <c r="X240" s="1"/>
  <c r="U240"/>
  <c r="W188"/>
  <c r="AC330"/>
  <c r="Z343"/>
  <c r="Z331" s="1"/>
  <c r="Y331"/>
  <c r="AC408"/>
  <c r="W396"/>
  <c r="AA303"/>
  <c r="AA292" s="1"/>
  <c r="W303"/>
  <c r="AB303"/>
  <c r="AB292" s="1"/>
  <c r="X303"/>
  <c r="X292" s="1"/>
  <c r="Y303"/>
  <c r="U292"/>
  <c r="AC225"/>
  <c r="AD225" s="1"/>
  <c r="AA213"/>
  <c r="AA201" s="1"/>
  <c r="W213"/>
  <c r="AB213"/>
  <c r="AB201" s="1"/>
  <c r="X213"/>
  <c r="X201" s="1"/>
  <c r="Y213"/>
  <c r="U201"/>
  <c r="Y421"/>
  <c r="AA421"/>
  <c r="AA409" s="1"/>
  <c r="W421"/>
  <c r="AB421"/>
  <c r="AB409" s="1"/>
  <c r="X421"/>
  <c r="X409" s="1"/>
  <c r="U409"/>
  <c r="Z239"/>
  <c r="Z227" s="1"/>
  <c r="Y227"/>
  <c r="W227"/>
  <c r="AD434"/>
  <c r="AC422"/>
  <c r="AD422" s="1"/>
  <c r="Z200"/>
  <c r="Z188" s="1"/>
  <c r="Y188"/>
  <c r="AC251"/>
  <c r="AD251" s="1"/>
  <c r="AC212"/>
  <c r="AD212" s="1"/>
  <c r="O5"/>
  <c r="F24" i="6" s="1"/>
  <c r="G24" s="1"/>
  <c r="AC58" i="17"/>
  <c r="AD58" s="1"/>
  <c r="AD524"/>
  <c r="Z525"/>
  <c r="Y513"/>
  <c r="F5"/>
  <c r="F9" i="6" s="1"/>
  <c r="Y577" i="17"/>
  <c r="Z577" s="1"/>
  <c r="Z565" s="1"/>
  <c r="AB577"/>
  <c r="AB565" s="1"/>
  <c r="AA577"/>
  <c r="AA565" s="1"/>
  <c r="X577"/>
  <c r="X565" s="1"/>
  <c r="W577"/>
  <c r="W565" s="1"/>
  <c r="AB590"/>
  <c r="AB578" s="1"/>
  <c r="AA590"/>
  <c r="AA578" s="1"/>
  <c r="X590"/>
  <c r="X578" s="1"/>
  <c r="W590"/>
  <c r="W578" s="1"/>
  <c r="Y590"/>
  <c r="AC589"/>
  <c r="Y565"/>
  <c r="AD616"/>
  <c r="AC604"/>
  <c r="AD604" s="1"/>
  <c r="AC576"/>
  <c r="AD84"/>
  <c r="G11" i="22"/>
  <c r="G8" s="1"/>
  <c r="G7" s="1"/>
  <c r="G6" s="1"/>
  <c r="S11"/>
  <c r="S6" s="1"/>
  <c r="L11" i="4"/>
  <c r="F8" i="22"/>
  <c r="AA690" i="17" l="1"/>
  <c r="AA676" s="1"/>
  <c r="X690"/>
  <c r="X676" s="1"/>
  <c r="Z701"/>
  <c r="Z690" s="1"/>
  <c r="Z676" s="1"/>
  <c r="Y690"/>
  <c r="Y676" s="1"/>
  <c r="AC702"/>
  <c r="W690"/>
  <c r="W676" s="1"/>
  <c r="AC500"/>
  <c r="AD500" s="1"/>
  <c r="AC719"/>
  <c r="AC239"/>
  <c r="AC473"/>
  <c r="AD473" s="1"/>
  <c r="H28" i="6"/>
  <c r="H30" s="1"/>
  <c r="L9" i="27"/>
  <c r="M9" s="1"/>
  <c r="L9" i="4"/>
  <c r="E34" i="24" s="1"/>
  <c r="F34" s="1"/>
  <c r="F107" i="6"/>
  <c r="G108"/>
  <c r="AA44" i="26"/>
  <c r="AA32" s="1"/>
  <c r="X5"/>
  <c r="U5"/>
  <c r="F26" i="8" s="1"/>
  <c r="W5" i="26"/>
  <c r="AA5"/>
  <c r="AC629" i="17"/>
  <c r="AC642"/>
  <c r="AC227"/>
  <c r="AD227" s="1"/>
  <c r="AD239"/>
  <c r="W409"/>
  <c r="Z303"/>
  <c r="Z292" s="1"/>
  <c r="Y292"/>
  <c r="W240"/>
  <c r="AC200"/>
  <c r="AC343"/>
  <c r="Z213"/>
  <c r="Z201" s="1"/>
  <c r="Y201"/>
  <c r="Z421"/>
  <c r="Z409" s="1"/>
  <c r="Y409"/>
  <c r="W292"/>
  <c r="AC396"/>
  <c r="AD396" s="1"/>
  <c r="AD408"/>
  <c r="Z252"/>
  <c r="Z240" s="1"/>
  <c r="Y240"/>
  <c r="AB278"/>
  <c r="AB266" s="1"/>
  <c r="AB5" s="1"/>
  <c r="F31" i="6" s="1"/>
  <c r="G31" s="1"/>
  <c r="X278" i="17"/>
  <c r="X266" s="1"/>
  <c r="Y278"/>
  <c r="AA278"/>
  <c r="AA266" s="1"/>
  <c r="AA5" s="1"/>
  <c r="F30" i="6" s="1"/>
  <c r="G30" s="1"/>
  <c r="W278" i="17"/>
  <c r="U266"/>
  <c r="AC318"/>
  <c r="AD318" s="1"/>
  <c r="AD330"/>
  <c r="Z226"/>
  <c r="Z214" s="1"/>
  <c r="Y214"/>
  <c r="W201"/>
  <c r="W214"/>
  <c r="F16" i="6"/>
  <c r="AC525" i="17"/>
  <c r="Z513"/>
  <c r="G9" i="6"/>
  <c r="X5" i="17"/>
  <c r="F29" i="6" s="1"/>
  <c r="G29" s="1"/>
  <c r="AD576" i="17"/>
  <c r="AC577"/>
  <c r="AD577" s="1"/>
  <c r="Z590"/>
  <c r="Z578" s="1"/>
  <c r="Y578"/>
  <c r="AD589"/>
  <c r="N11" i="4"/>
  <c r="E36" i="24"/>
  <c r="U6" i="22"/>
  <c r="T3" s="1"/>
  <c r="E27" i="1"/>
  <c r="F7" i="22"/>
  <c r="F6" s="1"/>
  <c r="AC701" i="17" l="1"/>
  <c r="AC690" s="1"/>
  <c r="AC676" s="1"/>
  <c r="F101" i="6" s="1"/>
  <c r="G101" s="1"/>
  <c r="AC226" i="17"/>
  <c r="AD226" s="1"/>
  <c r="AC461"/>
  <c r="AD461" s="1"/>
  <c r="AC213"/>
  <c r="AD213" s="1"/>
  <c r="AD719"/>
  <c r="AC708"/>
  <c r="AC707" s="1"/>
  <c r="F103" i="6" s="1"/>
  <c r="AC303" i="17"/>
  <c r="AD303" s="1"/>
  <c r="L48" i="4"/>
  <c r="L48" i="27"/>
  <c r="G107" i="6"/>
  <c r="F25" i="19" s="1"/>
  <c r="H25" s="1"/>
  <c r="L12" i="4"/>
  <c r="E37" i="24" s="1"/>
  <c r="F37" s="1"/>
  <c r="L12" i="27"/>
  <c r="M12" s="1"/>
  <c r="G8" i="8"/>
  <c r="F28"/>
  <c r="AD629" i="17"/>
  <c r="AC617"/>
  <c r="AD617" s="1"/>
  <c r="AC630"/>
  <c r="AD630" s="1"/>
  <c r="AD642"/>
  <c r="U5"/>
  <c r="Z278"/>
  <c r="Z266" s="1"/>
  <c r="Z5" s="1"/>
  <c r="Y266"/>
  <c r="Y5" s="1"/>
  <c r="AC188"/>
  <c r="AD188" s="1"/>
  <c r="AD200"/>
  <c r="AC201"/>
  <c r="AD201" s="1"/>
  <c r="W266"/>
  <c r="W5" s="1"/>
  <c r="F26" i="6" s="1"/>
  <c r="L13" i="4" s="1"/>
  <c r="AC331" i="17"/>
  <c r="AD331" s="1"/>
  <c r="AD343"/>
  <c r="AC252"/>
  <c r="AC421"/>
  <c r="G16" i="6"/>
  <c r="N9" i="4"/>
  <c r="AD525" i="17"/>
  <c r="AC513"/>
  <c r="AD513" s="1"/>
  <c r="AC565"/>
  <c r="AD565" s="1"/>
  <c r="AC590"/>
  <c r="S3" i="22"/>
  <c r="U3" s="1"/>
  <c r="E26" i="1"/>
  <c r="J6" i="21"/>
  <c r="W9" i="22"/>
  <c r="F36" i="24"/>
  <c r="AC278" i="17" l="1"/>
  <c r="AC214"/>
  <c r="AD214" s="1"/>
  <c r="AC292"/>
  <c r="AD292" s="1"/>
  <c r="G7" i="8"/>
  <c r="G6" s="1"/>
  <c r="N12" i="4"/>
  <c r="G103" i="6"/>
  <c r="F99"/>
  <c r="N48" i="4"/>
  <c r="E71" i="24"/>
  <c r="F71" s="1"/>
  <c r="L13" i="27"/>
  <c r="M13" s="1"/>
  <c r="M48"/>
  <c r="G28" i="8"/>
  <c r="F27"/>
  <c r="F28" i="6"/>
  <c r="G28" s="1"/>
  <c r="AC240" i="17"/>
  <c r="AD240" s="1"/>
  <c r="AD252"/>
  <c r="AC266"/>
  <c r="AD266" s="1"/>
  <c r="AD278"/>
  <c r="AC409"/>
  <c r="AD409" s="1"/>
  <c r="AD421"/>
  <c r="G26" i="6"/>
  <c r="E38" i="24"/>
  <c r="F38" s="1"/>
  <c r="N13" i="4"/>
  <c r="AD590" i="17"/>
  <c r="AC578"/>
  <c r="F24" i="19" l="1"/>
  <c r="H24" s="1"/>
  <c r="G99" i="6"/>
  <c r="L47" i="4"/>
  <c r="L47" i="27"/>
  <c r="E9" i="1"/>
  <c r="F86" i="6"/>
  <c r="F27"/>
  <c r="F8" s="1"/>
  <c r="F20" i="19" s="1"/>
  <c r="U9" i="8"/>
  <c r="F8"/>
  <c r="AD578" i="17"/>
  <c r="AD5" s="1"/>
  <c r="AC5"/>
  <c r="M47" i="27" l="1"/>
  <c r="L41"/>
  <c r="G86" i="6"/>
  <c r="F52"/>
  <c r="E70" i="24"/>
  <c r="F70" s="1"/>
  <c r="N47" i="4"/>
  <c r="N41" s="1"/>
  <c r="N33" s="1"/>
  <c r="L41"/>
  <c r="L33" s="1"/>
  <c r="L14" i="27"/>
  <c r="M14" s="1"/>
  <c r="F7" i="6"/>
  <c r="F16" i="19"/>
  <c r="F15" s="1"/>
  <c r="G27" i="6"/>
  <c r="L14" i="4"/>
  <c r="L8" s="1"/>
  <c r="L7" s="1"/>
  <c r="H20" i="19"/>
  <c r="F19"/>
  <c r="U6" i="8"/>
  <c r="V9"/>
  <c r="F7"/>
  <c r="F6" s="1"/>
  <c r="E19" i="1"/>
  <c r="E6"/>
  <c r="E5" s="1"/>
  <c r="G8" i="6"/>
  <c r="L33" i="27" l="1"/>
  <c r="M33" s="1"/>
  <c r="M41"/>
  <c r="G52" i="6"/>
  <c r="H22" i="15"/>
  <c r="L6" i="4"/>
  <c r="M26" s="1"/>
  <c r="E39" i="24"/>
  <c r="F39" s="1"/>
  <c r="F33" s="1"/>
  <c r="L8" i="27"/>
  <c r="M8" s="1"/>
  <c r="N14" i="4"/>
  <c r="N8" s="1"/>
  <c r="N7" s="1"/>
  <c r="N6" s="1"/>
  <c r="H16" i="19"/>
  <c r="E19" i="4"/>
  <c r="E19" i="27"/>
  <c r="F19" s="1"/>
  <c r="C7" i="1"/>
  <c r="H19" i="19"/>
  <c r="C6" i="1"/>
  <c r="E18" i="27"/>
  <c r="H15" i="19"/>
  <c r="F14"/>
  <c r="J6" i="20"/>
  <c r="Y8" i="8"/>
  <c r="E18" i="1"/>
  <c r="D4" s="1"/>
  <c r="H26" i="15"/>
  <c r="F6" i="6"/>
  <c r="G7"/>
  <c r="H20" i="15"/>
  <c r="E18" i="4"/>
  <c r="G28" i="19"/>
  <c r="M37" i="4" l="1"/>
  <c r="M50"/>
  <c r="M9"/>
  <c r="M60"/>
  <c r="M59" s="1"/>
  <c r="M58" s="1"/>
  <c r="M42"/>
  <c r="M35"/>
  <c r="M27"/>
  <c r="G6" i="6"/>
  <c r="M45" i="4"/>
  <c r="M23"/>
  <c r="M36"/>
  <c r="M46"/>
  <c r="M20"/>
  <c r="M30"/>
  <c r="M14"/>
  <c r="M19"/>
  <c r="M38"/>
  <c r="M32"/>
  <c r="M15"/>
  <c r="M18"/>
  <c r="M57"/>
  <c r="M56" s="1"/>
  <c r="M55" s="1"/>
  <c r="M12"/>
  <c r="M25"/>
  <c r="M51"/>
  <c r="M54"/>
  <c r="M53" s="1"/>
  <c r="M52" s="1"/>
  <c r="M47"/>
  <c r="M63"/>
  <c r="M62" s="1"/>
  <c r="M61" s="1"/>
  <c r="M66"/>
  <c r="M65" s="1"/>
  <c r="M64" s="1"/>
  <c r="M24"/>
  <c r="M22"/>
  <c r="M31"/>
  <c r="M43"/>
  <c r="M44"/>
  <c r="M13"/>
  <c r="M11"/>
  <c r="M17"/>
  <c r="M49"/>
  <c r="M48"/>
  <c r="M10"/>
  <c r="M39"/>
  <c r="L7" i="27"/>
  <c r="L6" s="1"/>
  <c r="M6" s="1"/>
  <c r="E33" i="24"/>
  <c r="E11"/>
  <c r="F11" s="1"/>
  <c r="G19" i="4"/>
  <c r="F18" i="27"/>
  <c r="E17"/>
  <c r="F13" i="19"/>
  <c r="F6" s="1"/>
  <c r="G19" s="1"/>
  <c r="H14"/>
  <c r="H13" s="1"/>
  <c r="H6" s="1"/>
  <c r="C5" i="1"/>
  <c r="B4" s="1"/>
  <c r="E17" i="4"/>
  <c r="E10" i="24"/>
  <c r="G18" i="4"/>
  <c r="M29" l="1"/>
  <c r="M28" s="1"/>
  <c r="M7" i="27"/>
  <c r="M34" i="4"/>
  <c r="M16"/>
  <c r="M8"/>
  <c r="M41"/>
  <c r="M21"/>
  <c r="G17"/>
  <c r="G16" s="1"/>
  <c r="G6" s="1"/>
  <c r="E16" i="27"/>
  <c r="F17"/>
  <c r="H13" i="15"/>
  <c r="E16" i="4"/>
  <c r="E6" s="1"/>
  <c r="F10" i="24"/>
  <c r="F6" s="1"/>
  <c r="E6"/>
  <c r="G38" i="19"/>
  <c r="G41"/>
  <c r="G42"/>
  <c r="G37"/>
  <c r="G33"/>
  <c r="T24" i="6"/>
  <c r="K6" i="19"/>
  <c r="G9"/>
  <c r="G8" s="1"/>
  <c r="G7" s="1"/>
  <c r="G43"/>
  <c r="G12"/>
  <c r="G11" s="1"/>
  <c r="G10" s="1"/>
  <c r="G34"/>
  <c r="G15"/>
  <c r="G32"/>
  <c r="M33" i="4" l="1"/>
  <c r="M7"/>
  <c r="F16" i="27"/>
  <c r="E6"/>
  <c r="F6" s="1"/>
  <c r="G36" i="19"/>
  <c r="G35" s="1"/>
  <c r="F41" i="4"/>
  <c r="F42"/>
  <c r="F38"/>
  <c r="F37" s="1"/>
  <c r="F36" s="1"/>
  <c r="F33"/>
  <c r="F26"/>
  <c r="F27"/>
  <c r="F19"/>
  <c r="F18"/>
  <c r="F15"/>
  <c r="F14" s="1"/>
  <c r="F13" s="1"/>
  <c r="F12"/>
  <c r="F11" s="1"/>
  <c r="F10" s="1"/>
  <c r="F24"/>
  <c r="F9"/>
  <c r="F8" s="1"/>
  <c r="F7" s="1"/>
  <c r="F20"/>
  <c r="F45"/>
  <c r="F47"/>
  <c r="F29"/>
  <c r="F28" s="1"/>
  <c r="F46"/>
  <c r="F25"/>
  <c r="F35"/>
  <c r="F34" s="1"/>
  <c r="F22"/>
  <c r="F21" s="1"/>
  <c r="F32"/>
  <c r="G8" i="15"/>
  <c r="G14" i="19"/>
  <c r="G13" s="1"/>
  <c r="G40"/>
  <c r="G39" s="1"/>
  <c r="M6" i="4" l="1"/>
  <c r="G6" i="19"/>
  <c r="F31" i="4"/>
  <c r="F30" s="1"/>
  <c r="F40"/>
  <c r="F39" s="1"/>
  <c r="F44"/>
  <c r="F43" s="1"/>
  <c r="F23"/>
  <c r="F17"/>
  <c r="F16" l="1"/>
  <c r="F6" s="1"/>
</calcChain>
</file>

<file path=xl/sharedStrings.xml><?xml version="1.0" encoding="utf-8"?>
<sst xmlns="http://schemas.openxmlformats.org/spreadsheetml/2006/main" count="3407" uniqueCount="951">
  <si>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</si>
  <si>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</si>
  <si>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</si>
  <si>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</si>
  <si>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</si>
  <si>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</si>
  <si>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고용보험부담금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</si>
  <si>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</si>
  <si>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</si>
  <si>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</si>
  <si>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</si>
  <si>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</si>
  <si>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</si>
  <si>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</si>
  <si>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</si>
  <si>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가계보조비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</si>
  <si>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</si>
  <si>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</si>
  <si>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</si>
  <si>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</si>
  <si>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</si>
  <si>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</si>
  <si>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</si>
  <si>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</si>
  <si>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</si>
  <si>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</si>
  <si>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</si>
  <si>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</si>
  <si>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</si>
  <si>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</si>
  <si>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</si>
  <si>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</si>
  <si>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</si>
  <si>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</si>
  <si>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</si>
  <si>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</si>
  <si>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</si>
  <si>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</si>
  <si>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</si>
  <si>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</si>
  <si>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산재보험부담금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</si>
  <si>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</si>
  <si>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</si>
  <si>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</si>
  <si>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의약품비</t>
    <phoneticPr fontId="2" type="noConversion"/>
  </si>
  <si>
    <t>입소자부식비</t>
    <phoneticPr fontId="2" type="noConversion"/>
  </si>
  <si>
    <t>비교증감
( B-A )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</si>
  <si>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</si>
  <si>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</si>
  <si>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</si>
  <si>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</si>
  <si>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</si>
  <si>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</si>
  <si>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</si>
  <si>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</si>
  <si>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</si>
  <si>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</si>
  <si>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</si>
  <si>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</si>
  <si>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>주식비</t>
    <phoneticPr fontId="2" type="noConversion"/>
  </si>
  <si>
    <t xml:space="preserve">    2) 자부담 세출내역  </t>
    <phoneticPr fontId="2" type="noConversion"/>
  </si>
  <si>
    <t>특수근무
수  당
(도비)</t>
    <phoneticPr fontId="13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</si>
  <si>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</si>
  <si>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</si>
  <si>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</si>
  <si>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</si>
  <si>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</si>
  <si>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</si>
  <si>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</si>
  <si>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</si>
  <si>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</si>
  <si>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</si>
  <si>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 xml:space="preserve"> 7,000,000원 X 1개소 = 7,000,000원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</si>
  <si>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</si>
  <si>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</si>
  <si>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</si>
  <si>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</si>
  <si>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</si>
  <si>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</si>
  <si>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</si>
  <si>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</si>
  <si>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</si>
  <si>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</si>
  <si>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</si>
  <si>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명절휴가비
(50%씩
연2회)</t>
    <phoneticPr fontId="13" type="noConversion"/>
  </si>
  <si>
    <t>가족수당
(30,000원)
(20,000원)</t>
    <phoneticPr fontId="13" type="noConversion"/>
  </si>
  <si>
    <t>소  계</t>
    <phoneticPr fontId="13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</si>
  <si>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</si>
  <si>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</si>
  <si>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</si>
  <si>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</si>
  <si>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</si>
  <si>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</si>
  <si>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</si>
  <si>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소계</t>
    <phoneticPr fontId="13" type="noConversion"/>
  </si>
  <si>
    <t>생활재활교사</t>
    <phoneticPr fontId="13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</si>
  <si>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</si>
  <si>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</si>
  <si>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</si>
  <si>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</si>
  <si>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</si>
  <si>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</si>
  <si>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</si>
  <si>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</si>
  <si>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</si>
  <si>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관리운영비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</si>
  <si>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</si>
  <si>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</si>
  <si>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</si>
  <si>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</si>
  <si>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사무비(인건비)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</si>
  <si>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</si>
  <si>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</si>
  <si>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</si>
  <si>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</si>
  <si>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</si>
  <si>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</si>
  <si>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</si>
  <si>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</si>
  <si>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</si>
  <si>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교통급식비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</si>
  <si>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</si>
  <si>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</si>
  <si>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</si>
  <si>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</si>
  <si>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</si>
  <si>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</si>
  <si>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</si>
  <si>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</si>
  <si>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</si>
  <si>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</si>
  <si>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</si>
  <si>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</si>
  <si>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</si>
  <si>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</si>
  <si>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</si>
  <si>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</si>
  <si>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부식비</t>
    <phoneticPr fontId="2" type="noConversion"/>
  </si>
  <si>
    <t>취사연료비</t>
    <phoneticPr fontId="2" type="noConversion"/>
  </si>
  <si>
    <t>월동대책비</t>
    <phoneticPr fontId="2" type="noConversion"/>
  </si>
  <si>
    <t>일반피복비</t>
    <phoneticPr fontId="2" type="noConversion"/>
  </si>
  <si>
    <t>런닝팬티비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</si>
  <si>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</si>
  <si>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</si>
  <si>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</si>
  <si>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</si>
  <si>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피복비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</si>
  <si>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</si>
  <si>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</si>
  <si>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</si>
  <si>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연료비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</si>
  <si>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</si>
  <si>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</si>
  <si>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</si>
  <si>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</si>
  <si>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</si>
  <si>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</si>
  <si>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</si>
  <si>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</si>
  <si>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</si>
  <si>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</si>
  <si>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</si>
  <si>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</si>
  <si>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</si>
  <si>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</si>
  <si>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</si>
  <si>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</si>
  <si>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</si>
  <si>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</si>
  <si>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</si>
  <si>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입소자간식비</t>
    <phoneticPr fontId="2" type="noConversion"/>
  </si>
  <si>
    <t>4종운영지원사업비</t>
    <phoneticPr fontId="2" type="noConversion"/>
  </si>
  <si>
    <t>7종운영지원
사업비</t>
    <phoneticPr fontId="2" type="noConversion"/>
  </si>
  <si>
    <t>종사자
특수근무수당</t>
    <phoneticPr fontId="2" type="noConversion"/>
  </si>
  <si>
    <t>보조원인건비</t>
    <phoneticPr fontId="2" type="noConversion"/>
  </si>
  <si>
    <t>운전원인건비</t>
    <phoneticPr fontId="2" type="noConversion"/>
  </si>
  <si>
    <t>차량운영비</t>
    <phoneticPr fontId="2" type="noConversion"/>
  </si>
  <si>
    <t>장비구입및
환경개선사업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</si>
  <si>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</si>
  <si>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</si>
  <si>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</si>
  <si>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</si>
  <si>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</si>
  <si>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</si>
  <si>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</si>
  <si>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업무추진비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</si>
  <si>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</si>
  <si>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</si>
  <si>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</si>
  <si>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</si>
  <si>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부교재및교양도서비</t>
    <phoneticPr fontId="2" type="noConversion"/>
  </si>
  <si>
    <t>실습재료비</t>
    <phoneticPr fontId="2" type="noConversion"/>
  </si>
  <si>
    <t>특별위로금</t>
    <phoneticPr fontId="2" type="noConversion"/>
  </si>
  <si>
    <t>위생재료비</t>
    <phoneticPr fontId="2" type="noConversion"/>
  </si>
  <si>
    <t xml:space="preserve"> '장애인복지시설 입소자지원 (4종)' 산출내역표 참조 </t>
    <phoneticPr fontId="2" type="noConversion"/>
  </si>
  <si>
    <t xml:space="preserve"> '장애인복지시설 입소자지원 (4종)' 산출내역표 참조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</si>
  <si>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</si>
  <si>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</si>
  <si>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</si>
  <si>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</si>
  <si>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</si>
  <si>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</si>
  <si>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'국민기초생활보장급여'월별 산출내역표 참조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</si>
  <si>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</si>
  <si>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</si>
  <si>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</si>
  <si>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</si>
  <si>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</si>
  <si>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</si>
  <si>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자가운전보조금</t>
    <phoneticPr fontId="2" type="noConversion"/>
  </si>
  <si>
    <t>퇴직금및적립금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</si>
  <si>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</si>
  <si>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</si>
  <si>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</si>
  <si>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</si>
  <si>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</si>
  <si>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</si>
  <si>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</si>
  <si>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</si>
  <si>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</si>
  <si>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</si>
  <si>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</si>
  <si>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</si>
  <si>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</si>
  <si>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</si>
  <si>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</si>
  <si>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</si>
  <si>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</si>
  <si>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</si>
  <si>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</si>
  <si>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</si>
  <si>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</si>
  <si>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</si>
  <si>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</si>
  <si>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</si>
  <si>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</si>
  <si>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</si>
  <si>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</si>
  <si>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</si>
  <si>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</si>
  <si>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후원금수입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</si>
  <si>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</si>
  <si>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</si>
  <si>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</si>
  <si>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</si>
  <si>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</si>
  <si>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</si>
  <si>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</si>
  <si>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</si>
  <si>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</si>
  <si>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비교증감
( B-A 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</si>
  <si>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</si>
  <si>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</si>
  <si>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</si>
  <si>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</si>
  <si>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</si>
  <si>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</si>
  <si>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</si>
  <si>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</si>
  <si>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</si>
  <si>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</si>
  <si>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</si>
  <si>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</si>
  <si>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</si>
  <si>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</si>
  <si>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</si>
  <si>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</si>
  <si>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</si>
  <si>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</si>
  <si>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</si>
  <si>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</si>
  <si>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</si>
  <si>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</si>
  <si>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</si>
  <si>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</si>
  <si>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</si>
  <si>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</si>
  <si>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</si>
  <si>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</si>
  <si>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</si>
  <si>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</si>
  <si>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</si>
  <si>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</si>
  <si>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</si>
  <si>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</si>
  <si>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</si>
  <si>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</si>
  <si>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</si>
  <si>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</si>
  <si>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</si>
  <si>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</si>
  <si>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</si>
  <si>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</si>
  <si>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</si>
  <si>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</si>
  <si>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</si>
  <si>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4종운영지원사업비</t>
    <phoneticPr fontId="2" type="noConversion"/>
  </si>
  <si>
    <t>7종운영지원사업비</t>
    <phoneticPr fontId="2" type="noConversion"/>
  </si>
  <si>
    <t>재활프로그램사업비</t>
    <phoneticPr fontId="2" type="noConversion"/>
  </si>
  <si>
    <t>(단위:원)</t>
    <phoneticPr fontId="2" type="noConversion"/>
  </si>
  <si>
    <t>비교증감
( B-A )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</si>
  <si>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</si>
  <si>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</si>
  <si>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</si>
  <si>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</si>
  <si>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</si>
  <si>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</si>
  <si>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</si>
  <si>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</si>
  <si>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연장근로수당</t>
    <phoneticPr fontId="2" type="noConversion"/>
  </si>
  <si>
    <t>소계</t>
    <phoneticPr fontId="2" type="noConversion"/>
  </si>
  <si>
    <t>기말수당</t>
    <phoneticPr fontId="2" type="noConversion"/>
  </si>
  <si>
    <t>정근수당</t>
    <phoneticPr fontId="2" type="noConversion"/>
  </si>
  <si>
    <t>장기근속수당</t>
    <phoneticPr fontId="2" type="noConversion"/>
  </si>
  <si>
    <t>가계지원비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</si>
  <si>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</si>
  <si>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</si>
  <si>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</si>
  <si>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장애인영양급식비</t>
    <phoneticPr fontId="2" type="noConversion"/>
  </si>
  <si>
    <t>건강보험부담금</t>
    <phoneticPr fontId="2" type="noConversion"/>
  </si>
  <si>
    <t>특수근무수당(도)</t>
    <phoneticPr fontId="2" type="noConversion"/>
  </si>
  <si>
    <t xml:space="preserve"> '국민기초생활보장급여'월별 산출내역표 참조</t>
    <phoneticPr fontId="2" type="noConversion"/>
  </si>
  <si>
    <t xml:space="preserve"> 수도료,전기료,우편료,전화료,운송료 등</t>
    <phoneticPr fontId="2" type="noConversion"/>
  </si>
  <si>
    <t xml:space="preserve"> 전기안전점검료, 정화조유지비,승강기유지비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</si>
  <si>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</si>
  <si>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</si>
  <si>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</si>
  <si>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</si>
  <si>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</si>
  <si>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</si>
  <si>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7월</t>
  </si>
  <si>
    <t>8월</t>
  </si>
  <si>
    <t>12월</t>
    <phoneticPr fontId="13" type="noConversion"/>
  </si>
  <si>
    <t>3,4</t>
    <phoneticPr fontId="2" type="noConversion"/>
  </si>
  <si>
    <t>소계</t>
    <phoneticPr fontId="13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</si>
  <si>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</si>
  <si>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</si>
  <si>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</si>
  <si>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</si>
  <si>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</si>
  <si>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</si>
  <si>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</si>
  <si>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</si>
  <si>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</si>
  <si>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</si>
  <si>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</si>
  <si>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</si>
  <si>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</si>
  <si>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</si>
  <si>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</si>
  <si>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</si>
  <si>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</si>
  <si>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</si>
  <si>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</si>
  <si>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</si>
  <si>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</si>
  <si>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</si>
  <si>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</si>
  <si>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</si>
  <si>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</si>
  <si>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</si>
  <si>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퇴직금및적립금</t>
    <phoneticPr fontId="2" type="noConversion"/>
  </si>
  <si>
    <t>사회보험부담비용</t>
    <phoneticPr fontId="2" type="noConversion"/>
  </si>
  <si>
    <t>기타후생경비</t>
    <phoneticPr fontId="2" type="noConversion"/>
  </si>
  <si>
    <t>수용비및수수료</t>
    <phoneticPr fontId="2" type="noConversion"/>
  </si>
  <si>
    <t>시설장비유지비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</si>
  <si>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</si>
  <si>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</si>
  <si>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</si>
  <si>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</si>
  <si>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</si>
  <si>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</si>
  <si>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</si>
  <si>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</si>
  <si>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</si>
  <si>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</si>
  <si>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</si>
  <si>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</si>
  <si>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</si>
  <si>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</si>
  <si>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</si>
  <si>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</si>
  <si>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</si>
  <si>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</si>
  <si>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</si>
  <si>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</si>
  <si>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사무비(업무추진비,운영비)</t>
    <phoneticPr fontId="2" type="noConversion"/>
  </si>
  <si>
    <t>사업수입</t>
    <phoneticPr fontId="2" type="noConversion"/>
  </si>
  <si>
    <t>프로그램사업수입</t>
    <phoneticPr fontId="2" type="noConversion"/>
  </si>
  <si>
    <t xml:space="preserve">    3) 후원금 세출내역  </t>
    <phoneticPr fontId="2" type="noConversion"/>
  </si>
  <si>
    <t xml:space="preserve"> 생활보장급여 </t>
    <phoneticPr fontId="2" type="noConversion"/>
  </si>
  <si>
    <t>구성비
( ％ )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</si>
  <si>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</si>
  <si>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</si>
  <si>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</si>
  <si>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</si>
  <si>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</si>
  <si>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</si>
  <si>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</si>
  <si>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</si>
  <si>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</si>
  <si>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</si>
  <si>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</si>
  <si>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</si>
  <si>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</si>
  <si>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</si>
  <si>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처우개선비(자)</t>
    <phoneticPr fontId="2" type="noConversion"/>
  </si>
  <si>
    <t>보전수당(자)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</si>
  <si>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</si>
  <si>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</si>
  <si>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</si>
  <si>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</si>
  <si>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</si>
  <si>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</si>
  <si>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</si>
  <si>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</si>
  <si>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13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</si>
  <si>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</si>
  <si>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</si>
  <si>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</si>
  <si>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</si>
  <si>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</si>
  <si>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 xml:space="preserve"> 실제 운행중인 시설 업무용 소형 승합자동차와 특수차량의 연료비, 소모품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</si>
  <si>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</si>
  <si>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</si>
  <si>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</si>
  <si>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결연후원금</t>
    <phoneticPr fontId="2" type="noConversion"/>
  </si>
  <si>
    <t>교통급식비
(110,000원)</t>
    <phoneticPr fontId="13" type="noConversion"/>
  </si>
  <si>
    <t>처우개선비</t>
    <phoneticPr fontId="13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</si>
  <si>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</si>
  <si>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</si>
  <si>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</si>
  <si>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</si>
  <si>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</si>
  <si>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</si>
  <si>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</si>
  <si>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</si>
  <si>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</si>
  <si>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공동모금회사업비-재활승마</t>
    <phoneticPr fontId="2" type="noConversion"/>
  </si>
  <si>
    <t xml:space="preserve"> ※생활보장급여입소자 51명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</si>
  <si>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</si>
  <si>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</si>
  <si>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</si>
  <si>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</si>
  <si>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</si>
  <si>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</si>
  <si>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</si>
  <si>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</si>
  <si>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</si>
  <si>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</si>
  <si>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</si>
  <si>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</si>
  <si>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</si>
  <si>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</si>
  <si>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</si>
  <si>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13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</si>
  <si>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</si>
  <si>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</si>
  <si>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</si>
  <si>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</si>
  <si>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</si>
  <si>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</si>
  <si>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</si>
  <si>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</si>
  <si>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 xml:space="preserve">교통급식비
</t>
    <phoneticPr fontId="13" type="noConversion"/>
  </si>
  <si>
    <t>기관홍보물제작,소식지,성탄카드 등</t>
    <phoneticPr fontId="2" type="noConversion"/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</si>
  <si>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</si>
  <si>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</si>
  <si>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</si>
  <si>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</si>
  <si>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</si>
  <si>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13" type="noConversion"/>
  </si>
  <si>
    <t xml:space="preserve"> 여행,등산,놀이 등에 소요되는 여비,기구 구입비</t>
    <phoneticPr fontId="2" type="noConversion"/>
  </si>
  <si>
    <r>
      <t xml:space="preserve"> 직업재활활동에 소요되는 비용</t>
    </r>
    <r>
      <rPr>
        <sz val="7"/>
        <rFont val="HY그래픽"/>
        <family val="1"/>
        <charset val="129"/>
      </rPr>
      <t xml:space="preserve"> </t>
    </r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</si>
  <si>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</si>
  <si>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13" type="noConversion"/>
  </si>
  <si>
    <t>(2) 후원금</t>
    <phoneticPr fontId="13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</si>
  <si>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</si>
  <si>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</si>
  <si>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</si>
  <si>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운영비계산</t>
    <phoneticPr fontId="2" type="noConversion"/>
  </si>
  <si>
    <t>기관보유차량 유류비용 및 점검등 유지비용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</si>
  <si>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</si>
  <si>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</si>
  <si>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</si>
  <si>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</si>
  <si>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</si>
  <si>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</si>
  <si>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</si>
  <si>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</si>
  <si>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</si>
  <si>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</si>
  <si>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</si>
  <si>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가계보조
수  당
(50,000원)</t>
    <phoneticPr fontId="13" type="noConversion"/>
  </si>
  <si>
    <t>교통급식비
(110,000원)</t>
    <phoneticPr fontId="13" type="noConversion"/>
  </si>
  <si>
    <t>특수근무
수   당
(국비)</t>
    <phoneticPr fontId="13" type="noConversion"/>
  </si>
  <si>
    <t>가족수당
(40,000원)
(20,000원)</t>
    <phoneticPr fontId="13" type="noConversion"/>
  </si>
  <si>
    <t>명절휴가비
연평균액</t>
    <phoneticPr fontId="2" type="noConversion"/>
  </si>
  <si>
    <t>연장근로수당</t>
    <phoneticPr fontId="2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</si>
  <si>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</si>
  <si>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</si>
  <si>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</si>
  <si>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</si>
  <si>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</si>
  <si>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</si>
  <si>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</si>
  <si>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</si>
  <si>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</si>
  <si>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     계</t>
    <phoneticPr fontId="13" type="noConversion"/>
  </si>
  <si>
    <t>시  설  장</t>
    <phoneticPr fontId="13" type="noConversion"/>
  </si>
  <si>
    <t>10,11</t>
    <phoneticPr fontId="2" type="noConversion"/>
  </si>
  <si>
    <t>소계</t>
    <phoneticPr fontId="13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</si>
  <si>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</si>
  <si>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</si>
  <si>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</si>
  <si>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</si>
  <si>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</si>
  <si>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</si>
  <si>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</si>
  <si>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</si>
  <si>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김정윤</t>
    <phoneticPr fontId="2" type="noConversion"/>
  </si>
  <si>
    <t>영  양  사</t>
    <phoneticPr fontId="13" type="noConversion"/>
  </si>
  <si>
    <t>김혜영</t>
    <phoneticPr fontId="2" type="noConversion"/>
  </si>
  <si>
    <t>간  호  사</t>
    <phoneticPr fontId="13" type="noConversion"/>
  </si>
  <si>
    <t>전광숙</t>
    <phoneticPr fontId="2" type="noConversion"/>
  </si>
  <si>
    <t>물리치료사</t>
    <phoneticPr fontId="13" type="noConversion"/>
  </si>
  <si>
    <t>7,8</t>
    <phoneticPr fontId="2" type="noConversion"/>
  </si>
  <si>
    <t>송의용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</si>
  <si>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</si>
  <si>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</si>
  <si>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</si>
  <si>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소계</t>
    <phoneticPr fontId="13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</si>
  <si>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</si>
  <si>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</si>
  <si>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</si>
  <si>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</si>
  <si>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</si>
  <si>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</si>
  <si>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</si>
  <si>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</si>
  <si>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심영은</t>
    <phoneticPr fontId="2" type="noConversion"/>
  </si>
  <si>
    <t>이선이</t>
    <phoneticPr fontId="2" type="noConversion"/>
  </si>
  <si>
    <t>유준</t>
    <phoneticPr fontId="2" type="noConversion"/>
  </si>
  <si>
    <t>이슬</t>
    <phoneticPr fontId="2" type="noConversion"/>
  </si>
  <si>
    <t>신희철</t>
    <phoneticPr fontId="2" type="noConversion"/>
  </si>
  <si>
    <t>임현주</t>
    <phoneticPr fontId="2" type="noConversion"/>
  </si>
  <si>
    <t>홍은향</t>
    <phoneticPr fontId="2" type="noConversion"/>
  </si>
  <si>
    <t>이도란</t>
    <phoneticPr fontId="2" type="noConversion"/>
  </si>
  <si>
    <t>윤용진</t>
    <phoneticPr fontId="2" type="noConversion"/>
  </si>
  <si>
    <t>김지영</t>
    <phoneticPr fontId="2" type="noConversion"/>
  </si>
  <si>
    <t>김종민</t>
    <phoneticPr fontId="2" type="noConversion"/>
  </si>
  <si>
    <t>김소나</t>
    <phoneticPr fontId="2" type="noConversion"/>
  </si>
  <si>
    <t>예정</t>
    <phoneticPr fontId="2" type="noConversion"/>
  </si>
  <si>
    <t>박성원</t>
    <phoneticPr fontId="2" type="noConversion"/>
  </si>
  <si>
    <t>이경아</t>
    <phoneticPr fontId="2" type="noConversion"/>
  </si>
  <si>
    <t>권구철</t>
    <phoneticPr fontId="2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</si>
  <si>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</si>
  <si>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</si>
  <si>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</si>
  <si>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성미란</t>
    <phoneticPr fontId="2" type="noConversion"/>
  </si>
  <si>
    <t>민병선</t>
    <phoneticPr fontId="2" type="noConversion"/>
  </si>
  <si>
    <t>조원일</t>
    <phoneticPr fontId="2" type="noConversion"/>
  </si>
  <si>
    <t>조  리  원</t>
    <phoneticPr fontId="13" type="noConversion"/>
  </si>
  <si>
    <t>이순옥</t>
    <phoneticPr fontId="2" type="noConversion"/>
  </si>
  <si>
    <t>안옥희</t>
    <phoneticPr fontId="2" type="noConversion"/>
  </si>
  <si>
    <t>촉 탁 의</t>
    <phoneticPr fontId="13" type="noConversion"/>
  </si>
  <si>
    <t>(2) 도시비지원</t>
    <phoneticPr fontId="13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</si>
  <si>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</si>
  <si>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</si>
  <si>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</si>
  <si>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</si>
  <si>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</si>
  <si>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</si>
  <si>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</si>
  <si>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</si>
  <si>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</si>
  <si>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</si>
  <si>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</si>
  <si>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가계보조
수  당
(50,000원)</t>
    <phoneticPr fontId="13" type="noConversion"/>
  </si>
  <si>
    <t>교통급식비
(110,000원)</t>
    <phoneticPr fontId="13" type="noConversion"/>
  </si>
  <si>
    <t>명절휴가비
(50%씩
연2회)</t>
    <phoneticPr fontId="13" type="noConversion"/>
  </si>
  <si>
    <t>특수근무
수   당
(국비)</t>
    <phoneticPr fontId="13" type="noConversion"/>
  </si>
  <si>
    <t>명절휴가비
연평균액</t>
    <phoneticPr fontId="2" type="noConversion"/>
  </si>
  <si>
    <t>연장근로수당
(보수월액*1/
209*1.5*40/56)</t>
    <phoneticPr fontId="13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</si>
  <si>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</si>
  <si>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</si>
  <si>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</si>
  <si>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</si>
  <si>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</si>
  <si>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</si>
  <si>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</si>
  <si>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</si>
  <si>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</si>
  <si>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</si>
  <si>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</si>
  <si>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운 전 원</t>
    <phoneticPr fontId="13" type="noConversion"/>
  </si>
  <si>
    <t>신언영</t>
    <phoneticPr fontId="2" type="noConversion"/>
  </si>
  <si>
    <t>-</t>
    <phoneticPr fontId="2" type="noConversion"/>
  </si>
  <si>
    <t>(3) 도시비지원</t>
    <phoneticPr fontId="13" type="noConversion"/>
  </si>
  <si>
    <t>4~12</t>
    <phoneticPr fontId="2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</si>
  <si>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</si>
  <si>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</si>
  <si>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</si>
  <si>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</si>
  <si>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</si>
  <si>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</si>
  <si>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</si>
  <si>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</si>
  <si>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</si>
  <si>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</si>
  <si>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</si>
  <si>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</si>
  <si>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</si>
  <si>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</si>
  <si>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</si>
  <si>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</si>
  <si>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</si>
  <si>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</si>
  <si>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</si>
  <si>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</si>
  <si>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</si>
  <si>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</si>
  <si>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</si>
  <si>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</si>
  <si>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</si>
  <si>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</si>
  <si>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</si>
  <si>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</si>
  <si>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</si>
  <si>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</si>
  <si>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</si>
  <si>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</si>
  <si>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</si>
  <si>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</si>
  <si>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</si>
  <si>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</si>
  <si>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</si>
  <si>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</si>
  <si>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</si>
  <si>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</si>
  <si>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</si>
  <si>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</si>
  <si>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</si>
  <si>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</si>
  <si>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</si>
  <si>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</si>
  <si>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일용직(1명)</t>
    <phoneticPr fontId="2" type="noConversion"/>
  </si>
  <si>
    <t>29명*300,000원*12개월=104,400,000원
(실비정원 29명)</t>
    <phoneticPr fontId="2" type="noConversion"/>
  </si>
  <si>
    <t>가족수당
(40,000원)
(20,000원)</t>
    <phoneticPr fontId="13" type="noConversion"/>
  </si>
  <si>
    <t xml:space="preserve"> 역량강화훈련,연찬회,체육대회,기타상해보험등복리후생비 등</t>
    <phoneticPr fontId="2" type="noConversion"/>
  </si>
  <si>
    <t>인권지킴이, 운영위원회등 경비</t>
    <phoneticPr fontId="2" type="noConversion"/>
  </si>
  <si>
    <t>일용직</t>
    <phoneticPr fontId="13" type="noConversion"/>
  </si>
  <si>
    <t>생활동 가구 교체 구입비용 등</t>
    <phoneticPr fontId="2" type="noConversion"/>
  </si>
  <si>
    <t>명절휴가비
(60%씩
연2회)</t>
    <phoneticPr fontId="13" type="noConversion"/>
  </si>
  <si>
    <t>한형석</t>
    <phoneticPr fontId="2" type="noConversion"/>
  </si>
  <si>
    <t>위  생  원</t>
    <phoneticPr fontId="13" type="noConversion"/>
  </si>
  <si>
    <t>정순정</t>
    <phoneticPr fontId="2" type="noConversion"/>
  </si>
  <si>
    <t>심종환</t>
    <phoneticPr fontId="2" type="noConversion"/>
  </si>
  <si>
    <t>4.5%</t>
    <phoneticPr fontId="2" type="noConversion"/>
  </si>
  <si>
    <t>0.8%</t>
    <phoneticPr fontId="2" type="noConversion"/>
  </si>
  <si>
    <t>8,9</t>
    <phoneticPr fontId="2" type="noConversion"/>
  </si>
  <si>
    <t>6,7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</si>
  <si>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</si>
  <si>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</si>
  <si>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</si>
  <si>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3,4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</si>
  <si>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</si>
  <si>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</si>
  <si>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</si>
  <si>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</si>
  <si>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</si>
  <si>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</si>
  <si>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</si>
  <si>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</si>
  <si>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</si>
  <si>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 xml:space="preserve"> ※생활보장급여입소자 51명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</si>
  <si>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</si>
  <si>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</si>
  <si>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</si>
  <si>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</si>
  <si>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</si>
  <si>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</si>
  <si>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</si>
  <si>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</si>
  <si>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</si>
  <si>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</si>
  <si>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</si>
  <si>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</si>
  <si>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</si>
  <si>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</si>
  <si>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</si>
  <si>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</si>
  <si>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</si>
  <si>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</si>
  <si>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</si>
  <si>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</si>
  <si>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</si>
  <si>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</si>
  <si>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</si>
  <si>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</si>
  <si>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</si>
  <si>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</si>
  <si>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</si>
  <si>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</si>
  <si>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 xml:space="preserve"> ※생활보장급여입소자 51명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</si>
  <si>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</si>
  <si>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</si>
  <si>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</si>
  <si>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</si>
  <si>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</si>
  <si>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</si>
  <si>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</si>
  <si>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</si>
  <si>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</si>
  <si>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</si>
  <si>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</si>
  <si>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</si>
  <si>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</si>
  <si>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</si>
  <si>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</si>
  <si>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</si>
  <si>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</si>
  <si>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</si>
  <si>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>김갑성</t>
    <phoneticPr fontId="2" type="noConversion"/>
  </si>
  <si>
    <t xml:space="preserve"> 종사자급식비27,600,000/ 임대료(SK,LG) 5,900,000/
 기타 5,000,000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</si>
  <si>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</si>
  <si>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</si>
  <si>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</si>
  <si>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</si>
  <si>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</si>
  <si>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>2015년도</t>
    <phoneticPr fontId="2" type="noConversion"/>
  </si>
  <si>
    <t xml:space="preserve">  ▣  2015년  종사자  인건비 총계표</t>
    <phoneticPr fontId="13" type="noConversion"/>
  </si>
  <si>
    <t>18,19</t>
    <phoneticPr fontId="2" type="noConversion"/>
  </si>
  <si>
    <t>최두영</t>
    <phoneticPr fontId="2" type="noConversion"/>
  </si>
  <si>
    <t>조재옥</t>
    <phoneticPr fontId="2" type="noConversion"/>
  </si>
  <si>
    <t>2,3</t>
    <phoneticPr fontId="2" type="noConversion"/>
  </si>
  <si>
    <t>0.9%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</si>
  <si>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</si>
  <si>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</si>
  <si>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</si>
  <si>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입소자피복비</t>
    <phoneticPr fontId="2" type="noConversion"/>
  </si>
  <si>
    <t>입소자
특별급식비</t>
    <phoneticPr fontId="2" type="noConversion"/>
  </si>
  <si>
    <t>입소자
건강진단비</t>
    <phoneticPr fontId="2" type="noConversion"/>
  </si>
  <si>
    <t xml:space="preserve"> CMS관리)/소모품구입</t>
    <phoneticPr fontId="2" type="noConversion"/>
  </si>
  <si>
    <t xml:space="preserve"> 전기,전화,수도요금.DM발송,우편물발송요금 등 </t>
    <phoneticPr fontId="2" type="noConversion"/>
  </si>
  <si>
    <t>개원기념행사 및 기타행사비</t>
    <phoneticPr fontId="2" type="noConversion"/>
  </si>
  <si>
    <t>시설 내외부 환경개선</t>
    <phoneticPr fontId="2" type="noConversion"/>
  </si>
  <si>
    <t>생활동 가구 및 기타 고정자산 구입비용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</si>
  <si>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</si>
  <si>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</si>
  <si>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</si>
  <si>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2015년(2015.01.01 ~ 2015.12.31) 기간의 예산으로 사회복지 법인 재무회계규칙 제9조 1항에</t>
    <phoneticPr fontId="2" type="noConversion"/>
  </si>
  <si>
    <t>실지출반영 예산 감액</t>
    <phoneticPr fontId="2" type="noConversion"/>
  </si>
  <si>
    <t>이기수</t>
    <phoneticPr fontId="2" type="noConversion"/>
  </si>
  <si>
    <t>사무원</t>
    <phoneticPr fontId="13" type="noConversion"/>
  </si>
  <si>
    <t>3.035%+6.55%</t>
    <phoneticPr fontId="2" type="noConversion"/>
  </si>
  <si>
    <t>실수령액
(갑근세미반영)</t>
    <phoneticPr fontId="13" type="noConversion"/>
  </si>
  <si>
    <t>공제액합계</t>
    <phoneticPr fontId="13" type="noConversion"/>
  </si>
  <si>
    <t>연장근로수당
(보수월액*1/
209*1.5*20or40)</t>
    <phoneticPr fontId="13" type="noConversion"/>
  </si>
  <si>
    <t>김민수</t>
    <phoneticPr fontId="2" type="noConversion"/>
  </si>
  <si>
    <t>2015년도
당초예산
( A )</t>
    <phoneticPr fontId="2" type="noConversion"/>
  </si>
  <si>
    <t>2015년도
1차추경
( B )</t>
    <phoneticPr fontId="2" type="noConversion"/>
  </si>
  <si>
    <t xml:space="preserve"> 세입ㆍ세출 예산서(안)</t>
    <phoneticPr fontId="2" type="noConversion"/>
  </si>
  <si>
    <t xml:space="preserve"> 2015년 재활프로그램사업 (테마트래킹)</t>
    <phoneticPr fontId="2" type="noConversion"/>
  </si>
  <si>
    <t>실제 이월금액</t>
    <phoneticPr fontId="2" type="noConversion"/>
  </si>
  <si>
    <t>실제 이월액</t>
    <phoneticPr fontId="2" type="noConversion"/>
  </si>
  <si>
    <t>선임팀장</t>
    <phoneticPr fontId="2" type="noConversion"/>
  </si>
  <si>
    <t xml:space="preserve"> ※ 시설당기본지원(62,700,000원)/생활장애인가중지원(31,450,000원)</t>
    <phoneticPr fontId="2" type="noConversion"/>
  </si>
  <si>
    <t>(매월 7,845,830원)</t>
    <phoneticPr fontId="2" type="noConversion"/>
  </si>
  <si>
    <t xml:space="preserve">2015년 재활프로그램사업 </t>
    <phoneticPr fontId="2" type="noConversion"/>
  </si>
  <si>
    <t>2015년 공동모금회 신청사업선정 지정후원금</t>
    <phoneticPr fontId="2" type="noConversion"/>
  </si>
  <si>
    <t xml:space="preserve"> 2015년 경기도재활프로그램사업 </t>
    <phoneticPr fontId="2" type="noConversion"/>
  </si>
  <si>
    <t>기관장(200,000),사무국장(160,000),
과장, 선임팀장(100,000),팀장(60,000)</t>
    <phoneticPr fontId="2" type="noConversion"/>
  </si>
  <si>
    <t>세입대세출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</si>
  <si>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</si>
  <si>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</si>
  <si>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</si>
  <si>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</si>
  <si>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</si>
  <si>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</si>
  <si>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</si>
  <si>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13" type="noConversion"/>
  </si>
  <si>
    <t>(1) 국도시비</t>
    <phoneticPr fontId="13" type="noConversion"/>
  </si>
  <si>
    <t>소계</t>
    <phoneticPr fontId="13" type="noConversion"/>
  </si>
  <si>
    <t>사무국장</t>
    <phoneticPr fontId="13" type="noConversion"/>
  </si>
  <si>
    <t>조성숙</t>
    <phoneticPr fontId="2" type="noConversion"/>
  </si>
  <si>
    <t>사회재활교사</t>
    <phoneticPr fontId="13" type="noConversion"/>
  </si>
  <si>
    <t>11,12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</si>
  <si>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</si>
  <si>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</si>
  <si>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</si>
  <si>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</si>
  <si>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</si>
  <si>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</si>
  <si>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</si>
  <si>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 xml:space="preserve"> * 비지정후원금 이월금   (181,802,239원), 
 * 지정후원금 이월금     (3,795,950원),
 * 후원금예금이자 이월금 (734,914원),
 * 기타 잡수입 이월금    (1원). </t>
  </si>
  <si>
    <t>실수입대비 예산 감액</t>
    <phoneticPr fontId="2" type="noConversion"/>
  </si>
  <si>
    <t>보조금수입</t>
    <phoneticPr fontId="2" type="noConversion"/>
  </si>
  <si>
    <t>국고보조금</t>
    <phoneticPr fontId="2" type="noConversion"/>
  </si>
  <si>
    <t>기타보조금</t>
    <phoneticPr fontId="2" type="noConversion"/>
  </si>
  <si>
    <t>2015년도
1차추경
( A )</t>
    <phoneticPr fontId="2" type="noConversion"/>
  </si>
  <si>
    <t>2015년도
2차추경
( B )</t>
    <phoneticPr fontId="2" type="noConversion"/>
  </si>
  <si>
    <t>일상용품비</t>
    <phoneticPr fontId="2" type="noConversion"/>
  </si>
  <si>
    <t>결연사업비</t>
    <phoneticPr fontId="2" type="noConversion"/>
  </si>
  <si>
    <t>추가지원사업비</t>
    <phoneticPr fontId="2" type="noConversion"/>
  </si>
  <si>
    <t>추가지원수당
(보수월액*1/
209*1.5*5</t>
    <phoneticPr fontId="13" type="noConversion"/>
  </si>
  <si>
    <t>금형민</t>
    <phoneticPr fontId="2" type="noConversion"/>
  </si>
  <si>
    <t>조선영</t>
    <phoneticPr fontId="2" type="noConversion"/>
  </si>
  <si>
    <t>박영규</t>
    <phoneticPr fontId="2" type="noConversion"/>
  </si>
  <si>
    <t>김진범</t>
    <phoneticPr fontId="2" type="noConversion"/>
  </si>
  <si>
    <t>2,3</t>
    <phoneticPr fontId="2" type="noConversion"/>
  </si>
  <si>
    <t>언어치료사</t>
    <phoneticPr fontId="13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</si>
  <si>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</si>
  <si>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</si>
  <si>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</si>
  <si>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</si>
  <si>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</si>
  <si>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</si>
  <si>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</si>
  <si>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</si>
  <si>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</si>
  <si>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</si>
  <si>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장기근속
수  당</t>
  </si>
  <si>
    <t>가계지원비
(50%씩 연4회
-4,5,10,11월)</t>
  </si>
  <si>
    <t>가계보조
수  당
(50,000원)</t>
  </si>
  <si>
    <t>교통급식비
(110,000원)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</si>
  <si>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</si>
  <si>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</si>
  <si>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</si>
  <si>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</si>
  <si>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</si>
  <si>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</si>
  <si>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</si>
  <si>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</si>
  <si>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</si>
  <si>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</si>
  <si>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</si>
  <si>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</si>
  <si>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</si>
  <si>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</si>
  <si>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</si>
  <si>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</si>
  <si>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</si>
  <si>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>연장근로수당</t>
    <phoneticPr fontId="2" type="noConversion"/>
  </si>
  <si>
    <t>2월</t>
    <phoneticPr fontId="2" type="noConversion"/>
  </si>
  <si>
    <t>추가지원사업</t>
    <phoneticPr fontId="2" type="noConversion"/>
  </si>
  <si>
    <t>유동식</t>
    <phoneticPr fontId="2" type="noConversion"/>
  </si>
  <si>
    <t xml:space="preserve"> 300,000원 X 12개월 = 3,600,000원</t>
    <phoneticPr fontId="2" type="noConversion"/>
  </si>
  <si>
    <t>(1) 자부담</t>
    <phoneticPr fontId="13" type="noConversion"/>
  </si>
  <si>
    <t>지급액합계</t>
    <phoneticPr fontId="13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</si>
  <si>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</si>
  <si>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</si>
  <si>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</si>
  <si>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</si>
  <si>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</si>
  <si>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시도(군)보조금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</si>
  <si>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</si>
  <si>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</si>
  <si>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2차 추가경정</t>
    <phoneticPr fontId="2" type="noConversion"/>
  </si>
  <si>
    <t>가. 예   산  총  칙</t>
    <phoneticPr fontId="13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</si>
  <si>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</si>
  <si>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</si>
  <si>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</si>
  <si>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</si>
  <si>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</si>
  <si>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</si>
  <si>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</si>
  <si>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</si>
  <si>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</si>
  <si>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</si>
  <si>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</si>
  <si>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</si>
  <si>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</si>
  <si>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</si>
  <si>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</si>
  <si>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</si>
  <si>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</si>
  <si>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부채상환금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</si>
  <si>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</si>
  <si>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</si>
  <si>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</si>
  <si>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</si>
  <si>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2차 추경예산(안)은 법인 이사회의 승인을 얻어 확정한다.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</si>
  <si>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</si>
  <si>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</si>
  <si>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</si>
  <si>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</si>
  <si>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</si>
  <si>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</si>
  <si>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</si>
  <si>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</si>
  <si>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</si>
  <si>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</si>
  <si>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</si>
  <si>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</si>
  <si>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</si>
  <si>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</si>
  <si>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</si>
  <si>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</si>
  <si>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제9조</t>
  </si>
  <si>
    <t>국가, 지방자치단체 및 사회복지기금 등에서 공모사업 선정으로 받은 보조금은 사회복지법인</t>
  </si>
  <si>
    <t xml:space="preserve"> 및 사회복지시설 재무회계규칙에 따라 기타보조금에 편성되어야 한다.</t>
  </si>
  <si>
    <t>(만약, 지정후원금 또는 별도 사업비 편성이 용이하다는 지차체의 증빙자료(공문)가 있을시에만</t>
  </si>
  <si>
    <t xml:space="preserve"> 별도 편성 가능)</t>
  </si>
  <si>
    <t>제10조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</si>
  <si>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</si>
  <si>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</si>
  <si>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</si>
  <si>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</si>
  <si>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예산은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</si>
  <si>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</si>
  <si>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</si>
  <si>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</si>
  <si>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</si>
  <si>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</si>
  <si>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</si>
  <si>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</si>
  <si>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</si>
  <si>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</si>
  <si>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</si>
  <si>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</si>
  <si>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</si>
  <si>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국도비 분류에의한 예산반영</t>
    <phoneticPr fontId="2" type="noConversion"/>
  </si>
  <si>
    <t>법인카드포인트수입</t>
    <phoneticPr fontId="2" type="noConversion"/>
  </si>
  <si>
    <t>도비시간외수당지출분</t>
    <phoneticPr fontId="2" type="noConversion"/>
  </si>
  <si>
    <t>생활재활교사추가채용</t>
    <phoneticPr fontId="2" type="noConversion"/>
  </si>
  <si>
    <t>실지출반영예산증액</t>
    <phoneticPr fontId="2" type="noConversion"/>
  </si>
  <si>
    <t>실지출반영예산감액</t>
    <phoneticPr fontId="2" type="noConversion"/>
  </si>
  <si>
    <t>종사자변동에따른호봉반영</t>
    <phoneticPr fontId="2" type="noConversion"/>
  </si>
  <si>
    <t>직책수당신설</t>
    <phoneticPr fontId="2" type="noConversion"/>
  </si>
  <si>
    <t>직책수당</t>
    <phoneticPr fontId="2" type="noConversion"/>
  </si>
  <si>
    <t>기관장,사무국장,과장,팀장 직책수당신설</t>
    <phoneticPr fontId="2" type="noConversion"/>
  </si>
  <si>
    <t>공동모금회</t>
    <phoneticPr fontId="2" type="noConversion"/>
  </si>
  <si>
    <t>난타프로그램이며,</t>
    <phoneticPr fontId="2" type="noConversion"/>
  </si>
  <si>
    <t>총 6,600,000</t>
    <phoneticPr fontId="2" type="noConversion"/>
  </si>
  <si>
    <t>재활프로그램</t>
    <phoneticPr fontId="2" type="noConversion"/>
  </si>
  <si>
    <t>도보트래킹이며,</t>
    <phoneticPr fontId="2" type="noConversion"/>
  </si>
  <si>
    <t>예산은</t>
    <phoneticPr fontId="2" type="noConversion"/>
  </si>
  <si>
    <t>총 6,100,000</t>
    <phoneticPr fontId="2" type="noConversion"/>
  </si>
  <si>
    <t>해당없으며</t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</si>
  <si>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굴림체"/>
        <family val="3"/>
        <charset val="129"/>
      </rPr>
      <t>"둘다섯해누리"</t>
    </r>
    <r>
      <rPr>
        <sz val="11"/>
        <rFont val="굴림체"/>
        <family val="3"/>
        <charset val="129"/>
      </rPr>
      <t xml:space="preserve">의 </t>
    </r>
    <phoneticPr fontId="2" type="noConversion"/>
  </si>
  <si>
    <t>의한다.</t>
    <phoneticPr fontId="2" type="noConversion"/>
  </si>
  <si>
    <r>
      <t xml:space="preserve">원으로 하며「세입 </t>
    </r>
    <r>
      <rPr>
        <b/>
        <sz val="11"/>
        <rFont val="굴림체"/>
        <family val="3"/>
        <charset val="129"/>
      </rPr>
      <t>·</t>
    </r>
    <r>
      <rPr>
        <sz val="11"/>
        <rFont val="굴림체"/>
        <family val="3"/>
        <charset val="129"/>
      </rPr>
      <t xml:space="preserve"> 세출예산서」와 같다.</t>
    </r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</si>
  <si>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</si>
  <si>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</si>
  <si>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</si>
  <si>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17,14</t>
    <phoneticPr fontId="2" type="noConversion"/>
  </si>
  <si>
    <t>선임팀장</t>
    <phoneticPr fontId="13" type="noConversion"/>
  </si>
  <si>
    <t>윤인자</t>
    <phoneticPr fontId="2" type="noConversion"/>
  </si>
  <si>
    <t>종사자 단체복 구입등</t>
    <phoneticPr fontId="2" type="noConversion"/>
  </si>
  <si>
    <t>직책수당</t>
    <phoneticPr fontId="13" type="noConversion"/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</si>
</sst>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#,##0.0_ "/>
    <numFmt numFmtId="183" formatCode="0.000_ "/>
    <numFmt numFmtId="184" formatCode="0.0_ "/>
  </numFmts>
  <fonts count="5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6"/>
      <name val="굴림체"/>
      <family val="3"/>
      <charset val="129"/>
    </font>
    <font>
      <sz val="6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sz val="6"/>
      <name val="HY그래픽"/>
      <family val="1"/>
      <charset val="129"/>
    </font>
    <font>
      <sz val="7"/>
      <name val="HY그래픽"/>
      <family val="1"/>
      <charset val="129"/>
    </font>
    <font>
      <b/>
      <sz val="16"/>
      <name val="HY그래픽"/>
      <family val="1"/>
      <charset val="129"/>
    </font>
    <font>
      <b/>
      <sz val="36"/>
      <name val="HY그래픽"/>
      <family val="1"/>
      <charset val="129"/>
    </font>
    <font>
      <b/>
      <sz val="18"/>
      <name val="HY그래픽"/>
      <family val="1"/>
      <charset val="129"/>
    </font>
    <font>
      <b/>
      <sz val="24"/>
      <name val="HY그래픽"/>
      <family val="1"/>
      <charset val="129"/>
    </font>
    <font>
      <b/>
      <sz val="11"/>
      <name val="HY그래픽"/>
      <family val="1"/>
      <charset val="129"/>
    </font>
    <font>
      <b/>
      <sz val="20"/>
      <color indexed="8"/>
      <name val="HY그래픽"/>
      <family val="1"/>
      <charset val="129"/>
    </font>
    <font>
      <b/>
      <sz val="12"/>
      <name val="HY그래픽"/>
      <family val="1"/>
      <charset val="129"/>
    </font>
    <font>
      <sz val="12"/>
      <name val="HY그래픽"/>
      <family val="1"/>
      <charset val="129"/>
    </font>
    <font>
      <sz val="10"/>
      <name val="HY그래픽"/>
      <family val="1"/>
      <charset val="129"/>
    </font>
    <font>
      <b/>
      <sz val="6"/>
      <name val="HY그래픽"/>
      <family val="1"/>
      <charset val="129"/>
    </font>
    <font>
      <sz val="9"/>
      <name val="HY그래픽"/>
      <family val="1"/>
      <charset val="129"/>
    </font>
    <font>
      <sz val="5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sz val="11"/>
      <color indexed="8"/>
      <name val="HY그래픽"/>
      <family val="1"/>
      <charset val="129"/>
    </font>
    <font>
      <b/>
      <sz val="11"/>
      <color indexed="8"/>
      <name val="HY그래픽"/>
      <family val="1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b/>
      <sz val="15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8.5"/>
      <name val="HY그래픽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8"/>
      <color rgb="FFFF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HY그래픽"/>
      <family val="1"/>
      <charset val="129"/>
    </font>
    <font>
      <sz val="18"/>
      <name val="HY그래픽"/>
      <family val="1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9">
    <xf numFmtId="0" fontId="0" fillId="0" borderId="0">
      <alignment vertical="center"/>
    </xf>
    <xf numFmtId="0" fontId="43" fillId="0" borderId="1" applyNumberFormat="0" applyAlignment="0" applyProtection="0">
      <alignment horizontal="left" vertical="center"/>
    </xf>
    <xf numFmtId="0" fontId="43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/>
    <xf numFmtId="0" fontId="3" fillId="0" borderId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" fillId="0" borderId="0"/>
    <xf numFmtId="0" fontId="49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2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12" fillId="0" borderId="0"/>
    <xf numFmtId="0" fontId="1" fillId="0" borderId="0"/>
  </cellStyleXfs>
  <cellXfs count="12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distributed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7" fontId="3" fillId="0" borderId="0" xfId="0" applyNumberFormat="1" applyFont="1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177" fontId="26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Font="1" applyAlignment="1">
      <alignment horizontal="right" vertical="center" wrapText="1"/>
    </xf>
    <xf numFmtId="177" fontId="19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7" fontId="15" fillId="0" borderId="4" xfId="0" applyNumberFormat="1" applyFont="1" applyBorder="1" applyAlignment="1">
      <alignment horizontal="right" vertical="center"/>
    </xf>
    <xf numFmtId="178" fontId="15" fillId="0" borderId="4" xfId="0" applyNumberFormat="1" applyFont="1" applyBorder="1" applyAlignment="1">
      <alignment horizontal="right" vertical="center"/>
    </xf>
    <xf numFmtId="177" fontId="15" fillId="0" borderId="4" xfId="0" applyNumberFormat="1" applyFont="1" applyBorder="1">
      <alignment vertical="center"/>
    </xf>
    <xf numFmtId="0" fontId="15" fillId="0" borderId="4" xfId="0" applyFont="1" applyBorder="1" applyAlignment="1">
      <alignment horizontal="center" vertical="center"/>
    </xf>
    <xf numFmtId="178" fontId="18" fillId="0" borderId="4" xfId="0" applyNumberFormat="1" applyFont="1" applyBorder="1" applyAlignment="1">
      <alignment horizontal="right" vertical="center"/>
    </xf>
    <xf numFmtId="178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20" fillId="0" borderId="4" xfId="0" applyFont="1" applyBorder="1" applyAlignment="1">
      <alignment horizontal="distributed" vertical="center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/>
    </xf>
    <xf numFmtId="0" fontId="15" fillId="0" borderId="6" xfId="0" applyFont="1" applyBorder="1" applyAlignment="1">
      <alignment vertical="center"/>
    </xf>
    <xf numFmtId="0" fontId="31" fillId="0" borderId="0" xfId="0" applyFont="1">
      <alignment vertical="center"/>
    </xf>
    <xf numFmtId="178" fontId="31" fillId="0" borderId="0" xfId="0" applyNumberFormat="1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177" fontId="15" fillId="0" borderId="7" xfId="0" applyNumberFormat="1" applyFont="1" applyBorder="1" applyAlignment="1">
      <alignment vertical="center"/>
    </xf>
    <xf numFmtId="177" fontId="15" fillId="0" borderId="7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/>
    </xf>
    <xf numFmtId="178" fontId="15" fillId="0" borderId="0" xfId="0" applyNumberFormat="1" applyFont="1" applyBorder="1">
      <alignment vertical="center"/>
    </xf>
    <xf numFmtId="177" fontId="15" fillId="0" borderId="0" xfId="0" applyNumberFormat="1" applyFont="1" applyBorder="1">
      <alignment vertical="center"/>
    </xf>
    <xf numFmtId="178" fontId="15" fillId="0" borderId="0" xfId="0" applyNumberFormat="1" applyFont="1" applyAlignment="1">
      <alignment horizontal="right" vertical="center"/>
    </xf>
    <xf numFmtId="177" fontId="15" fillId="0" borderId="0" xfId="0" applyNumberFormat="1" applyFont="1">
      <alignment vertical="center"/>
    </xf>
    <xf numFmtId="0" fontId="15" fillId="0" borderId="0" xfId="0" applyFont="1" applyBorder="1">
      <alignment vertical="center"/>
    </xf>
    <xf numFmtId="177" fontId="18" fillId="0" borderId="0" xfId="0" applyNumberFormat="1" applyFont="1">
      <alignment vertical="center"/>
    </xf>
    <xf numFmtId="0" fontId="15" fillId="0" borderId="0" xfId="0" applyFont="1" applyAlignment="1">
      <alignment vertical="center"/>
    </xf>
    <xf numFmtId="178" fontId="15" fillId="0" borderId="0" xfId="0" applyNumberFormat="1" applyFont="1">
      <alignment vertical="center"/>
    </xf>
    <xf numFmtId="0" fontId="20" fillId="0" borderId="0" xfId="0" applyFont="1">
      <alignment vertical="center"/>
    </xf>
    <xf numFmtId="178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/>
    </xf>
    <xf numFmtId="0" fontId="16" fillId="0" borderId="8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/>
    </xf>
    <xf numFmtId="177" fontId="15" fillId="0" borderId="4" xfId="0" applyNumberFormat="1" applyFont="1" applyBorder="1" applyAlignment="1">
      <alignment vertical="center"/>
    </xf>
    <xf numFmtId="0" fontId="20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21" fillId="0" borderId="4" xfId="0" applyFont="1" applyBorder="1" applyAlignment="1">
      <alignment horizontal="distributed" vertical="center"/>
    </xf>
    <xf numFmtId="178" fontId="15" fillId="0" borderId="5" xfId="0" applyNumberFormat="1" applyFont="1" applyBorder="1">
      <alignment vertical="center"/>
    </xf>
    <xf numFmtId="177" fontId="15" fillId="0" borderId="5" xfId="0" applyNumberFormat="1" applyFont="1" applyBorder="1">
      <alignment vertical="center"/>
    </xf>
    <xf numFmtId="178" fontId="18" fillId="0" borderId="9" xfId="0" applyNumberFormat="1" applyFont="1" applyBorder="1" applyAlignment="1">
      <alignment horizontal="right" vertical="center" wrapText="1"/>
    </xf>
    <xf numFmtId="177" fontId="18" fillId="0" borderId="9" xfId="0" applyNumberFormat="1" applyFont="1" applyBorder="1" applyAlignment="1">
      <alignment horizontal="right" vertical="center" wrapText="1"/>
    </xf>
    <xf numFmtId="0" fontId="18" fillId="0" borderId="9" xfId="0" applyFont="1" applyBorder="1" applyAlignment="1">
      <alignment vertical="center" wrapText="1"/>
    </xf>
    <xf numFmtId="177" fontId="15" fillId="0" borderId="10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right" vertical="center"/>
    </xf>
    <xf numFmtId="177" fontId="21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0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>
      <alignment vertical="center"/>
    </xf>
    <xf numFmtId="0" fontId="32" fillId="0" borderId="4" xfId="0" applyFont="1" applyBorder="1" applyAlignment="1">
      <alignment horizontal="fill" vertical="center"/>
    </xf>
    <xf numFmtId="0" fontId="15" fillId="0" borderId="3" xfId="0" applyFont="1" applyBorder="1" applyAlignment="1">
      <alignment horizontal="center" vertical="center"/>
    </xf>
    <xf numFmtId="0" fontId="15" fillId="0" borderId="9" xfId="0" applyFont="1" applyBorder="1" applyAlignment="1">
      <alignment horizontal="distributed" vertical="center"/>
    </xf>
    <xf numFmtId="0" fontId="15" fillId="0" borderId="12" xfId="0" applyFont="1" applyBorder="1" applyAlignment="1">
      <alignment horizontal="distributed" vertical="center"/>
    </xf>
    <xf numFmtId="178" fontId="15" fillId="0" borderId="9" xfId="0" applyNumberFormat="1" applyFont="1" applyBorder="1">
      <alignment vertical="center"/>
    </xf>
    <xf numFmtId="177" fontId="15" fillId="0" borderId="9" xfId="0" applyNumberFormat="1" applyFont="1" applyBorder="1">
      <alignment vertical="center"/>
    </xf>
    <xf numFmtId="0" fontId="15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distributed" vertical="center" wrapText="1"/>
    </xf>
    <xf numFmtId="177" fontId="15" fillId="0" borderId="9" xfId="0" applyNumberFormat="1" applyFont="1" applyBorder="1" applyAlignment="1">
      <alignment horizontal="right" vertical="center"/>
    </xf>
    <xf numFmtId="0" fontId="34" fillId="0" borderId="0" xfId="6" applyFont="1" applyAlignment="1">
      <alignment horizontal="left" vertical="center"/>
    </xf>
    <xf numFmtId="0" fontId="35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center" vertical="center"/>
    </xf>
    <xf numFmtId="178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9" fontId="15" fillId="0" borderId="0" xfId="0" applyNumberFormat="1" applyFont="1">
      <alignment vertical="center"/>
    </xf>
    <xf numFmtId="178" fontId="15" fillId="0" borderId="4" xfId="0" applyNumberFormat="1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>
      <alignment vertical="center"/>
    </xf>
    <xf numFmtId="178" fontId="15" fillId="0" borderId="7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vertical="center"/>
    </xf>
    <xf numFmtId="178" fontId="15" fillId="0" borderId="7" xfId="0" applyNumberFormat="1" applyFont="1" applyBorder="1" applyAlignment="1">
      <alignment horizontal="right" vertical="center"/>
    </xf>
    <xf numFmtId="9" fontId="15" fillId="0" borderId="7" xfId="0" applyNumberFormat="1" applyFont="1" applyBorder="1">
      <alignment vertical="center"/>
    </xf>
    <xf numFmtId="178" fontId="15" fillId="0" borderId="6" xfId="0" applyNumberFormat="1" applyFont="1" applyBorder="1">
      <alignment vertical="center"/>
    </xf>
    <xf numFmtId="178" fontId="15" fillId="0" borderId="7" xfId="0" applyNumberFormat="1" applyFont="1" applyBorder="1" applyAlignment="1">
      <alignment vertical="center"/>
    </xf>
    <xf numFmtId="178" fontId="15" fillId="0" borderId="15" xfId="0" applyNumberFormat="1" applyFont="1" applyBorder="1">
      <alignment vertical="center"/>
    </xf>
    <xf numFmtId="178" fontId="15" fillId="0" borderId="15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horizontal="right" vertical="center"/>
    </xf>
    <xf numFmtId="9" fontId="15" fillId="0" borderId="15" xfId="0" applyNumberFormat="1" applyFont="1" applyBorder="1">
      <alignment vertical="center"/>
    </xf>
    <xf numFmtId="178" fontId="15" fillId="0" borderId="16" xfId="0" applyNumberFormat="1" applyFont="1" applyBorder="1">
      <alignment vertical="center"/>
    </xf>
    <xf numFmtId="0" fontId="30" fillId="0" borderId="0" xfId="0" applyFont="1" applyAlignment="1">
      <alignment horizontal="right" vertical="center"/>
    </xf>
    <xf numFmtId="178" fontId="15" fillId="0" borderId="0" xfId="0" applyNumberFormat="1" applyFont="1" applyAlignment="1">
      <alignment vertical="center"/>
    </xf>
    <xf numFmtId="178" fontId="15" fillId="0" borderId="13" xfId="0" applyNumberFormat="1" applyFont="1" applyBorder="1" applyAlignment="1">
      <alignment horizontal="center" vertical="center"/>
    </xf>
    <xf numFmtId="178" fontId="15" fillId="0" borderId="14" xfId="0" applyNumberFormat="1" applyFont="1" applyBorder="1" applyAlignment="1">
      <alignment horizontal="center" vertical="center"/>
    </xf>
    <xf numFmtId="178" fontId="15" fillId="0" borderId="10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178" fontId="15" fillId="0" borderId="6" xfId="0" applyNumberFormat="1" applyFont="1" applyBorder="1" applyAlignment="1">
      <alignment horizontal="right" vertical="center"/>
    </xf>
    <xf numFmtId="178" fontId="15" fillId="0" borderId="17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178" fontId="15" fillId="0" borderId="16" xfId="0" applyNumberFormat="1" applyFont="1" applyBorder="1" applyAlignment="1">
      <alignment horizontal="right" vertical="center"/>
    </xf>
    <xf numFmtId="178" fontId="18" fillId="3" borderId="9" xfId="0" applyNumberFormat="1" applyFont="1" applyFill="1" applyBorder="1" applyAlignment="1">
      <alignment horizontal="right" vertical="center"/>
    </xf>
    <xf numFmtId="178" fontId="18" fillId="3" borderId="18" xfId="0" applyNumberFormat="1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/>
    </xf>
    <xf numFmtId="0" fontId="32" fillId="0" borderId="4" xfId="0" applyFont="1" applyBorder="1" applyAlignment="1">
      <alignment vertical="center"/>
    </xf>
    <xf numFmtId="177" fontId="20" fillId="0" borderId="7" xfId="0" applyNumberFormat="1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right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distributed" vertical="center"/>
    </xf>
    <xf numFmtId="0" fontId="16" fillId="0" borderId="23" xfId="0" applyFont="1" applyBorder="1" applyAlignment="1">
      <alignment horizontal="center" vertical="center"/>
    </xf>
    <xf numFmtId="178" fontId="16" fillId="0" borderId="24" xfId="0" applyNumberFormat="1" applyFont="1" applyBorder="1" applyAlignment="1">
      <alignment horizontal="center" vertical="center"/>
    </xf>
    <xf numFmtId="0" fontId="15" fillId="0" borderId="28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15" fillId="0" borderId="31" xfId="0" applyFont="1" applyBorder="1" applyAlignment="1">
      <alignment horizontal="distributed" vertical="center"/>
    </xf>
    <xf numFmtId="0" fontId="32" fillId="0" borderId="28" xfId="0" applyFont="1" applyBorder="1" applyAlignment="1">
      <alignment horizontal="distributed" vertical="center"/>
    </xf>
    <xf numFmtId="0" fontId="32" fillId="0" borderId="30" xfId="0" applyFont="1" applyBorder="1" applyAlignment="1">
      <alignment horizontal="distributed" vertical="center"/>
    </xf>
    <xf numFmtId="0" fontId="15" fillId="0" borderId="3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 wrapText="1"/>
    </xf>
    <xf numFmtId="0" fontId="32" fillId="0" borderId="31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 wrapText="1"/>
    </xf>
    <xf numFmtId="0" fontId="15" fillId="0" borderId="33" xfId="0" applyFont="1" applyBorder="1" applyAlignment="1">
      <alignment horizontal="distributed" vertical="center"/>
    </xf>
    <xf numFmtId="0" fontId="32" fillId="0" borderId="1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/>
    </xf>
    <xf numFmtId="0" fontId="32" fillId="0" borderId="9" xfId="0" applyFont="1" applyBorder="1" applyAlignment="1">
      <alignment horizontal="distributed" vertical="center"/>
    </xf>
    <xf numFmtId="0" fontId="32" fillId="0" borderId="32" xfId="0" applyFont="1" applyBorder="1" applyAlignment="1">
      <alignment horizontal="distributed" vertical="center"/>
    </xf>
    <xf numFmtId="0" fontId="32" fillId="0" borderId="33" xfId="0" applyFont="1" applyBorder="1" applyAlignment="1">
      <alignment horizontal="distributed" vertical="center"/>
    </xf>
    <xf numFmtId="177" fontId="15" fillId="0" borderId="29" xfId="0" applyNumberFormat="1" applyFont="1" applyBorder="1">
      <alignment vertical="center"/>
    </xf>
    <xf numFmtId="0" fontId="15" fillId="0" borderId="31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left" vertical="center"/>
    </xf>
    <xf numFmtId="0" fontId="15" fillId="0" borderId="28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178" fontId="19" fillId="0" borderId="4" xfId="0" applyNumberFormat="1" applyFont="1" applyBorder="1" applyAlignment="1">
      <alignment horizontal="distributed" vertical="center" indent="1"/>
    </xf>
    <xf numFmtId="178" fontId="19" fillId="0" borderId="5" xfId="0" applyNumberFormat="1" applyFont="1" applyBorder="1" applyAlignment="1">
      <alignment horizontal="distributed" vertical="center" indent="1"/>
    </xf>
    <xf numFmtId="178" fontId="19" fillId="0" borderId="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distributed" vertical="center" indent="1"/>
    </xf>
    <xf numFmtId="0" fontId="21" fillId="0" borderId="9" xfId="0" applyFont="1" applyBorder="1" applyAlignment="1">
      <alignment horizontal="distributed" vertical="center" wrapText="1"/>
    </xf>
    <xf numFmtId="177" fontId="15" fillId="0" borderId="9" xfId="0" applyNumberFormat="1" applyFont="1" applyBorder="1" applyAlignment="1">
      <alignment vertical="center"/>
    </xf>
    <xf numFmtId="177" fontId="15" fillId="0" borderId="36" xfId="0" applyNumberFormat="1" applyFont="1" applyBorder="1" applyAlignment="1">
      <alignment vertical="center"/>
    </xf>
    <xf numFmtId="177" fontId="15" fillId="0" borderId="37" xfId="0" applyNumberFormat="1" applyFont="1" applyBorder="1" applyAlignment="1">
      <alignment vertical="center"/>
    </xf>
    <xf numFmtId="177" fontId="15" fillId="0" borderId="37" xfId="0" applyNumberFormat="1" applyFont="1" applyBorder="1" applyAlignment="1">
      <alignment vertical="center" wrapText="1"/>
    </xf>
    <xf numFmtId="177" fontId="15" fillId="0" borderId="37" xfId="0" applyNumberFormat="1" applyFont="1" applyBorder="1" applyAlignment="1">
      <alignment horizontal="right" vertical="center"/>
    </xf>
    <xf numFmtId="177" fontId="15" fillId="0" borderId="38" xfId="0" applyNumberFormat="1" applyFont="1" applyBorder="1" applyAlignment="1">
      <alignment vertical="center"/>
    </xf>
    <xf numFmtId="0" fontId="32" fillId="0" borderId="9" xfId="0" applyFont="1" applyBorder="1" applyAlignment="1">
      <alignment horizontal="distributed" vertical="center" wrapText="1"/>
    </xf>
    <xf numFmtId="0" fontId="19" fillId="0" borderId="37" xfId="0" applyFont="1" applyBorder="1" applyAlignment="1">
      <alignment vertical="center"/>
    </xf>
    <xf numFmtId="177" fontId="15" fillId="0" borderId="38" xfId="0" applyNumberFormat="1" applyFont="1" applyBorder="1">
      <alignment vertical="center"/>
    </xf>
    <xf numFmtId="0" fontId="15" fillId="0" borderId="9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 wrapText="1"/>
    </xf>
    <xf numFmtId="0" fontId="32" fillId="0" borderId="0" xfId="0" applyFont="1" applyBorder="1" applyAlignment="1">
      <alignment vertical="center"/>
    </xf>
    <xf numFmtId="0" fontId="38" fillId="0" borderId="0" xfId="0" applyFont="1">
      <alignment vertical="center"/>
    </xf>
    <xf numFmtId="0" fontId="21" fillId="0" borderId="9" xfId="0" applyFont="1" applyBorder="1" applyAlignment="1">
      <alignment horizontal="distributed" vertical="center"/>
    </xf>
    <xf numFmtId="0" fontId="21" fillId="0" borderId="3" xfId="0" applyFont="1" applyBorder="1" applyAlignment="1">
      <alignment horizontal="distributed" vertical="center"/>
    </xf>
    <xf numFmtId="178" fontId="32" fillId="0" borderId="4" xfId="0" applyNumberFormat="1" applyFont="1" applyBorder="1">
      <alignment vertical="center"/>
    </xf>
    <xf numFmtId="177" fontId="32" fillId="0" borderId="4" xfId="0" applyNumberFormat="1" applyFont="1" applyBorder="1">
      <alignment vertical="center"/>
    </xf>
    <xf numFmtId="0" fontId="32" fillId="0" borderId="5" xfId="0" applyFont="1" applyBorder="1" applyAlignment="1">
      <alignment horizontal="distributed" vertical="center"/>
    </xf>
    <xf numFmtId="178" fontId="32" fillId="0" borderId="5" xfId="0" applyNumberFormat="1" applyFont="1" applyBorder="1">
      <alignment vertical="center"/>
    </xf>
    <xf numFmtId="177" fontId="32" fillId="0" borderId="5" xfId="0" applyNumberFormat="1" applyFont="1" applyBorder="1">
      <alignment vertical="center"/>
    </xf>
    <xf numFmtId="177" fontId="32" fillId="0" borderId="11" xfId="0" applyNumberFormat="1" applyFont="1" applyBorder="1">
      <alignment vertical="center"/>
    </xf>
    <xf numFmtId="0" fontId="21" fillId="0" borderId="31" xfId="0" applyFont="1" applyBorder="1" applyAlignment="1">
      <alignment horizontal="distributed" vertical="center"/>
    </xf>
    <xf numFmtId="0" fontId="33" fillId="0" borderId="31" xfId="0" applyFont="1" applyBorder="1" applyAlignment="1">
      <alignment horizontal="distributed" vertical="center"/>
    </xf>
    <xf numFmtId="0" fontId="32" fillId="0" borderId="31" xfId="0" applyFont="1" applyBorder="1" applyAlignment="1">
      <alignment horizontal="distributed" vertical="center" wrapText="1"/>
    </xf>
    <xf numFmtId="0" fontId="21" fillId="0" borderId="29" xfId="0" applyFont="1" applyBorder="1" applyAlignment="1">
      <alignment horizontal="distributed" vertical="center" wrapText="1"/>
    </xf>
    <xf numFmtId="0" fontId="21" fillId="0" borderId="31" xfId="0" applyFont="1" applyBorder="1" applyAlignment="1">
      <alignment horizontal="distributed" vertical="center" wrapText="1"/>
    </xf>
    <xf numFmtId="0" fontId="19" fillId="0" borderId="0" xfId="0" applyFont="1" applyBorder="1" applyAlignment="1">
      <alignment horizontal="left" vertical="center"/>
    </xf>
    <xf numFmtId="0" fontId="32" fillId="0" borderId="31" xfId="0" applyFont="1" applyBorder="1" applyAlignment="1">
      <alignment horizontal="fill" vertical="center"/>
    </xf>
    <xf numFmtId="0" fontId="32" fillId="0" borderId="4" xfId="0" applyFont="1" applyBorder="1" applyAlignment="1">
      <alignment horizontal="center" vertical="center"/>
    </xf>
    <xf numFmtId="0" fontId="32" fillId="0" borderId="31" xfId="0" applyFont="1" applyBorder="1" applyAlignment="1">
      <alignment horizontal="fill" vertical="center" wrapText="1"/>
    </xf>
    <xf numFmtId="0" fontId="21" fillId="0" borderId="30" xfId="0" applyFont="1" applyBorder="1" applyAlignment="1">
      <alignment horizontal="distributed" vertical="center"/>
    </xf>
    <xf numFmtId="177" fontId="15" fillId="0" borderId="5" xfId="0" applyNumberFormat="1" applyFont="1" applyBorder="1" applyAlignment="1">
      <alignment horizontal="right" vertical="center"/>
    </xf>
    <xf numFmtId="0" fontId="21" fillId="0" borderId="28" xfId="0" applyFont="1" applyBorder="1" applyAlignment="1">
      <alignment horizontal="distributed" vertical="center"/>
    </xf>
    <xf numFmtId="178" fontId="32" fillId="0" borderId="29" xfId="0" applyNumberFormat="1" applyFont="1" applyBorder="1">
      <alignment vertical="center"/>
    </xf>
    <xf numFmtId="0" fontId="32" fillId="0" borderId="39" xfId="0" applyFont="1" applyBorder="1" applyAlignment="1">
      <alignment horizontal="distributed" vertical="center"/>
    </xf>
    <xf numFmtId="0" fontId="10" fillId="0" borderId="29" xfId="0" applyFont="1" applyBorder="1">
      <alignment vertical="center"/>
    </xf>
    <xf numFmtId="177" fontId="28" fillId="0" borderId="0" xfId="0" applyNumberFormat="1" applyFont="1" applyAlignment="1">
      <alignment vertical="center"/>
    </xf>
    <xf numFmtId="177" fontId="31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/>
    </xf>
    <xf numFmtId="177" fontId="20" fillId="0" borderId="0" xfId="0" applyNumberFormat="1" applyFont="1" applyAlignment="1">
      <alignment vertical="center"/>
    </xf>
    <xf numFmtId="177" fontId="32" fillId="0" borderId="4" xfId="0" applyNumberFormat="1" applyFont="1" applyBorder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0" fontId="20" fillId="0" borderId="4" xfId="0" applyFont="1" applyBorder="1" applyAlignment="1">
      <alignment horizontal="fill" vertical="center" wrapText="1"/>
    </xf>
    <xf numFmtId="178" fontId="32" fillId="0" borderId="29" xfId="0" applyNumberFormat="1" applyFont="1" applyBorder="1" applyAlignment="1">
      <alignment horizontal="right" vertical="center"/>
    </xf>
    <xf numFmtId="178" fontId="32" fillId="0" borderId="31" xfId="0" applyNumberFormat="1" applyFont="1" applyBorder="1">
      <alignment vertical="center"/>
    </xf>
    <xf numFmtId="177" fontId="32" fillId="0" borderId="31" xfId="0" applyNumberFormat="1" applyFont="1" applyBorder="1">
      <alignment vertical="center"/>
    </xf>
    <xf numFmtId="177" fontId="32" fillId="0" borderId="39" xfId="0" applyNumberFormat="1" applyFont="1" applyBorder="1" applyAlignment="1">
      <alignment vertical="center"/>
    </xf>
    <xf numFmtId="177" fontId="32" fillId="0" borderId="40" xfId="0" applyNumberFormat="1" applyFont="1" applyBorder="1">
      <alignment vertical="center"/>
    </xf>
    <xf numFmtId="0" fontId="19" fillId="0" borderId="7" xfId="0" applyFont="1" applyBorder="1" applyAlignment="1">
      <alignment vertical="center"/>
    </xf>
    <xf numFmtId="0" fontId="39" fillId="0" borderId="0" xfId="0" applyFont="1" applyAlignment="1">
      <alignment horizontal="center" vertical="center"/>
    </xf>
    <xf numFmtId="178" fontId="32" fillId="0" borderId="9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176" fontId="32" fillId="0" borderId="4" xfId="0" applyNumberFormat="1" applyFont="1" applyBorder="1" applyAlignment="1">
      <alignment horizontal="center" vertical="center"/>
    </xf>
    <xf numFmtId="176" fontId="32" fillId="0" borderId="5" xfId="0" applyNumberFormat="1" applyFont="1" applyBorder="1" applyAlignment="1">
      <alignment horizontal="center" vertical="center"/>
    </xf>
    <xf numFmtId="0" fontId="39" fillId="0" borderId="0" xfId="0" applyFont="1">
      <alignment vertical="center"/>
    </xf>
    <xf numFmtId="178" fontId="32" fillId="0" borderId="9" xfId="0" applyNumberFormat="1" applyFont="1" applyBorder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40" fillId="0" borderId="0" xfId="0" applyFont="1">
      <alignment vertical="center"/>
    </xf>
    <xf numFmtId="0" fontId="21" fillId="0" borderId="29" xfId="0" applyFont="1" applyBorder="1" applyAlignment="1">
      <alignment horizontal="distributed" vertical="center"/>
    </xf>
    <xf numFmtId="0" fontId="3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1" fillId="0" borderId="0" xfId="0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32" fillId="0" borderId="41" xfId="0" applyFont="1" applyBorder="1">
      <alignment vertical="center"/>
    </xf>
    <xf numFmtId="0" fontId="3" fillId="0" borderId="41" xfId="0" applyFont="1" applyBorder="1">
      <alignment vertical="center"/>
    </xf>
    <xf numFmtId="177" fontId="16" fillId="0" borderId="9" xfId="0" applyNumberFormat="1" applyFont="1" applyBorder="1" applyAlignment="1">
      <alignment horizontal="center" vertical="center" wrapText="1"/>
    </xf>
    <xf numFmtId="177" fontId="16" fillId="0" borderId="9" xfId="0" applyNumberFormat="1" applyFont="1" applyBorder="1" applyAlignment="1">
      <alignment horizontal="right" vertical="center" wrapText="1"/>
    </xf>
    <xf numFmtId="181" fontId="18" fillId="0" borderId="0" xfId="0" applyNumberFormat="1" applyFont="1" applyAlignment="1">
      <alignment horizontal="center" vertical="center"/>
    </xf>
    <xf numFmtId="181" fontId="15" fillId="0" borderId="0" xfId="0" applyNumberFormat="1" applyFont="1" applyAlignment="1">
      <alignment horizontal="center" vertical="center"/>
    </xf>
    <xf numFmtId="0" fontId="36" fillId="0" borderId="30" xfId="0" applyFont="1" applyBorder="1" applyAlignment="1">
      <alignment horizontal="center" vertical="center"/>
    </xf>
    <xf numFmtId="0" fontId="36" fillId="0" borderId="32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180" fontId="32" fillId="0" borderId="4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distributed" vertical="center" wrapText="1"/>
    </xf>
    <xf numFmtId="178" fontId="10" fillId="0" borderId="0" xfId="0" applyNumberFormat="1" applyFont="1">
      <alignment vertical="center"/>
    </xf>
    <xf numFmtId="0" fontId="32" fillId="0" borderId="35" xfId="0" applyFont="1" applyBorder="1" applyAlignment="1">
      <alignment horizontal="distributed" vertical="center"/>
    </xf>
    <xf numFmtId="0" fontId="21" fillId="0" borderId="8" xfId="0" applyFont="1" applyBorder="1" applyAlignment="1">
      <alignment horizontal="distributed" vertical="center" wrapText="1"/>
    </xf>
    <xf numFmtId="178" fontId="32" fillId="0" borderId="8" xfId="0" applyNumberFormat="1" applyFont="1" applyBorder="1">
      <alignment vertical="center"/>
    </xf>
    <xf numFmtId="177" fontId="15" fillId="0" borderId="8" xfId="0" applyNumberFormat="1" applyFont="1" applyBorder="1">
      <alignment vertical="center"/>
    </xf>
    <xf numFmtId="0" fontId="15" fillId="0" borderId="5" xfId="0" applyFont="1" applyBorder="1" applyAlignment="1">
      <alignment horizontal="distributed" vertical="center" wrapText="1"/>
    </xf>
    <xf numFmtId="0" fontId="32" fillId="0" borderId="5" xfId="0" applyFont="1" applyBorder="1" applyAlignment="1">
      <alignment horizontal="distributed" vertical="center" wrapText="1"/>
    </xf>
    <xf numFmtId="0" fontId="30" fillId="0" borderId="41" xfId="6" applyFont="1" applyBorder="1" applyAlignment="1">
      <alignment horizontal="center" vertical="center"/>
    </xf>
    <xf numFmtId="41" fontId="30" fillId="0" borderId="41" xfId="3" applyFont="1" applyBorder="1" applyAlignment="1">
      <alignment vertical="center"/>
    </xf>
    <xf numFmtId="3" fontId="30" fillId="0" borderId="41" xfId="6" applyNumberFormat="1" applyFont="1" applyBorder="1" applyAlignment="1">
      <alignment horizontal="right" vertical="center" indent="1"/>
    </xf>
    <xf numFmtId="41" fontId="30" fillId="0" borderId="41" xfId="3" applyFont="1" applyBorder="1" applyAlignment="1">
      <alignment horizontal="right" vertical="center" indent="1"/>
    </xf>
    <xf numFmtId="0" fontId="30" fillId="0" borderId="41" xfId="6" applyFont="1" applyBorder="1" applyAlignment="1">
      <alignment vertical="center"/>
    </xf>
    <xf numFmtId="41" fontId="30" fillId="0" borderId="41" xfId="3" applyFont="1" applyBorder="1" applyAlignment="1">
      <alignment horizontal="center" vertical="center"/>
    </xf>
    <xf numFmtId="0" fontId="17" fillId="0" borderId="41" xfId="6" applyFont="1" applyBorder="1" applyAlignment="1">
      <alignment horizontal="right" vertical="center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178" fontId="19" fillId="0" borderId="9" xfId="0" applyNumberFormat="1" applyFont="1" applyBorder="1" applyAlignment="1">
      <alignment horizontal="right" vertical="center"/>
    </xf>
    <xf numFmtId="0" fontId="38" fillId="0" borderId="14" xfId="0" applyFont="1" applyBorder="1" applyAlignment="1">
      <alignment vertical="center" wrapText="1"/>
    </xf>
    <xf numFmtId="0" fontId="32" fillId="0" borderId="4" xfId="0" applyFont="1" applyBorder="1" applyAlignment="1">
      <alignment horizontal="center" vertical="center" shrinkToFit="1"/>
    </xf>
    <xf numFmtId="41" fontId="16" fillId="6" borderId="24" xfId="3" applyFont="1" applyFill="1" applyBorder="1" applyAlignment="1">
      <alignment horizontal="center" vertical="center"/>
    </xf>
    <xf numFmtId="41" fontId="30" fillId="2" borderId="18" xfId="3" applyFont="1" applyFill="1" applyBorder="1" applyAlignment="1">
      <alignment horizontal="center" vertical="center"/>
    </xf>
    <xf numFmtId="1" fontId="30" fillId="0" borderId="4" xfId="6" applyNumberFormat="1" applyFont="1" applyFill="1" applyBorder="1" applyAlignment="1">
      <alignment horizontal="center" vertical="center" wrapText="1" shrinkToFit="1"/>
    </xf>
    <xf numFmtId="41" fontId="30" fillId="5" borderId="13" xfId="3" applyFont="1" applyFill="1" applyBorder="1" applyAlignment="1">
      <alignment horizontal="center" vertical="center"/>
    </xf>
    <xf numFmtId="41" fontId="30" fillId="5" borderId="3" xfId="3" applyFont="1" applyFill="1" applyBorder="1" applyAlignment="1">
      <alignment horizontal="right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2" xfId="3" applyFont="1" applyFill="1" applyBorder="1" applyAlignment="1">
      <alignment horizontal="center" vertical="center"/>
    </xf>
    <xf numFmtId="41" fontId="16" fillId="2" borderId="43" xfId="3" applyFont="1" applyFill="1" applyBorder="1" applyAlignment="1">
      <alignment horizontal="center" vertical="center"/>
    </xf>
    <xf numFmtId="41" fontId="16" fillId="3" borderId="16" xfId="3" applyFont="1" applyFill="1" applyBorder="1" applyAlignment="1">
      <alignment horizontal="right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4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41" fontId="30" fillId="5" borderId="45" xfId="3" applyFont="1" applyFill="1" applyBorder="1" applyAlignment="1">
      <alignment horizontal="right" vertical="center"/>
    </xf>
    <xf numFmtId="178" fontId="15" fillId="0" borderId="9" xfId="0" applyNumberFormat="1" applyFont="1" applyBorder="1" applyAlignment="1">
      <alignment horizontal="right" vertical="center"/>
    </xf>
    <xf numFmtId="178" fontId="15" fillId="0" borderId="9" xfId="0" applyNumberFormat="1" applyFont="1" applyBorder="1" applyAlignment="1">
      <alignment horizontal="distributed" vertical="center"/>
    </xf>
    <xf numFmtId="0" fontId="15" fillId="0" borderId="37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178" fontId="15" fillId="0" borderId="10" xfId="0" applyNumberFormat="1" applyFont="1" applyBorder="1" applyAlignment="1">
      <alignment horizontal="center" vertical="center" wrapText="1"/>
    </xf>
    <xf numFmtId="0" fontId="32" fillId="0" borderId="29" xfId="0" applyFont="1" applyBorder="1" applyAlignment="1">
      <alignment vertical="center" shrinkToFit="1"/>
    </xf>
    <xf numFmtId="0" fontId="32" fillId="0" borderId="31" xfId="0" applyFont="1" applyBorder="1" applyAlignment="1">
      <alignment vertical="center" shrinkToFit="1"/>
    </xf>
    <xf numFmtId="0" fontId="15" fillId="0" borderId="31" xfId="0" applyFont="1" applyBorder="1" applyAlignment="1">
      <alignment vertical="center" shrinkToFit="1"/>
    </xf>
    <xf numFmtId="0" fontId="15" fillId="0" borderId="33" xfId="0" applyFont="1" applyBorder="1" applyAlignment="1">
      <alignment vertical="center" shrinkToFit="1"/>
    </xf>
    <xf numFmtId="0" fontId="16" fillId="0" borderId="21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3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2" fillId="0" borderId="12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21" fillId="0" borderId="29" xfId="0" applyFont="1" applyBorder="1" applyAlignment="1">
      <alignment horizontal="center" vertical="center" shrinkToFit="1"/>
    </xf>
    <xf numFmtId="0" fontId="21" fillId="0" borderId="31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3" fillId="0" borderId="4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46" xfId="0" applyFont="1" applyBorder="1" applyAlignment="1">
      <alignment horizontal="center" vertical="center" shrinkToFit="1"/>
    </xf>
    <xf numFmtId="0" fontId="32" fillId="0" borderId="47" xfId="0" applyFont="1" applyBorder="1" applyAlignment="1">
      <alignment horizontal="center" vertical="center" shrinkToFit="1"/>
    </xf>
    <xf numFmtId="0" fontId="32" fillId="0" borderId="48" xfId="0" applyFont="1" applyBorder="1" applyAlignment="1">
      <alignment horizontal="center" vertical="center" shrinkToFit="1"/>
    </xf>
    <xf numFmtId="0" fontId="32" fillId="0" borderId="49" xfId="0" applyFont="1" applyBorder="1" applyAlignment="1">
      <alignment horizontal="center" vertical="center" shrinkToFit="1"/>
    </xf>
    <xf numFmtId="0" fontId="32" fillId="0" borderId="50" xfId="0" applyFont="1" applyBorder="1" applyAlignment="1">
      <alignment horizontal="center" vertical="center" shrinkToFit="1"/>
    </xf>
    <xf numFmtId="0" fontId="32" fillId="0" borderId="51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177" fontId="18" fillId="0" borderId="9" xfId="0" applyNumberFormat="1" applyFont="1" applyBorder="1" applyAlignment="1">
      <alignment horizontal="center" vertical="center" shrinkToFit="1"/>
    </xf>
    <xf numFmtId="177" fontId="18" fillId="0" borderId="52" xfId="0" applyNumberFormat="1" applyFont="1" applyBorder="1" applyAlignment="1">
      <alignment horizontal="center" vertical="center" shrinkToFit="1"/>
    </xf>
    <xf numFmtId="177" fontId="18" fillId="0" borderId="9" xfId="0" applyNumberFormat="1" applyFont="1" applyBorder="1" applyAlignment="1">
      <alignment horizontal="right" vertical="center" shrinkToFit="1"/>
    </xf>
    <xf numFmtId="177" fontId="18" fillId="0" borderId="18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76" fontId="32" fillId="0" borderId="4" xfId="0" applyNumberFormat="1" applyFont="1" applyBorder="1" applyAlignment="1">
      <alignment horizontal="center" vertical="center" shrinkToFit="1"/>
    </xf>
    <xf numFmtId="177" fontId="15" fillId="0" borderId="53" xfId="0" applyNumberFormat="1" applyFont="1" applyBorder="1" applyAlignment="1">
      <alignment horizontal="right" vertical="center" shrinkToFit="1"/>
    </xf>
    <xf numFmtId="181" fontId="15" fillId="0" borderId="4" xfId="0" applyNumberFormat="1" applyFont="1" applyBorder="1" applyAlignment="1">
      <alignment horizontal="center" vertical="center" shrinkToFit="1"/>
    </xf>
    <xf numFmtId="177" fontId="15" fillId="0" borderId="13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vertical="center" shrinkToFit="1"/>
    </xf>
    <xf numFmtId="180" fontId="32" fillId="0" borderId="4" xfId="0" applyNumberFormat="1" applyFont="1" applyBorder="1" applyAlignment="1">
      <alignment vertical="center" shrinkToFit="1"/>
    </xf>
    <xf numFmtId="177" fontId="15" fillId="0" borderId="53" xfId="0" applyNumberFormat="1" applyFont="1" applyBorder="1" applyAlignment="1">
      <alignment vertical="center" shrinkToFit="1"/>
    </xf>
    <xf numFmtId="177" fontId="15" fillId="0" borderId="29" xfId="0" applyNumberFormat="1" applyFont="1" applyBorder="1" applyAlignment="1">
      <alignment vertical="center" shrinkToFit="1"/>
    </xf>
    <xf numFmtId="177" fontId="15" fillId="0" borderId="54" xfId="0" applyNumberFormat="1" applyFont="1" applyBorder="1" applyAlignment="1">
      <alignment vertical="center" shrinkToFit="1"/>
    </xf>
    <xf numFmtId="0" fontId="15" fillId="0" borderId="29" xfId="0" applyFont="1" applyBorder="1" applyAlignment="1">
      <alignment vertical="center" shrinkToFit="1"/>
    </xf>
    <xf numFmtId="0" fontId="15" fillId="0" borderId="54" xfId="0" applyFont="1" applyBorder="1" applyAlignment="1">
      <alignment vertical="center" shrinkToFit="1"/>
    </xf>
    <xf numFmtId="0" fontId="15" fillId="0" borderId="55" xfId="0" applyFont="1" applyBorder="1" applyAlignment="1">
      <alignment vertical="center" shrinkToFit="1"/>
    </xf>
    <xf numFmtId="0" fontId="15" fillId="0" borderId="56" xfId="0" applyFont="1" applyBorder="1" applyAlignment="1">
      <alignment vertical="center" shrinkToFit="1"/>
    </xf>
    <xf numFmtId="177" fontId="15" fillId="0" borderId="5" xfId="0" applyNumberFormat="1" applyFont="1" applyBorder="1" applyAlignment="1">
      <alignment horizontal="right" vertical="center" shrinkToFit="1"/>
    </xf>
    <xf numFmtId="181" fontId="15" fillId="0" borderId="5" xfId="0" applyNumberFormat="1" applyFont="1" applyBorder="1" applyAlignment="1">
      <alignment horizontal="center" vertical="center" shrinkToFit="1"/>
    </xf>
    <xf numFmtId="177" fontId="15" fillId="0" borderId="14" xfId="0" applyNumberFormat="1" applyFont="1" applyBorder="1" applyAlignment="1">
      <alignment horizontal="right" vertical="center" shrinkToFit="1"/>
    </xf>
    <xf numFmtId="181" fontId="32" fillId="0" borderId="0" xfId="0" applyNumberFormat="1" applyFont="1" applyAlignment="1">
      <alignment horizontal="center" vertical="center" shrinkToFit="1"/>
    </xf>
    <xf numFmtId="181" fontId="15" fillId="0" borderId="0" xfId="0" applyNumberFormat="1" applyFont="1" applyAlignment="1">
      <alignment horizontal="center" vertical="center" shrinkToFit="1"/>
    </xf>
    <xf numFmtId="178" fontId="15" fillId="0" borderId="29" xfId="0" applyNumberFormat="1" applyFont="1" applyBorder="1" applyAlignment="1">
      <alignment horizontal="distributed" vertical="center" indent="1"/>
    </xf>
    <xf numFmtId="178" fontId="21" fillId="0" borderId="4" xfId="0" applyNumberFormat="1" applyFont="1" applyBorder="1" applyAlignment="1">
      <alignment horizontal="distributed" vertical="center" wrapText="1" indent="1"/>
    </xf>
    <xf numFmtId="0" fontId="11" fillId="0" borderId="0" xfId="0" applyFont="1" applyAlignment="1">
      <alignment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left" vertical="center"/>
    </xf>
    <xf numFmtId="178" fontId="15" fillId="0" borderId="29" xfId="0" applyNumberFormat="1" applyFont="1" applyBorder="1" applyAlignment="1">
      <alignment horizontal="right" vertical="center"/>
    </xf>
    <xf numFmtId="180" fontId="16" fillId="0" borderId="9" xfId="0" applyNumberFormat="1" applyFont="1" applyBorder="1" applyAlignment="1">
      <alignment horizontal="center" vertical="center" wrapText="1"/>
    </xf>
    <xf numFmtId="178" fontId="19" fillId="0" borderId="31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distributed" vertical="center" indent="1"/>
    </xf>
    <xf numFmtId="0" fontId="19" fillId="0" borderId="41" xfId="0" applyFont="1" applyBorder="1">
      <alignment vertical="center"/>
    </xf>
    <xf numFmtId="0" fontId="32" fillId="0" borderId="36" xfId="0" applyFont="1" applyBorder="1" applyAlignment="1">
      <alignment horizontal="distributed" vertical="center"/>
    </xf>
    <xf numFmtId="177" fontId="32" fillId="0" borderId="0" xfId="0" applyNumberFormat="1" applyFont="1" applyBorder="1" applyAlignment="1">
      <alignment vertical="center"/>
    </xf>
    <xf numFmtId="0" fontId="15" fillId="0" borderId="6" xfId="0" applyFont="1" applyBorder="1" applyAlignment="1">
      <alignment horizontal="distributed" vertical="center"/>
    </xf>
    <xf numFmtId="38" fontId="5" fillId="0" borderId="0" xfId="0" applyNumberFormat="1" applyFont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38" fontId="0" fillId="0" borderId="0" xfId="0" applyNumberFormat="1" applyAlignment="1">
      <alignment vertical="center" shrinkToFit="1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178" fontId="15" fillId="0" borderId="61" xfId="0" applyNumberFormat="1" applyFont="1" applyBorder="1">
      <alignment vertical="center"/>
    </xf>
    <xf numFmtId="178" fontId="15" fillId="0" borderId="61" xfId="0" applyNumberFormat="1" applyFont="1" applyBorder="1" applyAlignment="1">
      <alignment horizontal="center" vertical="center"/>
    </xf>
    <xf numFmtId="178" fontId="15" fillId="0" borderId="61" xfId="0" applyNumberFormat="1" applyFont="1" applyBorder="1" applyAlignment="1">
      <alignment horizontal="right" vertical="center"/>
    </xf>
    <xf numFmtId="9" fontId="15" fillId="0" borderId="61" xfId="0" applyNumberFormat="1" applyFont="1" applyBorder="1">
      <alignment vertical="center"/>
    </xf>
    <xf numFmtId="178" fontId="15" fillId="0" borderId="60" xfId="0" applyNumberFormat="1" applyFont="1" applyBorder="1">
      <alignment vertical="center"/>
    </xf>
    <xf numFmtId="0" fontId="15" fillId="0" borderId="62" xfId="0" applyFont="1" applyBorder="1" applyAlignment="1">
      <alignment horizontal="center" vertical="center"/>
    </xf>
    <xf numFmtId="0" fontId="15" fillId="0" borderId="62" xfId="0" applyFont="1" applyBorder="1" applyAlignment="1">
      <alignment horizontal="distributed" vertical="center"/>
    </xf>
    <xf numFmtId="178" fontId="15" fillId="0" borderId="62" xfId="0" applyNumberFormat="1" applyFont="1" applyBorder="1" applyAlignment="1">
      <alignment horizontal="center" vertical="center"/>
    </xf>
    <xf numFmtId="178" fontId="15" fillId="0" borderId="62" xfId="0" applyNumberFormat="1" applyFont="1" applyBorder="1" applyAlignment="1">
      <alignment horizontal="right" vertical="center"/>
    </xf>
    <xf numFmtId="178" fontId="15" fillId="0" borderId="62" xfId="0" applyNumberFormat="1" applyFont="1" applyBorder="1">
      <alignment vertical="center"/>
    </xf>
    <xf numFmtId="9" fontId="15" fillId="0" borderId="62" xfId="0" applyNumberFormat="1" applyFont="1" applyBorder="1">
      <alignment vertical="center"/>
    </xf>
    <xf numFmtId="178" fontId="15" fillId="0" borderId="62" xfId="0" applyNumberFormat="1" applyFont="1" applyBorder="1" applyAlignment="1">
      <alignment horizontal="lef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vertical="center" shrinkToFit="1"/>
    </xf>
    <xf numFmtId="0" fontId="4" fillId="0" borderId="0" xfId="0" applyFont="1" applyBorder="1">
      <alignment vertical="center"/>
    </xf>
    <xf numFmtId="38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38" fontId="3" fillId="0" borderId="0" xfId="0" applyNumberFormat="1" applyFont="1" applyBorder="1" applyAlignment="1">
      <alignment vertical="center" shrinkToFit="1"/>
    </xf>
    <xf numFmtId="38" fontId="3" fillId="3" borderId="0" xfId="0" applyNumberFormat="1" applyFont="1" applyFill="1" applyBorder="1" applyAlignment="1">
      <alignment vertical="center" shrinkToFit="1"/>
    </xf>
    <xf numFmtId="38" fontId="3" fillId="8" borderId="0" xfId="0" applyNumberFormat="1" applyFont="1" applyFill="1" applyBorder="1" applyAlignment="1">
      <alignment vertical="center" shrinkToFit="1"/>
    </xf>
    <xf numFmtId="38" fontId="3" fillId="6" borderId="0" xfId="0" applyNumberFormat="1" applyFont="1" applyFill="1" applyBorder="1" applyAlignment="1">
      <alignment vertical="center" shrinkToFit="1"/>
    </xf>
    <xf numFmtId="38" fontId="3" fillId="2" borderId="0" xfId="0" applyNumberFormat="1" applyFont="1" applyFill="1" applyBorder="1" applyAlignment="1">
      <alignment vertical="center" shrinkToFit="1"/>
    </xf>
    <xf numFmtId="38" fontId="3" fillId="9" borderId="0" xfId="0" applyNumberFormat="1" applyFont="1" applyFill="1" applyBorder="1" applyAlignment="1">
      <alignment vertical="center" shrinkToFit="1"/>
    </xf>
    <xf numFmtId="0" fontId="10" fillId="0" borderId="0" xfId="0" applyFont="1" applyBorder="1">
      <alignment vertical="center"/>
    </xf>
    <xf numFmtId="38" fontId="10" fillId="0" borderId="0" xfId="0" applyNumberFormat="1" applyFont="1" applyBorder="1" applyAlignment="1">
      <alignment vertical="center" shrinkToFit="1"/>
    </xf>
    <xf numFmtId="38" fontId="10" fillId="9" borderId="0" xfId="0" applyNumberFormat="1" applyFont="1" applyFill="1" applyBorder="1" applyAlignment="1">
      <alignment vertical="center" shrinkToFit="1"/>
    </xf>
    <xf numFmtId="10" fontId="4" fillId="0" borderId="0" xfId="0" applyNumberFormat="1" applyFont="1" applyBorder="1" applyAlignment="1">
      <alignment vertical="center" shrinkToFit="1"/>
    </xf>
    <xf numFmtId="10" fontId="4" fillId="0" borderId="0" xfId="0" applyNumberFormat="1" applyFont="1" applyBorder="1">
      <alignment vertical="center"/>
    </xf>
    <xf numFmtId="38" fontId="4" fillId="0" borderId="0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7" xfId="0" applyFont="1" applyBorder="1" applyAlignment="1">
      <alignment horizontal="distributed" vertical="center"/>
    </xf>
    <xf numFmtId="0" fontId="15" fillId="0" borderId="59" xfId="0" applyFont="1" applyBorder="1" applyAlignment="1">
      <alignment horizontal="center" vertical="center"/>
    </xf>
    <xf numFmtId="0" fontId="15" fillId="0" borderId="61" xfId="0" applyFont="1" applyBorder="1" applyAlignment="1">
      <alignment horizontal="distributed" vertical="center"/>
    </xf>
    <xf numFmtId="0" fontId="15" fillId="0" borderId="60" xfId="0" applyFont="1" applyBorder="1" applyAlignment="1">
      <alignment horizontal="distributed" vertical="center"/>
    </xf>
    <xf numFmtId="0" fontId="15" fillId="0" borderId="61" xfId="0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/>
    </xf>
    <xf numFmtId="0" fontId="15" fillId="0" borderId="15" xfId="0" applyFont="1" applyBorder="1" applyAlignment="1">
      <alignment horizontal="distributed" vertical="center"/>
    </xf>
    <xf numFmtId="0" fontId="15" fillId="0" borderId="16" xfId="0" applyFont="1" applyBorder="1" applyAlignment="1">
      <alignment horizontal="distributed" vertical="center"/>
    </xf>
    <xf numFmtId="0" fontId="32" fillId="0" borderId="64" xfId="0" applyFont="1" applyBorder="1" applyAlignment="1">
      <alignment horizontal="center" vertical="center" shrinkToFit="1"/>
    </xf>
    <xf numFmtId="0" fontId="32" fillId="0" borderId="25" xfId="0" applyFont="1" applyBorder="1" applyAlignment="1">
      <alignment horizontal="center" vertical="center" shrinkToFit="1"/>
    </xf>
    <xf numFmtId="3" fontId="18" fillId="0" borderId="0" xfId="0" applyNumberFormat="1" applyFont="1">
      <alignment vertical="center"/>
    </xf>
    <xf numFmtId="3" fontId="16" fillId="0" borderId="0" xfId="0" applyNumberFormat="1" applyFont="1" applyAlignment="1">
      <alignment horizontal="left" vertical="center"/>
    </xf>
    <xf numFmtId="3" fontId="16" fillId="0" borderId="31" xfId="0" applyNumberFormat="1" applyFont="1" applyBorder="1" applyAlignment="1">
      <alignment horizontal="right" vertical="center" wrapText="1"/>
    </xf>
    <xf numFmtId="3" fontId="32" fillId="0" borderId="25" xfId="0" applyNumberFormat="1" applyFont="1" applyBorder="1">
      <alignment vertical="center"/>
    </xf>
    <xf numFmtId="3" fontId="32" fillId="0" borderId="4" xfId="0" applyNumberFormat="1" applyFont="1" applyBorder="1" applyAlignment="1">
      <alignment horizontal="right" vertical="center"/>
    </xf>
    <xf numFmtId="3" fontId="32" fillId="0" borderId="4" xfId="0" applyNumberFormat="1" applyFont="1" applyBorder="1">
      <alignment vertical="center"/>
    </xf>
    <xf numFmtId="3" fontId="32" fillId="0" borderId="5" xfId="0" applyNumberFormat="1" applyFont="1" applyBorder="1">
      <alignment vertical="center"/>
    </xf>
    <xf numFmtId="3" fontId="32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23" fillId="0" borderId="0" xfId="0" applyFont="1" applyAlignment="1">
      <alignment horizontal="center" vertical="center" shrinkToFit="1"/>
    </xf>
    <xf numFmtId="0" fontId="45" fillId="0" borderId="3" xfId="0" applyFont="1" applyBorder="1" applyAlignment="1">
      <alignment horizontal="distributed" vertical="center"/>
    </xf>
    <xf numFmtId="0" fontId="45" fillId="0" borderId="4" xfId="0" applyFont="1" applyBorder="1" applyAlignment="1">
      <alignment horizontal="distributed" vertical="center"/>
    </xf>
    <xf numFmtId="178" fontId="19" fillId="0" borderId="29" xfId="0" applyNumberFormat="1" applyFont="1" applyBorder="1" applyAlignment="1">
      <alignment horizontal="distributed" vertical="center" indent="1"/>
    </xf>
    <xf numFmtId="0" fontId="3" fillId="0" borderId="13" xfId="0" applyFont="1" applyBorder="1" applyAlignment="1">
      <alignment vertical="center" shrinkToFit="1"/>
    </xf>
    <xf numFmtId="0" fontId="15" fillId="0" borderId="44" xfId="0" applyFont="1" applyBorder="1" applyAlignment="1">
      <alignment horizontal="distributed" vertical="center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7" xfId="3" applyFont="1" applyFill="1" applyBorder="1" applyAlignment="1">
      <alignment horizontal="center" vertical="center"/>
    </xf>
    <xf numFmtId="41" fontId="30" fillId="5" borderId="8" xfId="3" applyFont="1" applyFill="1" applyBorder="1" applyAlignment="1">
      <alignment horizontal="right" vertical="center"/>
    </xf>
    <xf numFmtId="41" fontId="16" fillId="0" borderId="57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41" fontId="30" fillId="5" borderId="65" xfId="3" applyFont="1" applyFill="1" applyBorder="1" applyAlignment="1">
      <alignment horizontal="center" vertical="center"/>
    </xf>
    <xf numFmtId="41" fontId="16" fillId="3" borderId="66" xfId="3" applyFont="1" applyFill="1" applyBorder="1" applyAlignment="1">
      <alignment horizontal="right" vertical="center"/>
    </xf>
    <xf numFmtId="41" fontId="16" fillId="3" borderId="65" xfId="3" applyFont="1" applyFill="1" applyBorder="1" applyAlignment="1">
      <alignment horizontal="right" vertical="center"/>
    </xf>
    <xf numFmtId="41" fontId="16" fillId="2" borderId="64" xfId="3" applyFont="1" applyFill="1" applyBorder="1" applyAlignment="1">
      <alignment horizontal="center" vertical="center"/>
    </xf>
    <xf numFmtId="41" fontId="16" fillId="2" borderId="25" xfId="3" applyFont="1" applyFill="1" applyBorder="1" applyAlignment="1">
      <alignment horizontal="center" vertical="center"/>
    </xf>
    <xf numFmtId="41" fontId="30" fillId="5" borderId="35" xfId="3" applyFont="1" applyFill="1" applyBorder="1" applyAlignment="1">
      <alignment horizontal="right" vertical="center"/>
    </xf>
    <xf numFmtId="41" fontId="16" fillId="3" borderId="67" xfId="3" applyFont="1" applyFill="1" applyBorder="1" applyAlignment="1">
      <alignment horizontal="right" vertical="center"/>
    </xf>
    <xf numFmtId="0" fontId="15" fillId="0" borderId="68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0" fontId="15" fillId="0" borderId="70" xfId="0" applyFont="1" applyBorder="1" applyAlignment="1">
      <alignment horizontal="distributed" vertical="center"/>
    </xf>
    <xf numFmtId="0" fontId="19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0" fontId="32" fillId="0" borderId="3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wrapText="1"/>
    </xf>
    <xf numFmtId="183" fontId="15" fillId="0" borderId="37" xfId="0" applyNumberFormat="1" applyFont="1" applyBorder="1" applyAlignment="1">
      <alignment horizontal="right" vertical="center"/>
    </xf>
    <xf numFmtId="38" fontId="3" fillId="10" borderId="0" xfId="0" applyNumberFormat="1" applyFont="1" applyFill="1" applyBorder="1" applyAlignment="1">
      <alignment vertical="center" shrinkToFit="1"/>
    </xf>
    <xf numFmtId="38" fontId="10" fillId="10" borderId="0" xfId="0" applyNumberFormat="1" applyFont="1" applyFill="1" applyBorder="1" applyAlignment="1">
      <alignment vertical="center" shrinkToFit="1"/>
    </xf>
    <xf numFmtId="38" fontId="32" fillId="10" borderId="0" xfId="0" applyNumberFormat="1" applyFont="1" applyFill="1" applyBorder="1" applyAlignment="1">
      <alignment vertical="center" shrinkToFit="1"/>
    </xf>
    <xf numFmtId="38" fontId="10" fillId="3" borderId="0" xfId="0" applyNumberFormat="1" applyFont="1" applyFill="1" applyBorder="1" applyAlignment="1">
      <alignment vertical="center" shrinkToFit="1"/>
    </xf>
    <xf numFmtId="38" fontId="32" fillId="3" borderId="0" xfId="0" applyNumberFormat="1" applyFont="1" applyFill="1" applyBorder="1" applyAlignment="1">
      <alignment vertical="center" shrinkToFit="1"/>
    </xf>
    <xf numFmtId="177" fontId="15" fillId="0" borderId="9" xfId="0" applyNumberFormat="1" applyFont="1" applyBorder="1" applyAlignment="1">
      <alignment horizontal="right" vertical="center" shrinkToFit="1"/>
    </xf>
    <xf numFmtId="181" fontId="15" fillId="0" borderId="9" xfId="0" applyNumberFormat="1" applyFont="1" applyBorder="1" applyAlignment="1">
      <alignment horizontal="center" vertical="center" shrinkToFit="1"/>
    </xf>
    <xf numFmtId="177" fontId="15" fillId="0" borderId="18" xfId="0" applyNumberFormat="1" applyFont="1" applyBorder="1" applyAlignment="1">
      <alignment horizontal="right" vertical="center" shrinkToFit="1"/>
    </xf>
    <xf numFmtId="3" fontId="32" fillId="0" borderId="33" xfId="0" applyNumberFormat="1" applyFont="1" applyBorder="1">
      <alignment vertical="center"/>
    </xf>
    <xf numFmtId="178" fontId="19" fillId="0" borderId="3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177" fontId="32" fillId="0" borderId="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38" fontId="3" fillId="0" borderId="0" xfId="0" applyNumberFormat="1" applyFont="1" applyBorder="1">
      <alignment vertical="center"/>
    </xf>
    <xf numFmtId="38" fontId="10" fillId="11" borderId="0" xfId="0" applyNumberFormat="1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6" fillId="0" borderId="71" xfId="0" applyFont="1" applyBorder="1" applyAlignment="1">
      <alignment horizontal="center" vertical="center" shrinkToFit="1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shrinkToFit="1"/>
    </xf>
    <xf numFmtId="178" fontId="26" fillId="0" borderId="8" xfId="0" applyNumberFormat="1" applyFont="1" applyBorder="1" applyAlignment="1">
      <alignment horizontal="distributed" vertical="center" shrinkToFit="1"/>
    </xf>
    <xf numFmtId="178" fontId="30" fillId="0" borderId="4" xfId="0" applyNumberFormat="1" applyFont="1" applyBorder="1" applyAlignment="1">
      <alignment horizontal="distributed" vertical="center" shrinkToFit="1"/>
    </xf>
    <xf numFmtId="178" fontId="19" fillId="0" borderId="4" xfId="0" applyNumberFormat="1" applyFont="1" applyBorder="1" applyAlignment="1">
      <alignment horizontal="distributed" vertical="center" shrinkToFit="1"/>
    </xf>
    <xf numFmtId="178" fontId="19" fillId="0" borderId="31" xfId="0" applyNumberFormat="1" applyFont="1" applyBorder="1" applyAlignment="1">
      <alignment horizontal="distributed" vertical="center" shrinkToFit="1"/>
    </xf>
    <xf numFmtId="178" fontId="19" fillId="0" borderId="33" xfId="0" applyNumberFormat="1" applyFont="1" applyBorder="1" applyAlignment="1">
      <alignment horizontal="distributed" vertical="center" shrinkToFit="1"/>
    </xf>
    <xf numFmtId="41" fontId="10" fillId="0" borderId="0" xfId="3" applyFont="1">
      <alignment vertical="center"/>
    </xf>
    <xf numFmtId="41" fontId="10" fillId="0" borderId="0" xfId="0" applyNumberFormat="1" applyFont="1">
      <alignment vertical="center"/>
    </xf>
    <xf numFmtId="41" fontId="5" fillId="0" borderId="0" xfId="3" applyFont="1">
      <alignment vertical="center"/>
    </xf>
    <xf numFmtId="41" fontId="7" fillId="0" borderId="0" xfId="3" applyFont="1">
      <alignment vertical="center"/>
    </xf>
    <xf numFmtId="41" fontId="6" fillId="0" borderId="0" xfId="3" applyFont="1" applyAlignment="1">
      <alignment horizontal="center" vertical="center"/>
    </xf>
    <xf numFmtId="41" fontId="9" fillId="0" borderId="0" xfId="3" applyFont="1" applyAlignment="1">
      <alignment horizontal="center" vertical="center"/>
    </xf>
    <xf numFmtId="41" fontId="2" fillId="0" borderId="0" xfId="3" applyFont="1">
      <alignment vertical="center"/>
    </xf>
    <xf numFmtId="41" fontId="8" fillId="0" borderId="0" xfId="3" applyFont="1">
      <alignment vertical="center"/>
    </xf>
    <xf numFmtId="177" fontId="39" fillId="0" borderId="0" xfId="0" applyNumberFormat="1" applyFont="1" applyAlignment="1">
      <alignment horizontal="center" vertical="center"/>
    </xf>
    <xf numFmtId="184" fontId="18" fillId="0" borderId="9" xfId="0" applyNumberFormat="1" applyFont="1" applyBorder="1" applyAlignment="1">
      <alignment horizontal="center" vertical="center" shrinkToFit="1"/>
    </xf>
    <xf numFmtId="182" fontId="17" fillId="0" borderId="9" xfId="0" applyNumberFormat="1" applyFont="1" applyBorder="1" applyAlignment="1">
      <alignment horizontal="center" vertical="center" shrinkToFit="1"/>
    </xf>
    <xf numFmtId="0" fontId="16" fillId="0" borderId="72" xfId="0" applyFont="1" applyBorder="1" applyAlignment="1">
      <alignment horizontal="center" vertical="center" shrinkToFit="1"/>
    </xf>
    <xf numFmtId="3" fontId="32" fillId="0" borderId="25" xfId="0" applyNumberFormat="1" applyFont="1" applyBorder="1" applyAlignment="1">
      <alignment horizontal="right" vertical="center" shrinkToFit="1"/>
    </xf>
    <xf numFmtId="3" fontId="32" fillId="0" borderId="4" xfId="0" applyNumberFormat="1" applyFont="1" applyBorder="1" applyAlignment="1">
      <alignment horizontal="right" vertical="center" shrinkToFit="1"/>
    </xf>
    <xf numFmtId="3" fontId="32" fillId="0" borderId="25" xfId="0" applyNumberFormat="1" applyFont="1" applyBorder="1" applyAlignment="1">
      <alignment vertical="center" shrinkToFit="1"/>
    </xf>
    <xf numFmtId="3" fontId="32" fillId="0" borderId="4" xfId="0" applyNumberFormat="1" applyFont="1" applyBorder="1" applyAlignment="1">
      <alignment vertical="center" shrinkToFit="1"/>
    </xf>
    <xf numFmtId="3" fontId="32" fillId="0" borderId="5" xfId="0" applyNumberFormat="1" applyFont="1" applyBorder="1" applyAlignment="1">
      <alignment vertical="center" shrinkToFit="1"/>
    </xf>
    <xf numFmtId="3" fontId="32" fillId="0" borderId="33" xfId="0" applyNumberFormat="1" applyFont="1" applyBorder="1" applyAlignment="1">
      <alignment horizontal="right" vertical="center" shrinkToFit="1"/>
    </xf>
    <xf numFmtId="41" fontId="30" fillId="5" borderId="33" xfId="3" applyFont="1" applyFill="1" applyBorder="1" applyAlignment="1">
      <alignment horizontal="right" vertical="center"/>
    </xf>
    <xf numFmtId="41" fontId="30" fillId="5" borderId="73" xfId="3" applyFont="1" applyFill="1" applyBorder="1" applyAlignment="1">
      <alignment horizontal="right" vertical="center"/>
    </xf>
    <xf numFmtId="179" fontId="30" fillId="0" borderId="4" xfId="6" applyNumberFormat="1" applyFont="1" applyFill="1" applyBorder="1" applyAlignment="1">
      <alignment horizontal="center" vertical="center" wrapText="1" shrinkToFit="1"/>
    </xf>
    <xf numFmtId="0" fontId="38" fillId="0" borderId="13" xfId="0" applyFont="1" applyBorder="1" applyAlignment="1">
      <alignment vertical="center" shrinkToFit="1"/>
    </xf>
    <xf numFmtId="0" fontId="34" fillId="0" borderId="0" xfId="6" applyFont="1" applyAlignment="1">
      <alignment vertical="center"/>
    </xf>
    <xf numFmtId="0" fontId="46" fillId="0" borderId="13" xfId="0" applyFont="1" applyBorder="1" applyAlignment="1">
      <alignment vertical="center" shrinkToFit="1"/>
    </xf>
    <xf numFmtId="0" fontId="47" fillId="0" borderId="13" xfId="0" applyFont="1" applyBorder="1" applyAlignment="1">
      <alignment vertical="center" wrapText="1"/>
    </xf>
    <xf numFmtId="0" fontId="47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center" shrinkToFit="1"/>
    </xf>
    <xf numFmtId="0" fontId="32" fillId="0" borderId="13" xfId="0" applyFont="1" applyBorder="1" applyAlignment="1">
      <alignment horizontal="left" vertical="center" shrinkToFit="1"/>
    </xf>
    <xf numFmtId="41" fontId="9" fillId="0" borderId="0" xfId="3" applyFont="1">
      <alignment vertical="center"/>
    </xf>
    <xf numFmtId="41" fontId="48" fillId="0" borderId="0" xfId="3" applyFont="1">
      <alignment vertical="center"/>
    </xf>
    <xf numFmtId="41" fontId="4" fillId="0" borderId="0" xfId="3" applyFont="1" applyAlignment="1">
      <alignment horizontal="center"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177" fontId="15" fillId="0" borderId="11" xfId="0" applyNumberFormat="1" applyFont="1" applyBorder="1" applyAlignment="1">
      <alignment horizontal="left" vertical="center"/>
    </xf>
    <xf numFmtId="0" fontId="38" fillId="0" borderId="13" xfId="0" applyFont="1" applyBorder="1" applyAlignment="1">
      <alignment vertical="center" wrapText="1"/>
    </xf>
    <xf numFmtId="0" fontId="10" fillId="0" borderId="11" xfId="0" applyFont="1" applyBorder="1">
      <alignment vertical="center"/>
    </xf>
    <xf numFmtId="0" fontId="30" fillId="0" borderId="0" xfId="0" applyFont="1" applyAlignment="1">
      <alignment horizontal="center" vertical="center"/>
    </xf>
    <xf numFmtId="0" fontId="38" fillId="0" borderId="13" xfId="0" applyFont="1" applyBorder="1">
      <alignment vertical="center"/>
    </xf>
    <xf numFmtId="41" fontId="30" fillId="12" borderId="4" xfId="3" applyFont="1" applyFill="1" applyBorder="1" applyAlignment="1">
      <alignment horizontal="right" vertical="center"/>
    </xf>
    <xf numFmtId="41" fontId="30" fillId="13" borderId="4" xfId="3" applyFont="1" applyFill="1" applyBorder="1" applyAlignment="1">
      <alignment horizontal="right" vertical="center"/>
    </xf>
    <xf numFmtId="41" fontId="30" fillId="14" borderId="4" xfId="3" applyFont="1" applyFill="1" applyBorder="1" applyAlignment="1">
      <alignment horizontal="right" vertical="center"/>
    </xf>
    <xf numFmtId="41" fontId="30" fillId="13" borderId="8" xfId="3" applyFont="1" applyFill="1" applyBorder="1" applyAlignment="1">
      <alignment horizontal="right" vertical="center"/>
    </xf>
    <xf numFmtId="177" fontId="15" fillId="0" borderId="29" xfId="0" applyNumberFormat="1" applyFont="1" applyBorder="1" applyAlignment="1">
      <alignment horizontal="right" vertical="center"/>
    </xf>
    <xf numFmtId="177" fontId="15" fillId="0" borderId="10" xfId="0" quotePrefix="1" applyNumberFormat="1" applyFont="1" applyBorder="1" applyAlignment="1">
      <alignment vertical="center"/>
    </xf>
    <xf numFmtId="0" fontId="18" fillId="0" borderId="74" xfId="0" applyFont="1" applyBorder="1" applyAlignment="1">
      <alignment horizontal="center" vertical="center"/>
    </xf>
    <xf numFmtId="178" fontId="18" fillId="0" borderId="75" xfId="0" applyNumberFormat="1" applyFont="1" applyBorder="1" applyAlignment="1">
      <alignment horizontal="center" vertical="center"/>
    </xf>
    <xf numFmtId="0" fontId="18" fillId="0" borderId="75" xfId="0" applyFont="1" applyBorder="1" applyAlignment="1">
      <alignment horizontal="center" vertical="center"/>
    </xf>
    <xf numFmtId="178" fontId="18" fillId="0" borderId="96" xfId="0" applyNumberFormat="1" applyFont="1" applyBorder="1" applyAlignment="1">
      <alignment horizontal="center" vertical="center"/>
    </xf>
    <xf numFmtId="178" fontId="18" fillId="3" borderId="97" xfId="0" applyNumberFormat="1" applyFont="1" applyFill="1" applyBorder="1" applyAlignment="1">
      <alignment horizontal="center" vertical="center"/>
    </xf>
    <xf numFmtId="178" fontId="15" fillId="0" borderId="98" xfId="0" applyNumberFormat="1" applyFont="1" applyBorder="1" applyAlignment="1">
      <alignment horizontal="left" vertical="center"/>
    </xf>
    <xf numFmtId="178" fontId="15" fillId="0" borderId="99" xfId="0" applyNumberFormat="1" applyFont="1" applyBorder="1" applyAlignment="1">
      <alignment horizontal="left" vertical="center"/>
    </xf>
    <xf numFmtId="178" fontId="15" fillId="0" borderId="78" xfId="0" applyNumberFormat="1" applyFont="1" applyBorder="1" applyAlignment="1">
      <alignment horizontal="left" vertical="center"/>
    </xf>
    <xf numFmtId="0" fontId="15" fillId="0" borderId="93" xfId="0" applyFont="1" applyBorder="1" applyAlignment="1">
      <alignment horizontal="distributed" vertical="center"/>
    </xf>
    <xf numFmtId="178" fontId="15" fillId="0" borderId="93" xfId="0" applyNumberFormat="1" applyFont="1" applyBorder="1" applyAlignment="1">
      <alignment horizontal="center" vertical="center"/>
    </xf>
    <xf numFmtId="0" fontId="15" fillId="0" borderId="93" xfId="0" applyFont="1" applyBorder="1" applyAlignment="1">
      <alignment horizontal="center" vertical="center"/>
    </xf>
    <xf numFmtId="178" fontId="15" fillId="0" borderId="93" xfId="0" applyNumberFormat="1" applyFont="1" applyBorder="1" applyAlignment="1">
      <alignment horizontal="right" vertical="center"/>
    </xf>
    <xf numFmtId="178" fontId="15" fillId="0" borderId="100" xfId="0" applyNumberFormat="1" applyFont="1" applyBorder="1">
      <alignment vertical="center"/>
    </xf>
    <xf numFmtId="178" fontId="15" fillId="0" borderId="100" xfId="0" applyNumberFormat="1" applyFont="1" applyBorder="1" applyAlignment="1">
      <alignment horizontal="center" vertical="center"/>
    </xf>
    <xf numFmtId="178" fontId="15" fillId="0" borderId="100" xfId="0" applyNumberFormat="1" applyFont="1" applyBorder="1" applyAlignment="1">
      <alignment horizontal="right" vertical="center"/>
    </xf>
    <xf numFmtId="9" fontId="15" fillId="0" borderId="100" xfId="0" applyNumberFormat="1" applyFont="1" applyBorder="1">
      <alignment vertical="center"/>
    </xf>
    <xf numFmtId="178" fontId="15" fillId="0" borderId="92" xfId="0" applyNumberFormat="1" applyFont="1" applyBorder="1">
      <alignment vertical="center"/>
    </xf>
    <xf numFmtId="178" fontId="15" fillId="0" borderId="93" xfId="0" applyNumberFormat="1" applyFont="1" applyBorder="1">
      <alignment vertical="center"/>
    </xf>
    <xf numFmtId="178" fontId="15" fillId="0" borderId="101" xfId="0" applyNumberFormat="1" applyFont="1" applyBorder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47" fillId="0" borderId="14" xfId="0" applyFont="1" applyBorder="1" applyAlignment="1">
      <alignment vertical="center" wrapText="1"/>
    </xf>
    <xf numFmtId="3" fontId="15" fillId="0" borderId="0" xfId="0" applyNumberFormat="1" applyFont="1" applyFill="1">
      <alignment vertical="center"/>
    </xf>
    <xf numFmtId="41" fontId="14" fillId="15" borderId="102" xfId="6" applyNumberFormat="1" applyFont="1" applyFill="1" applyBorder="1" applyAlignment="1">
      <alignment horizontal="center" vertical="center"/>
    </xf>
    <xf numFmtId="41" fontId="14" fillId="0" borderId="102" xfId="6" applyNumberFormat="1" applyFont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 wrapText="1"/>
    </xf>
    <xf numFmtId="41" fontId="10" fillId="0" borderId="0" xfId="3" applyFont="1" applyAlignment="1">
      <alignment horizontal="center" vertical="center"/>
    </xf>
    <xf numFmtId="0" fontId="32" fillId="0" borderId="4" xfId="0" applyFont="1" applyBorder="1" applyAlignment="1">
      <alignment horizontal="center" vertical="center" wrapText="1" shrinkToFit="1"/>
    </xf>
    <xf numFmtId="0" fontId="16" fillId="0" borderId="4" xfId="6" applyFont="1" applyFill="1" applyBorder="1" applyAlignment="1">
      <alignment horizontal="center" vertical="center" wrapText="1" shrinkToFit="1"/>
    </xf>
    <xf numFmtId="41" fontId="16" fillId="5" borderId="13" xfId="3" applyFont="1" applyFill="1" applyBorder="1" applyAlignment="1">
      <alignment horizontal="center" vertical="center"/>
    </xf>
    <xf numFmtId="41" fontId="16" fillId="5" borderId="6" xfId="3" applyFont="1" applyFill="1" applyBorder="1" applyAlignment="1">
      <alignment horizontal="right" vertical="center"/>
    </xf>
    <xf numFmtId="41" fontId="16" fillId="5" borderId="4" xfId="3" applyFont="1" applyFill="1" applyBorder="1" applyAlignment="1">
      <alignment horizontal="right" vertical="center"/>
    </xf>
    <xf numFmtId="0" fontId="32" fillId="0" borderId="4" xfId="0" applyFont="1" applyBorder="1" applyAlignment="1">
      <alignment horizontal="distributed" vertical="center"/>
    </xf>
    <xf numFmtId="177" fontId="32" fillId="0" borderId="41" xfId="0" applyNumberFormat="1" applyFont="1" applyBorder="1" applyAlignment="1">
      <alignment horizontal="center" vertical="center"/>
    </xf>
    <xf numFmtId="177" fontId="32" fillId="0" borderId="41" xfId="0" applyNumberFormat="1" applyFont="1" applyBorder="1">
      <alignment vertical="center"/>
    </xf>
    <xf numFmtId="0" fontId="16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 shrinkToFit="1"/>
    </xf>
    <xf numFmtId="0" fontId="32" fillId="0" borderId="4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15" fillId="0" borderId="4" xfId="0" applyFont="1" applyBorder="1" applyAlignment="1">
      <alignment horizontal="distributed" vertical="center"/>
    </xf>
    <xf numFmtId="0" fontId="30" fillId="13" borderId="4" xfId="6" applyFont="1" applyFill="1" applyBorder="1" applyAlignment="1">
      <alignment horizontal="center" vertical="center" wrapText="1" shrinkToFit="1"/>
    </xf>
    <xf numFmtId="0" fontId="16" fillId="13" borderId="4" xfId="6" applyFont="1" applyFill="1" applyBorder="1" applyAlignment="1">
      <alignment horizontal="center" vertical="center" wrapText="1" shrinkToFit="1"/>
    </xf>
    <xf numFmtId="0" fontId="30" fillId="13" borderId="4" xfId="6" applyFont="1" applyFill="1" applyBorder="1" applyAlignment="1">
      <alignment horizontal="center" vertical="center" shrinkToFit="1"/>
    </xf>
    <xf numFmtId="41" fontId="16" fillId="3" borderId="93" xfId="3" applyFont="1" applyFill="1" applyBorder="1" applyAlignment="1">
      <alignment horizontal="right" vertical="center"/>
    </xf>
    <xf numFmtId="0" fontId="30" fillId="0" borderId="93" xfId="6" applyFont="1" applyBorder="1" applyAlignment="1">
      <alignment horizontal="center" vertical="center" wrapText="1" shrinkToFit="1"/>
    </xf>
    <xf numFmtId="41" fontId="30" fillId="5" borderId="147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15" fillId="0" borderId="4" xfId="0" applyNumberFormat="1" applyFont="1" applyBorder="1" applyAlignment="1">
      <alignment horizontal="right" vertical="center"/>
    </xf>
    <xf numFmtId="177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 wrapText="1"/>
    </xf>
    <xf numFmtId="0" fontId="34" fillId="0" borderId="0" xfId="6" applyFont="1" applyAlignment="1">
      <alignment horizontal="left" vertical="center"/>
    </xf>
    <xf numFmtId="0" fontId="35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29" xfId="0" applyFont="1" applyBorder="1" applyAlignment="1">
      <alignment horizontal="distributed" vertical="center" wrapText="1"/>
    </xf>
    <xf numFmtId="0" fontId="15" fillId="0" borderId="31" xfId="0" applyFont="1" applyBorder="1" applyAlignment="1">
      <alignment horizontal="distributed" vertical="center" wrapText="1"/>
    </xf>
    <xf numFmtId="178" fontId="32" fillId="0" borderId="4" xfId="0" applyNumberFormat="1" applyFont="1" applyBorder="1">
      <alignment vertical="center"/>
    </xf>
    <xf numFmtId="0" fontId="32" fillId="0" borderId="31" xfId="0" applyFont="1" applyBorder="1" applyAlignment="1">
      <alignment horizontal="distributed" vertical="center" wrapText="1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41" fontId="16" fillId="6" borderId="24" xfId="3" applyFont="1" applyFill="1" applyBorder="1" applyAlignment="1">
      <alignment horizontal="center" vertical="center"/>
    </xf>
    <xf numFmtId="41" fontId="30" fillId="5" borderId="13" xfId="3" applyFont="1" applyFill="1" applyBorder="1" applyAlignment="1">
      <alignment horizontal="center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2" xfId="3" applyFont="1" applyFill="1" applyBorder="1" applyAlignment="1">
      <alignment horizontal="center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4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left" vertical="center"/>
    </xf>
    <xf numFmtId="0" fontId="19" fillId="0" borderId="41" xfId="0" applyFont="1" applyBorder="1">
      <alignment vertical="center"/>
    </xf>
    <xf numFmtId="0" fontId="19" fillId="0" borderId="41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7" xfId="3" applyFont="1" applyFill="1" applyBorder="1" applyAlignment="1">
      <alignment horizontal="center" vertical="center"/>
    </xf>
    <xf numFmtId="41" fontId="16" fillId="0" borderId="57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0" fontId="34" fillId="0" borderId="0" xfId="6" applyFont="1" applyAlignment="1">
      <alignment vertical="center"/>
    </xf>
    <xf numFmtId="41" fontId="16" fillId="3" borderId="18" xfId="3" applyFont="1" applyFill="1" applyBorder="1" applyAlignment="1">
      <alignment horizontal="right" vertical="center"/>
    </xf>
    <xf numFmtId="0" fontId="30" fillId="0" borderId="16" xfId="6" applyFont="1" applyBorder="1" applyAlignment="1">
      <alignment horizontal="center" vertical="center" wrapText="1" shrinkToFit="1"/>
    </xf>
    <xf numFmtId="0" fontId="30" fillId="0" borderId="44" xfId="6" applyFont="1" applyBorder="1" applyAlignment="1">
      <alignment horizontal="center" vertical="center" wrapText="1" shrinkToFit="1"/>
    </xf>
    <xf numFmtId="0" fontId="30" fillId="0" borderId="6" xfId="6" applyFont="1" applyBorder="1" applyAlignment="1">
      <alignment horizontal="center" vertical="center" wrapText="1" shrinkToFit="1"/>
    </xf>
    <xf numFmtId="0" fontId="30" fillId="6" borderId="74" xfId="6" applyFont="1" applyFill="1" applyBorder="1" applyAlignment="1">
      <alignment horizontal="center" vertical="center" wrapText="1"/>
    </xf>
    <xf numFmtId="0" fontId="30" fillId="6" borderId="75" xfId="6" applyFont="1" applyFill="1" applyBorder="1" applyAlignment="1">
      <alignment horizontal="center" vertical="center" wrapText="1"/>
    </xf>
    <xf numFmtId="41" fontId="30" fillId="6" borderId="75" xfId="3" applyFont="1" applyFill="1" applyBorder="1" applyAlignment="1">
      <alignment horizontal="center" vertical="center"/>
    </xf>
    <xf numFmtId="41" fontId="30" fillId="6" borderId="75" xfId="3" applyFont="1" applyFill="1" applyBorder="1" applyAlignment="1">
      <alignment horizontal="center" vertical="center" wrapText="1"/>
    </xf>
    <xf numFmtId="41" fontId="16" fillId="6" borderId="75" xfId="3" applyFont="1" applyFill="1" applyBorder="1" applyAlignment="1">
      <alignment horizontal="center" vertical="center"/>
    </xf>
    <xf numFmtId="41" fontId="16" fillId="6" borderId="76" xfId="3" applyFont="1" applyFill="1" applyBorder="1" applyAlignment="1">
      <alignment horizontal="center" vertical="center"/>
    </xf>
    <xf numFmtId="41" fontId="16" fillId="6" borderId="77" xfId="3" applyFont="1" applyFill="1" applyBorder="1" applyAlignment="1">
      <alignment horizontal="center" vertical="center"/>
    </xf>
    <xf numFmtId="41" fontId="16" fillId="2" borderId="78" xfId="3" applyFont="1" applyFill="1" applyBorder="1" applyAlignment="1">
      <alignment horizontal="center" vertical="center"/>
    </xf>
    <xf numFmtId="41" fontId="16" fillId="3" borderId="79" xfId="3" applyFont="1" applyFill="1" applyBorder="1" applyAlignment="1">
      <alignment horizontal="right" vertical="center"/>
    </xf>
    <xf numFmtId="0" fontId="0" fillId="0" borderId="80" xfId="0" applyBorder="1" applyAlignment="1">
      <alignment vertical="center"/>
    </xf>
    <xf numFmtId="41" fontId="30" fillId="5" borderId="79" xfId="3" applyFont="1" applyFill="1" applyBorder="1" applyAlignment="1">
      <alignment horizontal="right" vertical="center"/>
    </xf>
    <xf numFmtId="0" fontId="0" fillId="0" borderId="81" xfId="0" applyBorder="1" applyAlignment="1">
      <alignment vertical="center"/>
    </xf>
    <xf numFmtId="41" fontId="30" fillId="5" borderId="82" xfId="3" applyFont="1" applyFill="1" applyBorder="1" applyAlignment="1">
      <alignment horizontal="right" vertical="center"/>
    </xf>
    <xf numFmtId="0" fontId="19" fillId="0" borderId="83" xfId="0" applyFont="1" applyBorder="1">
      <alignment vertical="center"/>
    </xf>
    <xf numFmtId="0" fontId="19" fillId="0" borderId="84" xfId="0" applyFont="1" applyBorder="1">
      <alignment vertical="center"/>
    </xf>
    <xf numFmtId="0" fontId="19" fillId="0" borderId="85" xfId="0" applyFont="1" applyBorder="1">
      <alignment vertical="center"/>
    </xf>
    <xf numFmtId="0" fontId="19" fillId="0" borderId="86" xfId="0" applyFont="1" applyBorder="1">
      <alignment vertical="center"/>
    </xf>
    <xf numFmtId="41" fontId="30" fillId="0" borderId="0" xfId="3" applyFont="1" applyBorder="1" applyAlignment="1">
      <alignment vertical="center"/>
    </xf>
    <xf numFmtId="3" fontId="30" fillId="0" borderId="0" xfId="6" applyNumberFormat="1" applyFont="1" applyBorder="1" applyAlignment="1">
      <alignment horizontal="right" vertical="center" indent="1"/>
    </xf>
    <xf numFmtId="41" fontId="30" fillId="0" borderId="0" xfId="3" applyFont="1" applyBorder="1" applyAlignment="1">
      <alignment horizontal="right" vertical="center" indent="1"/>
    </xf>
    <xf numFmtId="41" fontId="30" fillId="0" borderId="86" xfId="3" applyFont="1" applyBorder="1" applyAlignment="1">
      <alignment horizontal="center" vertical="center"/>
    </xf>
    <xf numFmtId="0" fontId="30" fillId="6" borderId="87" xfId="6" applyFont="1" applyFill="1" applyBorder="1" applyAlignment="1">
      <alignment horizontal="center" vertical="center" wrapText="1"/>
    </xf>
    <xf numFmtId="41" fontId="16" fillId="6" borderId="88" xfId="3" applyFont="1" applyFill="1" applyBorder="1" applyAlignment="1">
      <alignment horizontal="center" vertical="center"/>
    </xf>
    <xf numFmtId="41" fontId="16" fillId="2" borderId="89" xfId="3" applyFont="1" applyFill="1" applyBorder="1" applyAlignment="1">
      <alignment horizontal="center" vertical="center"/>
    </xf>
    <xf numFmtId="41" fontId="30" fillId="5" borderId="90" xfId="3" applyFont="1" applyFill="1" applyBorder="1" applyAlignment="1">
      <alignment horizontal="center" vertical="center"/>
    </xf>
    <xf numFmtId="41" fontId="30" fillId="5" borderId="89" xfId="3" applyFont="1" applyFill="1" applyBorder="1" applyAlignment="1">
      <alignment horizontal="center" vertical="center"/>
    </xf>
    <xf numFmtId="41" fontId="30" fillId="5" borderId="91" xfId="3" applyFont="1" applyFill="1" applyBorder="1" applyAlignment="1">
      <alignment horizontal="center" vertical="center"/>
    </xf>
    <xf numFmtId="0" fontId="30" fillId="0" borderId="92" xfId="6" applyFont="1" applyBorder="1" applyAlignment="1">
      <alignment horizontal="center" vertical="center" wrapText="1" shrinkToFit="1"/>
    </xf>
    <xf numFmtId="0" fontId="30" fillId="0" borderId="93" xfId="6" applyFont="1" applyFill="1" applyBorder="1" applyAlignment="1">
      <alignment horizontal="center" vertical="center" wrapText="1" shrinkToFit="1"/>
    </xf>
    <xf numFmtId="0" fontId="30" fillId="0" borderId="93" xfId="6" applyFont="1" applyFill="1" applyBorder="1" applyAlignment="1">
      <alignment horizontal="center" vertical="center" shrinkToFit="1"/>
    </xf>
    <xf numFmtId="41" fontId="30" fillId="0" borderId="93" xfId="3" applyFont="1" applyBorder="1" applyAlignment="1">
      <alignment horizontal="right" vertical="center"/>
    </xf>
    <xf numFmtId="41" fontId="30" fillId="0" borderId="93" xfId="3" applyFont="1" applyFill="1" applyBorder="1" applyAlignment="1">
      <alignment horizontal="right" vertical="center"/>
    </xf>
    <xf numFmtId="41" fontId="16" fillId="3" borderId="94" xfId="3" applyFont="1" applyFill="1" applyBorder="1" applyAlignment="1">
      <alignment horizontal="right" vertical="center"/>
    </xf>
    <xf numFmtId="41" fontId="30" fillId="5" borderId="95" xfId="3" applyFont="1" applyFill="1" applyBorder="1" applyAlignment="1">
      <alignment horizontal="center" vertical="center"/>
    </xf>
    <xf numFmtId="41" fontId="30" fillId="13" borderId="8" xfId="3" applyFont="1" applyFill="1" applyBorder="1" applyAlignment="1">
      <alignment horizontal="right" vertical="center"/>
    </xf>
    <xf numFmtId="41" fontId="30" fillId="5" borderId="9" xfId="3" applyFont="1" applyFill="1" applyBorder="1" applyAlignment="1">
      <alignment horizontal="right" vertical="center"/>
    </xf>
    <xf numFmtId="41" fontId="16" fillId="6" borderId="75" xfId="3" applyFont="1" applyFill="1" applyBorder="1" applyAlignment="1">
      <alignment horizontal="center" vertical="center" wrapText="1"/>
    </xf>
    <xf numFmtId="0" fontId="16" fillId="6" borderId="96" xfId="6" applyFont="1" applyFill="1" applyBorder="1" applyAlignment="1">
      <alignment horizontal="center" vertical="center"/>
    </xf>
    <xf numFmtId="41" fontId="16" fillId="2" borderId="97" xfId="3" applyFont="1" applyFill="1" applyBorder="1" applyAlignment="1">
      <alignment horizontal="center" vertical="center"/>
    </xf>
    <xf numFmtId="41" fontId="16" fillId="3" borderId="98" xfId="3" applyFont="1" applyFill="1" applyBorder="1" applyAlignment="1">
      <alignment horizontal="right" vertical="center"/>
    </xf>
    <xf numFmtId="41" fontId="16" fillId="0" borderId="98" xfId="3" applyNumberFormat="1" applyFont="1" applyBorder="1" applyAlignment="1">
      <alignment horizontal="center" vertical="center" wrapText="1"/>
    </xf>
    <xf numFmtId="41" fontId="30" fillId="5" borderId="93" xfId="3" applyFont="1" applyFill="1" applyBorder="1" applyAlignment="1">
      <alignment horizontal="right" vertical="center"/>
    </xf>
    <xf numFmtId="41" fontId="16" fillId="0" borderId="101" xfId="3" applyNumberFormat="1" applyFont="1" applyBorder="1" applyAlignment="1">
      <alignment horizontal="center" vertical="center" wrapText="1"/>
    </xf>
    <xf numFmtId="41" fontId="16" fillId="6" borderId="96" xfId="3" applyFont="1" applyFill="1" applyBorder="1" applyAlignment="1">
      <alignment horizontal="center" vertical="center"/>
    </xf>
    <xf numFmtId="41" fontId="30" fillId="5" borderId="98" xfId="3" applyFont="1" applyFill="1" applyBorder="1" applyAlignment="1">
      <alignment horizontal="center" vertical="center"/>
    </xf>
    <xf numFmtId="41" fontId="30" fillId="5" borderId="101" xfId="3" applyFont="1" applyFill="1" applyBorder="1" applyAlignment="1">
      <alignment horizontal="center" vertical="center"/>
    </xf>
    <xf numFmtId="41" fontId="16" fillId="6" borderId="142" xfId="3" applyFont="1" applyFill="1" applyBorder="1" applyAlignment="1">
      <alignment horizontal="center" vertical="center"/>
    </xf>
    <xf numFmtId="41" fontId="30" fillId="5" borderId="92" xfId="3" applyFont="1" applyFill="1" applyBorder="1" applyAlignment="1">
      <alignment horizontal="right" vertical="center"/>
    </xf>
    <xf numFmtId="41" fontId="30" fillId="5" borderId="44" xfId="3" applyFont="1" applyFill="1" applyBorder="1" applyAlignment="1">
      <alignment horizontal="right" vertical="center"/>
    </xf>
    <xf numFmtId="0" fontId="30" fillId="0" borderId="73" xfId="0" applyFont="1" applyBorder="1" applyAlignment="1">
      <alignment horizontal="center" vertical="center"/>
    </xf>
    <xf numFmtId="0" fontId="16" fillId="0" borderId="104" xfId="0" applyFont="1" applyBorder="1" applyAlignment="1">
      <alignment horizontal="center" vertical="center"/>
    </xf>
    <xf numFmtId="0" fontId="32" fillId="16" borderId="4" xfId="0" applyFont="1" applyFill="1" applyBorder="1" applyAlignment="1">
      <alignment horizontal="distributed" vertical="center"/>
    </xf>
    <xf numFmtId="0" fontId="32" fillId="0" borderId="4" xfId="0" applyFont="1" applyBorder="1" applyAlignment="1">
      <alignment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77" fontId="19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NumberFormat="1" applyFont="1" applyAlignment="1">
      <alignment horizontal="left" vertical="center"/>
    </xf>
    <xf numFmtId="0" fontId="32" fillId="0" borderId="4" xfId="0" applyFont="1" applyBorder="1" applyAlignment="1">
      <alignment horizontal="center" vertical="center" shrinkToFit="1"/>
    </xf>
    <xf numFmtId="177" fontId="19" fillId="0" borderId="0" xfId="7" applyNumberFormat="1" applyFont="1" applyAlignment="1">
      <alignment vertical="center"/>
    </xf>
    <xf numFmtId="177" fontId="19" fillId="0" borderId="0" xfId="10" applyNumberFormat="1" applyFont="1" applyAlignment="1">
      <alignment vertical="center"/>
    </xf>
    <xf numFmtId="0" fontId="19" fillId="0" borderId="0" xfId="22" applyFont="1" applyAlignment="1">
      <alignment vertical="center"/>
    </xf>
    <xf numFmtId="0" fontId="19" fillId="0" borderId="0" xfId="22" applyFont="1"/>
    <xf numFmtId="177" fontId="19" fillId="0" borderId="0" xfId="22" applyNumberFormat="1" applyFont="1" applyAlignment="1">
      <alignment vertic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22" applyNumberFormat="1" applyFont="1" applyAlignment="1">
      <alignment horizontal="left" vertical="center"/>
    </xf>
    <xf numFmtId="3" fontId="21" fillId="0" borderId="0" xfId="19" applyNumberFormat="1" applyFont="1" applyBorder="1" applyAlignment="1">
      <alignment horizontal="center" vertical="center" shrinkToFit="1"/>
    </xf>
    <xf numFmtId="178" fontId="19" fillId="0" borderId="9" xfId="0" applyNumberFormat="1" applyFont="1" applyBorder="1" applyAlignment="1">
      <alignment horizontal="distributed" vertical="center" shrinkToFit="1"/>
    </xf>
    <xf numFmtId="178" fontId="30" fillId="0" borderId="9" xfId="0" applyNumberFormat="1" applyFont="1" applyBorder="1" applyAlignment="1">
      <alignment horizontal="distributed" vertical="center" indent="1"/>
    </xf>
    <xf numFmtId="178" fontId="19" fillId="0" borderId="18" xfId="0" applyNumberFormat="1" applyFont="1" applyBorder="1" applyAlignment="1">
      <alignment horizontal="right" vertical="center"/>
    </xf>
    <xf numFmtId="178" fontId="19" fillId="0" borderId="5" xfId="0" applyNumberFormat="1" applyFont="1" applyBorder="1" applyAlignment="1">
      <alignment horizontal="distributed" vertical="center" shrinkToFit="1"/>
    </xf>
    <xf numFmtId="178" fontId="19" fillId="0" borderId="5" xfId="0" applyNumberFormat="1" applyFont="1" applyBorder="1" applyAlignment="1">
      <alignment horizontal="right" vertical="center"/>
    </xf>
    <xf numFmtId="41" fontId="32" fillId="0" borderId="4" xfId="3" applyFont="1" applyBorder="1" applyAlignment="1">
      <alignment horizontal="center" vertical="center" shrinkToFit="1"/>
    </xf>
    <xf numFmtId="0" fontId="28" fillId="7" borderId="74" xfId="0" applyFont="1" applyFill="1" applyBorder="1" applyAlignment="1">
      <alignment horizontal="center" vertical="center"/>
    </xf>
    <xf numFmtId="178" fontId="19" fillId="0" borderId="9" xfId="0" applyNumberFormat="1" applyFont="1" applyBorder="1" applyAlignment="1">
      <alignment horizontal="distributed" vertical="center" indent="1"/>
    </xf>
    <xf numFmtId="41" fontId="18" fillId="0" borderId="9" xfId="3" applyFont="1" applyBorder="1" applyAlignment="1">
      <alignment horizontal="center" vertical="center" shrinkToFit="1"/>
    </xf>
    <xf numFmtId="41" fontId="17" fillId="0" borderId="9" xfId="3" applyFont="1" applyBorder="1" applyAlignment="1">
      <alignment horizontal="center" vertical="center" shrinkToFit="1"/>
    </xf>
    <xf numFmtId="41" fontId="15" fillId="0" borderId="4" xfId="3" applyFont="1" applyBorder="1" applyAlignment="1">
      <alignment horizontal="center" vertical="center" shrinkToFit="1"/>
    </xf>
    <xf numFmtId="0" fontId="28" fillId="7" borderId="153" xfId="0" applyFont="1" applyFill="1" applyBorder="1" applyAlignment="1">
      <alignment horizontal="center" vertical="center"/>
    </xf>
    <xf numFmtId="0" fontId="37" fillId="0" borderId="155" xfId="0" applyFont="1" applyBorder="1" applyAlignment="1">
      <alignment horizontal="center" vertical="center"/>
    </xf>
    <xf numFmtId="178" fontId="26" fillId="0" borderId="156" xfId="0" applyNumberFormat="1" applyFont="1" applyBorder="1" applyAlignment="1">
      <alignment horizontal="right" vertical="center"/>
    </xf>
    <xf numFmtId="0" fontId="36" fillId="0" borderId="138" xfId="0" applyFont="1" applyBorder="1" applyAlignment="1">
      <alignment horizontal="center" vertical="center"/>
    </xf>
    <xf numFmtId="178" fontId="19" fillId="0" borderId="98" xfId="0" applyNumberFormat="1" applyFont="1" applyBorder="1" applyAlignment="1">
      <alignment horizontal="right" vertical="center"/>
    </xf>
    <xf numFmtId="0" fontId="36" fillId="0" borderId="80" xfId="0" applyFont="1" applyBorder="1" applyAlignment="1">
      <alignment horizontal="center" vertical="center"/>
    </xf>
    <xf numFmtId="0" fontId="36" fillId="0" borderId="81" xfId="0" applyFont="1" applyBorder="1" applyAlignment="1">
      <alignment horizontal="center" vertical="center"/>
    </xf>
    <xf numFmtId="178" fontId="19" fillId="0" borderId="99" xfId="0" applyNumberFormat="1" applyFont="1" applyBorder="1" applyAlignment="1">
      <alignment horizontal="right" vertical="center"/>
    </xf>
    <xf numFmtId="178" fontId="19" fillId="0" borderId="78" xfId="0" applyNumberFormat="1" applyFont="1" applyBorder="1" applyAlignment="1">
      <alignment horizontal="right" vertical="center"/>
    </xf>
    <xf numFmtId="178" fontId="19" fillId="0" borderId="151" xfId="0" applyNumberFormat="1" applyFont="1" applyBorder="1" applyAlignment="1">
      <alignment horizontal="right" vertical="center"/>
    </xf>
    <xf numFmtId="0" fontId="36" fillId="0" borderId="148" xfId="0" applyFont="1" applyBorder="1" applyAlignment="1">
      <alignment horizontal="center" vertical="center"/>
    </xf>
    <xf numFmtId="178" fontId="19" fillId="0" borderId="93" xfId="0" applyNumberFormat="1" applyFont="1" applyBorder="1" applyAlignment="1">
      <alignment horizontal="distributed" vertical="center" shrinkToFit="1"/>
    </xf>
    <xf numFmtId="178" fontId="19" fillId="0" borderId="93" xfId="0" applyNumberFormat="1" applyFont="1" applyBorder="1" applyAlignment="1">
      <alignment horizontal="right" vertical="center"/>
    </xf>
    <xf numFmtId="178" fontId="19" fillId="0" borderId="93" xfId="0" applyNumberFormat="1" applyFont="1" applyBorder="1" applyAlignment="1">
      <alignment horizontal="distributed" vertical="center" indent="1"/>
    </xf>
    <xf numFmtId="178" fontId="19" fillId="0" borderId="101" xfId="0" applyNumberFormat="1" applyFont="1" applyBorder="1" applyAlignment="1">
      <alignment horizontal="right" vertical="center"/>
    </xf>
    <xf numFmtId="178" fontId="19" fillId="0" borderId="149" xfId="0" applyNumberFormat="1" applyFont="1" applyBorder="1" applyAlignment="1">
      <alignment horizontal="distributed" vertical="center" shrinkToFit="1"/>
    </xf>
    <xf numFmtId="178" fontId="19" fillId="0" borderId="149" xfId="0" applyNumberFormat="1" applyFont="1" applyBorder="1" applyAlignment="1">
      <alignment horizontal="right" vertical="center"/>
    </xf>
    <xf numFmtId="178" fontId="19" fillId="0" borderId="149" xfId="0" applyNumberFormat="1" applyFont="1" applyBorder="1" applyAlignment="1">
      <alignment horizontal="distributed" vertical="center" indent="1"/>
    </xf>
    <xf numFmtId="178" fontId="19" fillId="0" borderId="157" xfId="0" applyNumberFormat="1" applyFont="1" applyBorder="1" applyAlignment="1">
      <alignment horizontal="right" vertical="center"/>
    </xf>
    <xf numFmtId="0" fontId="16" fillId="0" borderId="161" xfId="0" applyFont="1" applyBorder="1" applyAlignment="1">
      <alignment horizontal="center" vertical="center" shrinkToFit="1"/>
    </xf>
    <xf numFmtId="177" fontId="18" fillId="0" borderId="78" xfId="0" applyNumberFormat="1" applyFont="1" applyBorder="1" applyAlignment="1">
      <alignment horizontal="right" vertical="center" shrinkToFit="1"/>
    </xf>
    <xf numFmtId="0" fontId="15" fillId="0" borderId="145" xfId="0" applyFont="1" applyBorder="1" applyAlignment="1">
      <alignment horizontal="center" vertical="center" shrinkToFit="1"/>
    </xf>
    <xf numFmtId="177" fontId="15" fillId="0" borderId="98" xfId="0" applyNumberFormat="1" applyFont="1" applyBorder="1" applyAlignment="1">
      <alignment horizontal="right" vertical="center" shrinkToFit="1"/>
    </xf>
    <xf numFmtId="0" fontId="32" fillId="0" borderId="138" xfId="0" applyFont="1" applyBorder="1" applyAlignment="1">
      <alignment horizontal="center" vertical="center" shrinkToFit="1"/>
    </xf>
    <xf numFmtId="0" fontId="32" fillId="0" borderId="139" xfId="0" applyFont="1" applyBorder="1" applyAlignment="1">
      <alignment horizontal="center" vertical="center" shrinkToFit="1"/>
    </xf>
    <xf numFmtId="0" fontId="32" fillId="0" borderId="145" xfId="0" applyFont="1" applyBorder="1" applyAlignment="1">
      <alignment horizontal="center" vertical="center" shrinkToFit="1"/>
    </xf>
    <xf numFmtId="0" fontId="32" fillId="0" borderId="80" xfId="0" applyFont="1" applyBorder="1" applyAlignment="1">
      <alignment horizontal="center" vertical="center" shrinkToFit="1"/>
    </xf>
    <xf numFmtId="0" fontId="15" fillId="0" borderId="80" xfId="0" applyFont="1" applyBorder="1" applyAlignment="1">
      <alignment horizontal="center" vertical="center" shrinkToFit="1"/>
    </xf>
    <xf numFmtId="177" fontId="15" fillId="0" borderId="78" xfId="0" applyNumberFormat="1" applyFont="1" applyBorder="1" applyAlignment="1">
      <alignment horizontal="right" vertical="center" shrinkToFit="1"/>
    </xf>
    <xf numFmtId="0" fontId="15" fillId="0" borderId="148" xfId="0" applyFont="1" applyBorder="1" applyAlignment="1">
      <alignment horizontal="center" vertical="center" shrinkToFit="1"/>
    </xf>
    <xf numFmtId="0" fontId="15" fillId="0" borderId="149" xfId="0" applyFont="1" applyBorder="1" applyAlignment="1">
      <alignment horizontal="center" vertical="center" shrinkToFit="1"/>
    </xf>
    <xf numFmtId="0" fontId="15" fillId="0" borderId="149" xfId="0" applyFont="1" applyBorder="1" applyAlignment="1">
      <alignment vertical="center" shrinkToFit="1"/>
    </xf>
    <xf numFmtId="0" fontId="15" fillId="0" borderId="163" xfId="0" applyFont="1" applyBorder="1" applyAlignment="1">
      <alignment vertical="center" shrinkToFit="1"/>
    </xf>
    <xf numFmtId="0" fontId="32" fillId="0" borderId="150" xfId="0" applyFont="1" applyBorder="1" applyAlignment="1">
      <alignment horizontal="center" vertical="center" shrinkToFit="1"/>
    </xf>
    <xf numFmtId="0" fontId="32" fillId="0" borderId="93" xfId="0" applyFont="1" applyBorder="1" applyAlignment="1">
      <alignment horizontal="center" vertical="center" shrinkToFit="1"/>
    </xf>
    <xf numFmtId="177" fontId="15" fillId="0" borderId="93" xfId="0" applyNumberFormat="1" applyFont="1" applyBorder="1" applyAlignment="1">
      <alignment horizontal="right" vertical="center" shrinkToFit="1"/>
    </xf>
    <xf numFmtId="41" fontId="15" fillId="0" borderId="93" xfId="3" applyFont="1" applyBorder="1" applyAlignment="1">
      <alignment horizontal="center" vertical="center" shrinkToFit="1"/>
    </xf>
    <xf numFmtId="177" fontId="15" fillId="0" borderId="101" xfId="0" applyNumberFormat="1" applyFont="1" applyBorder="1" applyAlignment="1">
      <alignment horizontal="right" vertical="center" shrinkToFit="1"/>
    </xf>
    <xf numFmtId="0" fontId="0" fillId="0" borderId="80" xfId="0" applyBorder="1" applyAlignment="1">
      <alignment vertical="center"/>
    </xf>
    <xf numFmtId="0" fontId="32" fillId="0" borderId="30" xfId="0" applyFont="1" applyFill="1" applyBorder="1" applyAlignment="1">
      <alignment horizontal="distributed" vertical="center"/>
    </xf>
    <xf numFmtId="0" fontId="32" fillId="0" borderId="31" xfId="0" applyFont="1" applyFill="1" applyBorder="1" applyAlignment="1">
      <alignment horizontal="distributed" vertical="center"/>
    </xf>
    <xf numFmtId="0" fontId="32" fillId="0" borderId="4" xfId="0" applyFont="1" applyFill="1" applyBorder="1" applyAlignment="1">
      <alignment horizontal="distributed" vertical="center"/>
    </xf>
    <xf numFmtId="178" fontId="32" fillId="0" borderId="4" xfId="0" applyNumberFormat="1" applyFont="1" applyFill="1" applyBorder="1">
      <alignment vertical="center"/>
    </xf>
    <xf numFmtId="177" fontId="15" fillId="0" borderId="4" xfId="0" applyNumberFormat="1" applyFont="1" applyFill="1" applyBorder="1">
      <alignment vertical="center"/>
    </xf>
    <xf numFmtId="0" fontId="3" fillId="0" borderId="0" xfId="0" applyFont="1" applyFill="1" applyBorder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2" fillId="0" borderId="47" xfId="0" applyFont="1" applyFill="1" applyBorder="1" applyAlignment="1">
      <alignment horizontal="center" vertical="center" shrinkToFit="1"/>
    </xf>
    <xf numFmtId="0" fontId="32" fillId="0" borderId="31" xfId="0" applyFont="1" applyFill="1" applyBorder="1" applyAlignment="1">
      <alignment horizontal="center" vertical="center" shrinkToFit="1"/>
    </xf>
    <xf numFmtId="0" fontId="32" fillId="0" borderId="4" xfId="0" applyFont="1" applyFill="1" applyBorder="1" applyAlignment="1">
      <alignment horizontal="center" vertical="center" shrinkToFit="1"/>
    </xf>
    <xf numFmtId="177" fontId="15" fillId="0" borderId="4" xfId="0" applyNumberFormat="1" applyFont="1" applyFill="1" applyBorder="1" applyAlignment="1">
      <alignment horizontal="right" vertical="center" shrinkToFit="1"/>
    </xf>
    <xf numFmtId="41" fontId="15" fillId="0" borderId="4" xfId="3" applyFont="1" applyFill="1" applyBorder="1" applyAlignment="1">
      <alignment horizontal="center" vertical="center" shrinkToFit="1"/>
    </xf>
    <xf numFmtId="177" fontId="15" fillId="0" borderId="98" xfId="0" applyNumberFormat="1" applyFont="1" applyFill="1" applyBorder="1" applyAlignment="1">
      <alignment horizontal="right" vertical="center" shrinkToFit="1"/>
    </xf>
    <xf numFmtId="177" fontId="19" fillId="0" borderId="0" xfId="22" applyNumberFormat="1" applyFont="1" applyAlignment="1">
      <alignment vertical="center" shrinkToFit="1"/>
    </xf>
    <xf numFmtId="41" fontId="16" fillId="6" borderId="164" xfId="3" applyFont="1" applyFill="1" applyBorder="1" applyAlignment="1">
      <alignment horizontal="center" vertical="center"/>
    </xf>
    <xf numFmtId="41" fontId="16" fillId="2" borderId="165" xfId="3" applyFont="1" applyFill="1" applyBorder="1" applyAlignment="1">
      <alignment horizontal="center" vertical="center"/>
    </xf>
    <xf numFmtId="41" fontId="16" fillId="3" borderId="166" xfId="3" applyFont="1" applyFill="1" applyBorder="1" applyAlignment="1">
      <alignment horizontal="right" vertical="center"/>
    </xf>
    <xf numFmtId="41" fontId="30" fillId="5" borderId="166" xfId="3" applyFont="1" applyFill="1" applyBorder="1" applyAlignment="1">
      <alignment horizontal="right" vertical="center"/>
    </xf>
    <xf numFmtId="41" fontId="30" fillId="5" borderId="167" xfId="3" applyFont="1" applyFill="1" applyBorder="1" applyAlignment="1">
      <alignment horizontal="right" vertical="center"/>
    </xf>
    <xf numFmtId="0" fontId="30" fillId="0" borderId="0" xfId="6" applyFont="1" applyBorder="1" applyAlignment="1">
      <alignment horizontal="center" vertical="center"/>
    </xf>
    <xf numFmtId="0" fontId="30" fillId="0" borderId="0" xfId="6" applyFont="1" applyBorder="1" applyAlignment="1">
      <alignment vertical="center"/>
    </xf>
    <xf numFmtId="41" fontId="30" fillId="0" borderId="0" xfId="3" applyFont="1" applyBorder="1" applyAlignment="1">
      <alignment horizontal="center" vertical="center"/>
    </xf>
    <xf numFmtId="0" fontId="17" fillId="0" borderId="0" xfId="6" applyFont="1" applyBorder="1" applyAlignment="1">
      <alignment horizontal="right" vertical="center"/>
    </xf>
    <xf numFmtId="0" fontId="30" fillId="0" borderId="120" xfId="6" applyFont="1" applyBorder="1" applyAlignment="1">
      <alignment horizontal="center" vertical="center"/>
    </xf>
    <xf numFmtId="0" fontId="30" fillId="0" borderId="120" xfId="6" applyFont="1" applyBorder="1" applyAlignment="1">
      <alignment horizontal="center" vertical="center" wrapText="1" shrinkToFit="1"/>
    </xf>
    <xf numFmtId="0" fontId="30" fillId="0" borderId="12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shrinkToFit="1"/>
    </xf>
    <xf numFmtId="41" fontId="30" fillId="0" borderId="0" xfId="3" applyFont="1" applyBorder="1" applyAlignment="1">
      <alignment horizontal="right" vertical="center"/>
    </xf>
    <xf numFmtId="41" fontId="30" fillId="0" borderId="0" xfId="3" applyFont="1" applyFill="1" applyBorder="1" applyAlignment="1">
      <alignment horizontal="right" vertical="center"/>
    </xf>
    <xf numFmtId="41" fontId="16" fillId="3" borderId="0" xfId="3" applyFont="1" applyFill="1" applyBorder="1" applyAlignment="1">
      <alignment horizontal="right" vertical="center"/>
    </xf>
    <xf numFmtId="41" fontId="30" fillId="5" borderId="0" xfId="3" applyFont="1" applyFill="1" applyBorder="1" applyAlignment="1">
      <alignment horizontal="center" vertical="center"/>
    </xf>
    <xf numFmtId="41" fontId="30" fillId="5" borderId="0" xfId="3" applyFont="1" applyFill="1" applyBorder="1" applyAlignment="1">
      <alignment horizontal="right" vertical="center"/>
    </xf>
    <xf numFmtId="41" fontId="16" fillId="0" borderId="0" xfId="3" applyNumberFormat="1" applyFont="1" applyBorder="1" applyAlignment="1">
      <alignment horizontal="center" vertical="center" wrapText="1"/>
    </xf>
    <xf numFmtId="0" fontId="30" fillId="0" borderId="41" xfId="6" applyFont="1" applyBorder="1" applyAlignment="1">
      <alignment horizontal="center" vertical="center" wrapText="1" shrinkToFit="1"/>
    </xf>
    <xf numFmtId="0" fontId="30" fillId="0" borderId="41" xfId="6" applyFont="1" applyFill="1" applyBorder="1" applyAlignment="1">
      <alignment horizontal="center" vertical="center" wrapText="1" shrinkToFit="1"/>
    </xf>
    <xf numFmtId="0" fontId="19" fillId="0" borderId="0" xfId="0" applyFont="1" applyAlignment="1">
      <alignment horizontal="distributed" vertical="center"/>
    </xf>
    <xf numFmtId="177" fontId="19" fillId="0" borderId="0" xfId="22" applyNumberFormat="1" applyFont="1" applyAlignment="1">
      <alignment horizontal="center" vertical="center"/>
    </xf>
    <xf numFmtId="0" fontId="19" fillId="0" borderId="0" xfId="22" applyFont="1" applyAlignment="1">
      <alignment horizont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0" applyNumberFormat="1" applyFont="1" applyAlignment="1">
      <alignment vertical="center"/>
    </xf>
    <xf numFmtId="177" fontId="19" fillId="0" borderId="0" xfId="0" applyNumberFormat="1" applyFont="1" applyAlignment="1">
      <alignment horizontal="right" vertical="center"/>
    </xf>
    <xf numFmtId="3" fontId="26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9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2" fillId="0" borderId="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17" fillId="0" borderId="57" xfId="0" applyFont="1" applyBorder="1" applyAlignment="1">
      <alignment horizontal="center" vertical="center" wrapText="1"/>
    </xf>
    <xf numFmtId="0" fontId="17" fillId="0" borderId="105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shrinkToFit="1"/>
    </xf>
    <xf numFmtId="3" fontId="16" fillId="0" borderId="73" xfId="0" applyNumberFormat="1" applyFont="1" applyBorder="1" applyAlignment="1">
      <alignment horizontal="center" vertical="center" wrapText="1"/>
    </xf>
    <xf numFmtId="3" fontId="16" fillId="0" borderId="104" xfId="0" applyNumberFormat="1" applyFont="1" applyBorder="1" applyAlignment="1">
      <alignment horizontal="center" vertical="center" wrapText="1"/>
    </xf>
    <xf numFmtId="0" fontId="16" fillId="0" borderId="115" xfId="0" applyFont="1" applyBorder="1" applyAlignment="1">
      <alignment horizontal="center" vertical="center" wrapText="1"/>
    </xf>
    <xf numFmtId="0" fontId="16" fillId="0" borderId="116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6" fillId="0" borderId="110" xfId="0" applyFont="1" applyBorder="1" applyAlignment="1">
      <alignment horizontal="center" vertical="center"/>
    </xf>
    <xf numFmtId="0" fontId="30" fillId="0" borderId="67" xfId="0" applyFont="1" applyBorder="1" applyAlignment="1">
      <alignment horizontal="center" vertical="center"/>
    </xf>
    <xf numFmtId="0" fontId="30" fillId="0" borderId="11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16" fillId="0" borderId="112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6" fillId="0" borderId="113" xfId="0" applyFont="1" applyBorder="1" applyAlignment="1">
      <alignment horizontal="center" vertical="center"/>
    </xf>
    <xf numFmtId="0" fontId="16" fillId="0" borderId="67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181" fontId="18" fillId="0" borderId="8" xfId="0" applyNumberFormat="1" applyFont="1" applyBorder="1" applyAlignment="1">
      <alignment horizontal="center" vertical="center" wrapText="1"/>
    </xf>
    <xf numFmtId="181" fontId="18" fillId="0" borderId="20" xfId="0" applyNumberFormat="1" applyFont="1" applyBorder="1" applyAlignment="1">
      <alignment horizontal="center" vertical="center" wrapText="1"/>
    </xf>
    <xf numFmtId="0" fontId="16" fillId="0" borderId="73" xfId="0" applyFont="1" applyBorder="1" applyAlignment="1">
      <alignment horizontal="center" vertical="center" wrapText="1"/>
    </xf>
    <xf numFmtId="0" fontId="16" fillId="0" borderId="104" xfId="0" applyFont="1" applyBorder="1" applyAlignment="1">
      <alignment horizontal="center" vertical="center" wrapText="1"/>
    </xf>
    <xf numFmtId="178" fontId="16" fillId="0" borderId="73" xfId="0" applyNumberFormat="1" applyFont="1" applyBorder="1" applyAlignment="1">
      <alignment horizontal="center" vertical="center" wrapText="1"/>
    </xf>
    <xf numFmtId="178" fontId="16" fillId="0" borderId="104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2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6" fillId="0" borderId="57" xfId="0" applyFont="1" applyBorder="1" applyAlignment="1">
      <alignment horizontal="center" vertical="center"/>
    </xf>
    <xf numFmtId="0" fontId="6" fillId="0" borderId="10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10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177" fontId="32" fillId="0" borderId="10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0" fontId="15" fillId="0" borderId="36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177" fontId="32" fillId="0" borderId="10" xfId="0" applyNumberFormat="1" applyFont="1" applyBorder="1" applyAlignment="1">
      <alignment horizontal="fill" vertical="center"/>
    </xf>
    <xf numFmtId="177" fontId="32" fillId="0" borderId="7" xfId="0" applyNumberFormat="1" applyFont="1" applyBorder="1" applyAlignment="1">
      <alignment horizontal="fill" vertical="center"/>
    </xf>
    <xf numFmtId="177" fontId="32" fillId="0" borderId="11" xfId="0" applyNumberFormat="1" applyFont="1" applyBorder="1" applyAlignment="1">
      <alignment horizontal="fill"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15" fillId="0" borderId="129" xfId="0" applyFont="1" applyBorder="1" applyAlignment="1">
      <alignment horizontal="center" vertical="center"/>
    </xf>
    <xf numFmtId="0" fontId="15" fillId="0" borderId="123" xfId="0" applyFont="1" applyBorder="1" applyAlignment="1">
      <alignment horizontal="center" vertical="center"/>
    </xf>
    <xf numFmtId="177" fontId="32" fillId="0" borderId="17" xfId="0" applyNumberFormat="1" applyFont="1" applyBorder="1" applyAlignment="1">
      <alignment horizontal="left" vertical="center"/>
    </xf>
    <xf numFmtId="177" fontId="32" fillId="0" borderId="15" xfId="0" applyNumberFormat="1" applyFont="1" applyBorder="1" applyAlignment="1">
      <alignment horizontal="left" vertical="center"/>
    </xf>
    <xf numFmtId="177" fontId="32" fillId="0" borderId="117" xfId="0" applyNumberFormat="1" applyFont="1" applyBorder="1" applyAlignment="1">
      <alignment horizontal="left" vertical="center"/>
    </xf>
    <xf numFmtId="177" fontId="32" fillId="0" borderId="36" xfId="0" applyNumberFormat="1" applyFont="1" applyBorder="1" applyAlignment="1">
      <alignment horizontal="left" vertical="center"/>
    </xf>
    <xf numFmtId="177" fontId="32" fillId="0" borderId="37" xfId="0" applyNumberFormat="1" applyFont="1" applyBorder="1" applyAlignment="1">
      <alignment horizontal="left" vertical="center"/>
    </xf>
    <xf numFmtId="177" fontId="32" fillId="0" borderId="38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0" fontId="32" fillId="0" borderId="7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15" fillId="0" borderId="7" xfId="0" applyNumberFormat="1" applyFont="1" applyBorder="1" applyAlignment="1">
      <alignment vertical="center"/>
    </xf>
    <xf numFmtId="177" fontId="15" fillId="0" borderId="129" xfId="0" applyNumberFormat="1" applyFont="1" applyBorder="1" applyAlignment="1">
      <alignment horizontal="left" vertical="center"/>
    </xf>
    <xf numFmtId="177" fontId="15" fillId="0" borderId="122" xfId="0" applyNumberFormat="1" applyFont="1" applyBorder="1" applyAlignment="1">
      <alignment horizontal="left" vertical="center"/>
    </xf>
    <xf numFmtId="177" fontId="15" fillId="0" borderId="130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/>
    </xf>
    <xf numFmtId="177" fontId="21" fillId="0" borderId="7" xfId="0" applyNumberFormat="1" applyFont="1" applyBorder="1" applyAlignment="1">
      <alignment horizontal="left" vertical="center"/>
    </xf>
    <xf numFmtId="177" fontId="21" fillId="0" borderId="11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0" fontId="15" fillId="0" borderId="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21" fillId="0" borderId="118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left" vertical="center" wrapText="1"/>
    </xf>
    <xf numFmtId="0" fontId="21" fillId="0" borderId="119" xfId="0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right" vertical="center"/>
    </xf>
    <xf numFmtId="177" fontId="20" fillId="0" borderId="7" xfId="0" applyNumberFormat="1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177" fontId="15" fillId="0" borderId="7" xfId="0" applyNumberFormat="1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 wrapText="1"/>
    </xf>
    <xf numFmtId="177" fontId="15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32" fillId="0" borderId="120" xfId="0" applyFont="1" applyBorder="1" applyAlignment="1">
      <alignment horizontal="right" vertical="center"/>
    </xf>
    <xf numFmtId="0" fontId="17" fillId="0" borderId="12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177" fontId="16" fillId="0" borderId="73" xfId="0" applyNumberFormat="1" applyFont="1" applyBorder="1" applyAlignment="1">
      <alignment horizontal="center" vertical="center" wrapText="1"/>
    </xf>
    <xf numFmtId="177" fontId="16" fillId="0" borderId="104" xfId="0" applyNumberFormat="1" applyFont="1" applyBorder="1" applyAlignment="1">
      <alignment horizontal="center" vertical="center" wrapText="1"/>
    </xf>
    <xf numFmtId="0" fontId="16" fillId="0" borderId="124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125" xfId="0" applyFont="1" applyBorder="1" applyAlignment="1">
      <alignment horizontal="center" vertical="center" wrapText="1"/>
    </xf>
    <xf numFmtId="0" fontId="16" fillId="0" borderId="126" xfId="0" applyFont="1" applyBorder="1" applyAlignment="1">
      <alignment horizontal="center" vertical="center" wrapText="1"/>
    </xf>
    <xf numFmtId="0" fontId="16" fillId="0" borderId="127" xfId="0" applyFont="1" applyBorder="1" applyAlignment="1">
      <alignment horizontal="center" vertical="center" wrapText="1"/>
    </xf>
    <xf numFmtId="0" fontId="16" fillId="0" borderId="128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distributed" vertical="center"/>
    </xf>
    <xf numFmtId="0" fontId="32" fillId="0" borderId="4" xfId="0" applyFont="1" applyBorder="1" applyAlignment="1">
      <alignment vertical="center"/>
    </xf>
    <xf numFmtId="0" fontId="32" fillId="0" borderId="15" xfId="0" applyFont="1" applyBorder="1" applyAlignment="1">
      <alignment horizontal="left" vertical="center"/>
    </xf>
    <xf numFmtId="0" fontId="32" fillId="0" borderId="117" xfId="0" applyFont="1" applyBorder="1" applyAlignment="1">
      <alignment horizontal="left" vertical="center"/>
    </xf>
    <xf numFmtId="177" fontId="20" fillId="0" borderId="10" xfId="0" applyNumberFormat="1" applyFont="1" applyBorder="1" applyAlignment="1">
      <alignment horizontal="left" vertical="center"/>
    </xf>
    <xf numFmtId="177" fontId="20" fillId="0" borderId="7" xfId="0" applyNumberFormat="1" applyFont="1" applyBorder="1" applyAlignment="1">
      <alignment horizontal="left" vertical="center"/>
    </xf>
    <xf numFmtId="177" fontId="20" fillId="0" borderId="11" xfId="0" applyNumberFormat="1" applyFont="1" applyBorder="1" applyAlignment="1">
      <alignment horizontal="left" vertical="center"/>
    </xf>
    <xf numFmtId="177" fontId="15" fillId="0" borderId="17" xfId="0" applyNumberFormat="1" applyFont="1" applyBorder="1" applyAlignment="1">
      <alignment horizontal="left" vertical="center"/>
    </xf>
    <xf numFmtId="177" fontId="15" fillId="0" borderId="15" xfId="0" applyNumberFormat="1" applyFont="1" applyBorder="1" applyAlignment="1">
      <alignment horizontal="left" vertical="center"/>
    </xf>
    <xf numFmtId="177" fontId="15" fillId="0" borderId="117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177" fontId="15" fillId="0" borderId="36" xfId="0" applyNumberFormat="1" applyFont="1" applyBorder="1" applyAlignment="1">
      <alignment horizontal="left" vertical="center"/>
    </xf>
    <xf numFmtId="177" fontId="15" fillId="0" borderId="37" xfId="0" applyNumberFormat="1" applyFont="1" applyBorder="1" applyAlignment="1">
      <alignment horizontal="left" vertical="center"/>
    </xf>
    <xf numFmtId="177" fontId="15" fillId="0" borderId="38" xfId="0" applyNumberFormat="1" applyFont="1" applyBorder="1" applyAlignment="1">
      <alignment horizontal="left" vertical="center"/>
    </xf>
    <xf numFmtId="0" fontId="32" fillId="0" borderId="36" xfId="0" applyFont="1" applyBorder="1" applyAlignment="1">
      <alignment horizontal="center" vertical="center"/>
    </xf>
    <xf numFmtId="0" fontId="32" fillId="0" borderId="44" xfId="0" applyFont="1" applyBorder="1" applyAlignment="1">
      <alignment horizontal="center" vertical="center"/>
    </xf>
    <xf numFmtId="178" fontId="15" fillId="0" borderId="1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left" vertical="center"/>
    </xf>
    <xf numFmtId="178" fontId="15" fillId="0" borderId="18" xfId="0" applyNumberFormat="1" applyFont="1" applyBorder="1" applyAlignment="1">
      <alignment horizontal="left" vertical="center"/>
    </xf>
    <xf numFmtId="178" fontId="15" fillId="0" borderId="4" xfId="0" applyNumberFormat="1" applyFont="1" applyBorder="1" applyAlignment="1">
      <alignment horizontal="left" vertical="center"/>
    </xf>
    <xf numFmtId="178" fontId="15" fillId="0" borderId="13" xfId="0" applyNumberFormat="1" applyFont="1" applyBorder="1" applyAlignment="1">
      <alignment horizontal="left" vertical="center"/>
    </xf>
    <xf numFmtId="178" fontId="15" fillId="0" borderId="36" xfId="0" applyNumberFormat="1" applyFont="1" applyBorder="1" applyAlignment="1">
      <alignment horizontal="center" vertical="center"/>
    </xf>
    <xf numFmtId="178" fontId="15" fillId="0" borderId="37" xfId="0" applyNumberFormat="1" applyFont="1" applyBorder="1" applyAlignment="1">
      <alignment horizontal="center" vertical="center"/>
    </xf>
    <xf numFmtId="178" fontId="15" fillId="0" borderId="38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 applyAlignment="1">
      <alignment vertical="center" wrapText="1"/>
    </xf>
    <xf numFmtId="178" fontId="15" fillId="0" borderId="10" xfId="0" applyNumberFormat="1" applyFont="1" applyBorder="1" applyAlignment="1">
      <alignment horizontal="left" vertical="center"/>
    </xf>
    <xf numFmtId="178" fontId="15" fillId="0" borderId="7" xfId="0" applyNumberFormat="1" applyFont="1" applyBorder="1" applyAlignment="1">
      <alignment horizontal="left" vertical="center"/>
    </xf>
    <xf numFmtId="178" fontId="15" fillId="0" borderId="11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left" vertical="center" wrapText="1"/>
    </xf>
    <xf numFmtId="177" fontId="15" fillId="0" borderId="11" xfId="0" applyNumberFormat="1" applyFont="1" applyBorder="1" applyAlignment="1">
      <alignment horizontal="left" vertical="center" wrapText="1"/>
    </xf>
    <xf numFmtId="38" fontId="15" fillId="0" borderId="7" xfId="0" applyNumberFormat="1" applyFont="1" applyBorder="1" applyAlignment="1">
      <alignment horizontal="center" vertical="center"/>
    </xf>
    <xf numFmtId="38" fontId="15" fillId="0" borderId="11" xfId="0" applyNumberFormat="1" applyFont="1" applyBorder="1" applyAlignment="1">
      <alignment horizontal="center" vertical="center"/>
    </xf>
    <xf numFmtId="178" fontId="15" fillId="0" borderId="10" xfId="0" applyNumberFormat="1" applyFont="1" applyBorder="1" applyAlignment="1">
      <alignment horizontal="center" vertical="center" shrinkToFit="1"/>
    </xf>
    <xf numFmtId="178" fontId="15" fillId="0" borderId="7" xfId="0" applyNumberFormat="1" applyFont="1" applyBorder="1" applyAlignment="1">
      <alignment horizontal="center" vertical="center" shrinkToFit="1"/>
    </xf>
    <xf numFmtId="178" fontId="15" fillId="0" borderId="11" xfId="0" applyNumberFormat="1" applyFont="1" applyBorder="1" applyAlignment="1">
      <alignment horizontal="center" vertical="center" shrinkToFit="1"/>
    </xf>
    <xf numFmtId="177" fontId="16" fillId="0" borderId="8" xfId="0" applyNumberFormat="1" applyFont="1" applyBorder="1" applyAlignment="1">
      <alignment horizontal="center" vertical="center" wrapText="1"/>
    </xf>
    <xf numFmtId="177" fontId="16" fillId="0" borderId="20" xfId="0" applyNumberFormat="1" applyFont="1" applyBorder="1" applyAlignment="1">
      <alignment horizontal="center" vertical="center" wrapText="1"/>
    </xf>
    <xf numFmtId="178" fontId="15" fillId="0" borderId="10" xfId="0" applyNumberFormat="1" applyFont="1" applyFill="1" applyBorder="1" applyAlignment="1">
      <alignment horizontal="left" vertical="center" shrinkToFit="1"/>
    </xf>
    <xf numFmtId="178" fontId="15" fillId="0" borderId="7" xfId="0" applyNumberFormat="1" applyFont="1" applyFill="1" applyBorder="1" applyAlignment="1">
      <alignment horizontal="left" vertical="center" shrinkToFit="1"/>
    </xf>
    <xf numFmtId="178" fontId="15" fillId="0" borderId="11" xfId="0" applyNumberFormat="1" applyFont="1" applyFill="1" applyBorder="1" applyAlignment="1">
      <alignment horizontal="left" vertical="center" shrinkToFit="1"/>
    </xf>
    <xf numFmtId="0" fontId="18" fillId="0" borderId="0" xfId="0" applyFont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16" fillId="0" borderId="57" xfId="0" applyFont="1" applyBorder="1" applyAlignment="1">
      <alignment horizontal="center" vertical="center" wrapText="1"/>
    </xf>
    <xf numFmtId="0" fontId="16" fillId="0" borderId="105" xfId="0" applyFont="1" applyBorder="1" applyAlignment="1">
      <alignment horizontal="center" vertical="center" wrapText="1"/>
    </xf>
    <xf numFmtId="178" fontId="15" fillId="0" borderId="17" xfId="0" applyNumberFormat="1" applyFont="1" applyBorder="1" applyAlignment="1">
      <alignment horizontal="left" vertical="center"/>
    </xf>
    <xf numFmtId="178" fontId="15" fillId="0" borderId="15" xfId="0" applyNumberFormat="1" applyFont="1" applyBorder="1" applyAlignment="1">
      <alignment horizontal="left" vertical="center"/>
    </xf>
    <xf numFmtId="178" fontId="15" fillId="0" borderId="117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left" vertical="center" shrinkToFit="1"/>
    </xf>
    <xf numFmtId="178" fontId="15" fillId="0" borderId="7" xfId="0" applyNumberFormat="1" applyFont="1" applyBorder="1" applyAlignment="1">
      <alignment horizontal="left" vertical="center" shrinkToFit="1"/>
    </xf>
    <xf numFmtId="178" fontId="15" fillId="0" borderId="11" xfId="0" applyNumberFormat="1" applyFont="1" applyBorder="1" applyAlignment="1">
      <alignment horizontal="left" vertical="center" shrinkToFit="1"/>
    </xf>
    <xf numFmtId="178" fontId="15" fillId="0" borderId="5" xfId="0" applyNumberFormat="1" applyFont="1" applyBorder="1" applyAlignment="1">
      <alignment horizontal="left" vertical="center"/>
    </xf>
    <xf numFmtId="178" fontId="15" fillId="0" borderId="14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wrapText="1"/>
    </xf>
    <xf numFmtId="178" fontId="15" fillId="0" borderId="10" xfId="0" applyNumberFormat="1" applyFont="1" applyBorder="1" applyAlignment="1">
      <alignment vertical="justify" wrapText="1" shrinkToFit="1"/>
    </xf>
    <xf numFmtId="178" fontId="15" fillId="0" borderId="7" xfId="0" applyNumberFormat="1" applyFont="1" applyBorder="1" applyAlignment="1">
      <alignment vertical="justify" shrinkToFit="1"/>
    </xf>
    <xf numFmtId="178" fontId="15" fillId="0" borderId="11" xfId="0" applyNumberFormat="1" applyFont="1" applyBorder="1" applyAlignment="1">
      <alignment vertical="justify" shrinkToFit="1"/>
    </xf>
    <xf numFmtId="178" fontId="15" fillId="0" borderId="4" xfId="0" applyNumberFormat="1" applyFont="1" applyBorder="1" applyAlignment="1">
      <alignment horizontal="left" vertical="center" shrinkToFit="1"/>
    </xf>
    <xf numFmtId="178" fontId="15" fillId="0" borderId="13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left" vertical="center" wrapText="1" shrinkToFit="1"/>
    </xf>
    <xf numFmtId="178" fontId="15" fillId="0" borderId="36" xfId="0" applyNumberFormat="1" applyFont="1" applyBorder="1" applyAlignment="1">
      <alignment horizontal="center" vertical="center" shrinkToFit="1"/>
    </xf>
    <xf numFmtId="178" fontId="15" fillId="0" borderId="37" xfId="0" applyNumberFormat="1" applyFont="1" applyBorder="1" applyAlignment="1">
      <alignment horizontal="center" vertical="center" shrinkToFit="1"/>
    </xf>
    <xf numFmtId="178" fontId="15" fillId="0" borderId="38" xfId="0" applyNumberFormat="1" applyFont="1" applyBorder="1" applyAlignment="1">
      <alignment horizontal="center" vertical="center" shrinkToFit="1"/>
    </xf>
    <xf numFmtId="178" fontId="15" fillId="0" borderId="9" xfId="0" applyNumberFormat="1" applyFont="1" applyBorder="1" applyAlignment="1">
      <alignment horizontal="left" vertical="center" shrinkToFit="1"/>
    </xf>
    <xf numFmtId="178" fontId="15" fillId="0" borderId="18" xfId="0" applyNumberFormat="1" applyFont="1" applyBorder="1" applyAlignment="1">
      <alignment horizontal="left" vertical="center" shrinkToFit="1"/>
    </xf>
    <xf numFmtId="178" fontId="15" fillId="0" borderId="4" xfId="0" applyNumberFormat="1" applyFont="1" applyBorder="1" applyAlignment="1">
      <alignment horizontal="left" vertical="center" wrapText="1" shrinkToFit="1"/>
    </xf>
    <xf numFmtId="178" fontId="15" fillId="0" borderId="17" xfId="0" applyNumberFormat="1" applyFont="1" applyBorder="1" applyAlignment="1">
      <alignment horizontal="left" vertical="center" shrinkToFit="1"/>
    </xf>
    <xf numFmtId="178" fontId="15" fillId="0" borderId="15" xfId="0" applyNumberFormat="1" applyFont="1" applyBorder="1" applyAlignment="1">
      <alignment horizontal="left" vertical="center" shrinkToFit="1"/>
    </xf>
    <xf numFmtId="178" fontId="15" fillId="0" borderId="117" xfId="0" applyNumberFormat="1" applyFont="1" applyBorder="1" applyAlignment="1">
      <alignment horizontal="left" vertical="center" shrinkToFit="1"/>
    </xf>
    <xf numFmtId="178" fontId="15" fillId="0" borderId="29" xfId="0" applyNumberFormat="1" applyFont="1" applyBorder="1" applyAlignment="1">
      <alignment horizontal="left" vertical="center" shrinkToFit="1"/>
    </xf>
    <xf numFmtId="178" fontId="15" fillId="0" borderId="34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11" xfId="0" applyNumberFormat="1" applyFont="1" applyBorder="1" applyAlignment="1">
      <alignment horizontal="center" vertical="center" shrinkToFit="1"/>
    </xf>
    <xf numFmtId="178" fontId="15" fillId="0" borderId="5" xfId="0" applyNumberFormat="1" applyFont="1" applyBorder="1" applyAlignment="1">
      <alignment horizontal="left" vertical="center" shrinkToFit="1"/>
    </xf>
    <xf numFmtId="178" fontId="15" fillId="0" borderId="14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vertical="center" wrapText="1" shrinkToFit="1"/>
    </xf>
    <xf numFmtId="177" fontId="15" fillId="0" borderId="7" xfId="0" applyNumberFormat="1" applyFont="1" applyBorder="1" applyAlignment="1">
      <alignment vertical="center" wrapText="1" shrinkToFit="1"/>
    </xf>
    <xf numFmtId="177" fontId="15" fillId="0" borderId="11" xfId="0" applyNumberFormat="1" applyFont="1" applyBorder="1" applyAlignment="1">
      <alignment vertical="center" wrapText="1" shrinkToFit="1"/>
    </xf>
    <xf numFmtId="0" fontId="28" fillId="7" borderId="141" xfId="0" applyFont="1" applyFill="1" applyBorder="1" applyAlignment="1">
      <alignment horizontal="center" vertical="center"/>
    </xf>
    <xf numFmtId="0" fontId="28" fillId="7" borderId="142" xfId="0" applyFont="1" applyFill="1" applyBorder="1" applyAlignment="1">
      <alignment horizontal="center" vertical="center"/>
    </xf>
    <xf numFmtId="0" fontId="28" fillId="7" borderId="152" xfId="0" applyFont="1" applyFill="1" applyBorder="1" applyAlignment="1">
      <alignment horizontal="center" vertical="center"/>
    </xf>
    <xf numFmtId="178" fontId="28" fillId="7" borderId="108" xfId="0" applyNumberFormat="1" applyFont="1" applyFill="1" applyBorder="1" applyAlignment="1">
      <alignment horizontal="center" vertical="center"/>
    </xf>
    <xf numFmtId="0" fontId="28" fillId="7" borderId="109" xfId="0" applyFont="1" applyFill="1" applyBorder="1" applyAlignment="1">
      <alignment horizontal="center" vertical="center"/>
    </xf>
    <xf numFmtId="177" fontId="28" fillId="7" borderId="108" xfId="0" applyNumberFormat="1" applyFont="1" applyFill="1" applyBorder="1" applyAlignment="1">
      <alignment horizontal="center" vertical="center"/>
    </xf>
    <xf numFmtId="177" fontId="28" fillId="7" borderId="154" xfId="0" applyNumberFormat="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vertical="center"/>
    </xf>
    <xf numFmtId="0" fontId="16" fillId="0" borderId="159" xfId="0" applyFont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 shrinkToFit="1"/>
    </xf>
    <xf numFmtId="0" fontId="16" fillId="0" borderId="73" xfId="25" applyFont="1" applyBorder="1" applyAlignment="1">
      <alignment horizontal="center" vertical="center" wrapText="1"/>
    </xf>
    <xf numFmtId="0" fontId="4" fillId="0" borderId="104" xfId="25" applyFont="1" applyBorder="1"/>
    <xf numFmtId="0" fontId="16" fillId="0" borderId="156" xfId="0" applyFont="1" applyBorder="1" applyAlignment="1">
      <alignment horizontal="center" vertical="center" wrapText="1"/>
    </xf>
    <xf numFmtId="0" fontId="16" fillId="0" borderId="162" xfId="0" applyFont="1" applyBorder="1" applyAlignment="1">
      <alignment horizontal="center" vertical="center" wrapText="1"/>
    </xf>
    <xf numFmtId="0" fontId="17" fillId="0" borderId="139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2" fillId="0" borderId="32" xfId="0" applyFont="1" applyBorder="1" applyAlignment="1">
      <alignment horizontal="center" vertical="center" shrinkToFit="1"/>
    </xf>
    <xf numFmtId="3" fontId="16" fillId="0" borderId="8" xfId="0" applyNumberFormat="1" applyFont="1" applyBorder="1" applyAlignment="1">
      <alignment horizontal="center" vertical="center" wrapText="1"/>
    </xf>
    <xf numFmtId="3" fontId="16" fillId="0" borderId="20" xfId="0" applyNumberFormat="1" applyFont="1" applyBorder="1" applyAlignment="1">
      <alignment horizontal="center" vertical="center" wrapText="1"/>
    </xf>
    <xf numFmtId="0" fontId="28" fillId="0" borderId="106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07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shrinkToFit="1"/>
    </xf>
    <xf numFmtId="3" fontId="16" fillId="0" borderId="104" xfId="0" applyNumberFormat="1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32" fillId="0" borderId="33" xfId="0" applyFont="1" applyBorder="1" applyAlignment="1">
      <alignment horizontal="center" vertical="center" shrinkToFit="1"/>
    </xf>
    <xf numFmtId="0" fontId="16" fillId="0" borderId="57" xfId="0" applyFont="1" applyBorder="1" applyAlignment="1">
      <alignment horizontal="center" vertical="center" shrinkToFit="1"/>
    </xf>
    <xf numFmtId="0" fontId="16" fillId="0" borderId="105" xfId="0" applyFont="1" applyBorder="1" applyAlignment="1">
      <alignment horizontal="center" vertical="center" shrinkToFit="1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2" fillId="0" borderId="103" xfId="0" applyFont="1" applyBorder="1" applyAlignment="1">
      <alignment horizontal="center" vertical="center" shrinkToFit="1"/>
    </xf>
    <xf numFmtId="0" fontId="32" fillId="0" borderId="58" xfId="0" applyFont="1" applyBorder="1" applyAlignment="1">
      <alignment horizontal="center" vertical="center" shrinkToFit="1"/>
    </xf>
    <xf numFmtId="0" fontId="26" fillId="0" borderId="120" xfId="6" applyFont="1" applyBorder="1" applyAlignment="1">
      <alignment horizontal="center" vertical="center"/>
    </xf>
    <xf numFmtId="0" fontId="16" fillId="2" borderId="12" xfId="6" applyFont="1" applyFill="1" applyBorder="1" applyAlignment="1">
      <alignment horizontal="center" vertical="center"/>
    </xf>
    <xf numFmtId="0" fontId="16" fillId="2" borderId="9" xfId="6" applyFont="1" applyFill="1" applyBorder="1" applyAlignment="1">
      <alignment horizontal="center" vertical="center"/>
    </xf>
    <xf numFmtId="0" fontId="30" fillId="0" borderId="3" xfId="6" applyFont="1" applyBorder="1" applyAlignment="1">
      <alignment horizontal="center" vertical="center"/>
    </xf>
    <xf numFmtId="0" fontId="30" fillId="0" borderId="45" xfId="6" applyFont="1" applyBorder="1" applyAlignment="1">
      <alignment horizontal="center" vertical="center"/>
    </xf>
    <xf numFmtId="0" fontId="30" fillId="0" borderId="12" xfId="6" applyFont="1" applyBorder="1" applyAlignment="1">
      <alignment horizontal="center" vertical="center"/>
    </xf>
    <xf numFmtId="0" fontId="30" fillId="0" borderId="28" xfId="6" applyFont="1" applyBorder="1" applyAlignment="1">
      <alignment horizontal="center" vertical="center"/>
    </xf>
    <xf numFmtId="0" fontId="30" fillId="0" borderId="30" xfId="6" applyFont="1" applyBorder="1" applyAlignment="1">
      <alignment horizontal="center" vertical="center"/>
    </xf>
    <xf numFmtId="0" fontId="30" fillId="0" borderId="32" xfId="6" applyFont="1" applyBorder="1" applyAlignment="1">
      <alignment horizontal="center" vertical="center"/>
    </xf>
    <xf numFmtId="0" fontId="16" fillId="2" borderId="131" xfId="6" applyFont="1" applyFill="1" applyBorder="1" applyAlignment="1">
      <alignment horizontal="center" vertical="center"/>
    </xf>
    <xf numFmtId="0" fontId="16" fillId="2" borderId="26" xfId="6" applyFont="1" applyFill="1" applyBorder="1" applyAlignment="1">
      <alignment horizontal="center" vertical="center"/>
    </xf>
    <xf numFmtId="0" fontId="16" fillId="2" borderId="27" xfId="6" applyFont="1" applyFill="1" applyBorder="1" applyAlignment="1">
      <alignment horizontal="center" vertical="center"/>
    </xf>
    <xf numFmtId="0" fontId="34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30" fillId="0" borderId="133" xfId="6" applyFont="1" applyBorder="1" applyAlignment="1">
      <alignment horizontal="center" vertical="center" wrapText="1" shrinkToFit="1"/>
    </xf>
    <xf numFmtId="0" fontId="30" fillId="0" borderId="134" xfId="6" applyFont="1" applyBorder="1" applyAlignment="1">
      <alignment horizontal="center" vertical="center" wrapText="1" shrinkToFit="1"/>
    </xf>
    <xf numFmtId="0" fontId="16" fillId="2" borderId="80" xfId="6" applyFont="1" applyFill="1" applyBorder="1" applyAlignment="1">
      <alignment horizontal="center" vertical="center"/>
    </xf>
    <xf numFmtId="0" fontId="30" fillId="0" borderId="80" xfId="6" applyFont="1" applyBorder="1" applyAlignment="1">
      <alignment horizontal="center" vertical="center" wrapText="1" shrinkToFit="1"/>
    </xf>
    <xf numFmtId="0" fontId="30" fillId="0" borderId="81" xfId="6" applyFont="1" applyBorder="1" applyAlignment="1">
      <alignment horizontal="center" vertical="center" wrapText="1" shrinkToFit="1"/>
    </xf>
    <xf numFmtId="0" fontId="30" fillId="0" borderId="135" xfId="6" applyFont="1" applyBorder="1" applyAlignment="1">
      <alignment horizontal="center" vertical="center" wrapText="1" shrinkToFit="1"/>
    </xf>
    <xf numFmtId="0" fontId="30" fillId="0" borderId="136" xfId="6" applyFont="1" applyBorder="1" applyAlignment="1">
      <alignment horizontal="center" vertical="center" wrapText="1" shrinkToFit="1"/>
    </xf>
    <xf numFmtId="0" fontId="30" fillId="0" borderId="137" xfId="6" applyFont="1" applyBorder="1" applyAlignment="1">
      <alignment horizontal="center" vertical="center" wrapText="1" shrinkToFit="1"/>
    </xf>
    <xf numFmtId="0" fontId="26" fillId="0" borderId="140" xfId="6" applyFont="1" applyBorder="1" applyAlignment="1">
      <alignment horizontal="center" vertical="center"/>
    </xf>
    <xf numFmtId="0" fontId="16" fillId="2" borderId="139" xfId="6" applyFont="1" applyFill="1" applyBorder="1" applyAlignment="1">
      <alignment horizontal="center" vertical="center"/>
    </xf>
    <xf numFmtId="0" fontId="30" fillId="0" borderId="138" xfId="6" applyFont="1" applyBorder="1" applyAlignment="1">
      <alignment horizontal="center" vertical="center"/>
    </xf>
    <xf numFmtId="0" fontId="0" fillId="0" borderId="80" xfId="0" applyBorder="1" applyAlignment="1">
      <alignment vertical="center"/>
    </xf>
    <xf numFmtId="0" fontId="0" fillId="0" borderId="148" xfId="0" applyBorder="1" applyAlignment="1">
      <alignment vertical="center"/>
    </xf>
    <xf numFmtId="0" fontId="30" fillId="0" borderId="80" xfId="6" applyFont="1" applyBorder="1" applyAlignment="1">
      <alignment horizontal="center" vertical="center"/>
    </xf>
    <xf numFmtId="0" fontId="30" fillId="0" borderId="81" xfId="6" applyFont="1" applyBorder="1" applyAlignment="1">
      <alignment horizontal="center" vertical="center"/>
    </xf>
    <xf numFmtId="0" fontId="30" fillId="0" borderId="132" xfId="6" applyFont="1" applyBorder="1" applyAlignment="1">
      <alignment horizontal="center" vertical="center" wrapText="1" shrinkToFit="1"/>
    </xf>
    <xf numFmtId="0" fontId="15" fillId="0" borderId="145" xfId="0" applyFont="1" applyBorder="1" applyAlignment="1">
      <alignment horizontal="center" vertical="center" wrapText="1"/>
    </xf>
    <xf numFmtId="0" fontId="15" fillId="0" borderId="145" xfId="0" applyFont="1" applyBorder="1" applyAlignment="1">
      <alignment vertical="center"/>
    </xf>
    <xf numFmtId="0" fontId="15" fillId="0" borderId="146" xfId="0" applyFont="1" applyBorder="1" applyAlignment="1">
      <alignment vertical="center"/>
    </xf>
    <xf numFmtId="0" fontId="15" fillId="0" borderId="4" xfId="0" applyFont="1" applyBorder="1" applyAlignment="1">
      <alignment horizontal="distributed" vertical="center"/>
    </xf>
    <xf numFmtId="0" fontId="15" fillId="0" borderId="93" xfId="0" applyFont="1" applyBorder="1" applyAlignment="1">
      <alignment horizontal="distributed" vertical="center"/>
    </xf>
    <xf numFmtId="0" fontId="15" fillId="0" borderId="145" xfId="0" applyFont="1" applyBorder="1" applyAlignment="1">
      <alignment horizontal="center" vertical="center"/>
    </xf>
    <xf numFmtId="0" fontId="15" fillId="0" borderId="10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5" fillId="0" borderId="138" xfId="0" applyFont="1" applyBorder="1" applyAlignment="1">
      <alignment horizontal="center" vertical="center"/>
    </xf>
    <xf numFmtId="0" fontId="0" fillId="0" borderId="80" xfId="0" applyBorder="1">
      <alignment vertical="center"/>
    </xf>
    <xf numFmtId="0" fontId="0" fillId="0" borderId="139" xfId="0" applyBorder="1">
      <alignment vertical="center"/>
    </xf>
    <xf numFmtId="0" fontId="15" fillId="0" borderId="80" xfId="0" applyFont="1" applyBorder="1" applyAlignment="1">
      <alignment horizontal="center" vertical="center"/>
    </xf>
    <xf numFmtId="0" fontId="15" fillId="0" borderId="139" xfId="0" applyFont="1" applyBorder="1" applyAlignment="1">
      <alignment horizontal="center" vertical="center"/>
    </xf>
    <xf numFmtId="0" fontId="15" fillId="0" borderId="31" xfId="0" applyFont="1" applyBorder="1" applyAlignment="1">
      <alignment horizontal="distributed" vertical="center"/>
    </xf>
    <xf numFmtId="0" fontId="15" fillId="0" borderId="36" xfId="0" applyFont="1" applyBorder="1" applyAlignment="1">
      <alignment horizontal="distributed" vertical="center"/>
    </xf>
    <xf numFmtId="0" fontId="15" fillId="0" borderId="44" xfId="0" applyFont="1" applyBorder="1" applyAlignment="1">
      <alignment horizontal="distributed" vertical="center"/>
    </xf>
    <xf numFmtId="0" fontId="18" fillId="0" borderId="141" xfId="0" applyFont="1" applyBorder="1" applyAlignment="1">
      <alignment horizontal="center" vertical="center"/>
    </xf>
    <xf numFmtId="0" fontId="18" fillId="0" borderId="142" xfId="0" applyFont="1" applyBorder="1" applyAlignment="1">
      <alignment horizontal="center" vertical="center"/>
    </xf>
    <xf numFmtId="178" fontId="18" fillId="0" borderId="143" xfId="0" applyNumberFormat="1" applyFont="1" applyBorder="1" applyAlignment="1">
      <alignment horizontal="center" vertical="center"/>
    </xf>
    <xf numFmtId="178" fontId="18" fillId="0" borderId="142" xfId="0" applyNumberFormat="1" applyFont="1" applyBorder="1" applyAlignment="1">
      <alignment horizontal="center" vertical="center"/>
    </xf>
    <xf numFmtId="0" fontId="18" fillId="3" borderId="144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78" fontId="18" fillId="0" borderId="10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3" borderId="12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vertical="center"/>
    </xf>
    <xf numFmtId="178" fontId="16" fillId="0" borderId="23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178" fontId="18" fillId="0" borderId="4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3"/>
  <sheetViews>
    <sheetView workbookViewId="0">
      <selection activeCell="A14" sqref="A14"/>
    </sheetView>
  </sheetViews>
  <sheetFormatPr defaultRowHeight="13.5"/>
  <cols>
    <col min="1" max="1" width="101.77734375" style="27" customWidth="1"/>
    <col min="2" max="2" width="35.77734375" customWidth="1"/>
    <col min="3" max="3" width="41.44140625" customWidth="1"/>
  </cols>
  <sheetData>
    <row r="1" spans="1:1" s="1" customFormat="1">
      <c r="A1" s="27"/>
    </row>
    <row r="2" spans="1:1" s="1" customFormat="1">
      <c r="A2" s="27"/>
    </row>
    <row r="3" spans="1:1" s="1" customFormat="1">
      <c r="A3" s="27"/>
    </row>
    <row r="4" spans="1:1" s="1" customFormat="1" ht="20.25">
      <c r="A4" s="28" t="s">
        <v>730</v>
      </c>
    </row>
    <row r="5" spans="1:1" s="1" customFormat="1" ht="20.25">
      <c r="A5" s="28"/>
    </row>
    <row r="6" spans="1:1" s="1" customFormat="1" ht="20.25">
      <c r="A6" s="28"/>
    </row>
    <row r="7" spans="1:1" s="1" customFormat="1" ht="20.25">
      <c r="A7" s="28"/>
    </row>
    <row r="8" spans="1:1" s="1" customFormat="1" ht="20.25">
      <c r="A8" s="28"/>
    </row>
    <row r="9" spans="1:1" s="1" customFormat="1" ht="20.25">
      <c r="A9" s="28"/>
    </row>
    <row r="10" spans="1:1" s="1" customFormat="1" ht="20.25">
      <c r="A10" s="28"/>
    </row>
    <row r="11" spans="1:1" s="1" customFormat="1" ht="79.5" customHeight="1">
      <c r="A11" s="29" t="s">
        <v>858</v>
      </c>
    </row>
    <row r="12" spans="1:1" s="1" customFormat="1" ht="46.5">
      <c r="A12" s="487" t="s">
        <v>762</v>
      </c>
    </row>
    <row r="13" spans="1:1" s="1" customFormat="1" ht="46.5">
      <c r="A13" s="29"/>
    </row>
    <row r="14" spans="1:1" s="1" customFormat="1" ht="46.5">
      <c r="A14" s="29"/>
    </row>
    <row r="15" spans="1:1" s="1" customFormat="1" ht="46.5">
      <c r="A15" s="29"/>
    </row>
    <row r="16" spans="1:1" s="1" customFormat="1" ht="46.5">
      <c r="A16" s="29"/>
    </row>
    <row r="17" spans="1:1" s="1" customFormat="1" ht="19.5" customHeight="1">
      <c r="A17" s="29"/>
    </row>
    <row r="18" spans="1:1" s="1" customFormat="1" ht="19.5" customHeight="1">
      <c r="A18" s="29"/>
    </row>
    <row r="19" spans="1:1" s="1" customFormat="1" ht="19.5" customHeight="1">
      <c r="A19" s="29"/>
    </row>
    <row r="20" spans="1:1" s="1" customFormat="1">
      <c r="A20" s="27"/>
    </row>
    <row r="21" spans="1:1" s="1" customFormat="1">
      <c r="A21" s="27"/>
    </row>
    <row r="22" spans="1:1" s="1" customFormat="1">
      <c r="A22" s="27"/>
    </row>
    <row r="23" spans="1:1" s="1" customFormat="1" ht="19.5">
      <c r="A23" s="303" t="s">
        <v>305</v>
      </c>
    </row>
    <row r="24" spans="1:1" s="1" customFormat="1" ht="31.5">
      <c r="A24" s="30" t="s">
        <v>304</v>
      </c>
    </row>
    <row r="25" spans="1:1" s="1" customFormat="1">
      <c r="A25" s="27"/>
    </row>
    <row r="26" spans="1:1" s="1" customFormat="1">
      <c r="A26" s="27"/>
    </row>
    <row r="27" spans="1:1" s="1" customFormat="1">
      <c r="A27" s="27"/>
    </row>
    <row r="28" spans="1:1" s="1" customFormat="1">
      <c r="A28" s="27"/>
    </row>
    <row r="29" spans="1:1" s="1" customFormat="1">
      <c r="A29" s="27"/>
    </row>
    <row r="30" spans="1:1" s="1" customFormat="1">
      <c r="A30" s="27"/>
    </row>
    <row r="31" spans="1:1" s="1" customFormat="1">
      <c r="A31" s="27"/>
    </row>
    <row r="32" spans="1:1" s="1" customFormat="1">
      <c r="A32" s="27"/>
    </row>
    <row r="33" spans="1:1" s="1" customFormat="1">
      <c r="A33" s="27"/>
    </row>
    <row r="67" spans="5:5" hidden="1">
      <c r="E67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8"/>
  <sheetViews>
    <sheetView workbookViewId="0">
      <selection activeCell="L17" sqref="L17"/>
    </sheetView>
  </sheetViews>
  <sheetFormatPr defaultRowHeight="13.5"/>
  <cols>
    <col min="1" max="1" width="8.5546875" style="31" customWidth="1"/>
    <col min="2" max="2" width="1.21875" style="27" customWidth="1"/>
    <col min="3" max="3" width="2.21875" style="32" customWidth="1"/>
    <col min="4" max="4" width="2.33203125" style="32" customWidth="1"/>
    <col min="5" max="5" width="7.33203125" style="32" customWidth="1"/>
    <col min="6" max="6" width="9.77734375" style="32" customWidth="1"/>
    <col min="7" max="7" width="8.44140625" style="27" customWidth="1"/>
    <col min="8" max="9" width="8.33203125" style="27" customWidth="1"/>
    <col min="10" max="11" width="8.88671875" style="27"/>
    <col min="12" max="12" width="26.109375" style="27" customWidth="1"/>
    <col min="13" max="13" width="15.109375" bestFit="1" customWidth="1"/>
  </cols>
  <sheetData>
    <row r="1" spans="1:13" s="1" customFormat="1" ht="37.5" customHeight="1">
      <c r="A1" s="905" t="s">
        <v>859</v>
      </c>
      <c r="B1" s="906"/>
      <c r="C1" s="906"/>
      <c r="D1" s="906"/>
      <c r="E1" s="906"/>
      <c r="F1" s="906"/>
      <c r="G1" s="906"/>
      <c r="H1" s="906"/>
      <c r="I1" s="906"/>
      <c r="J1" s="906"/>
      <c r="K1" s="906"/>
      <c r="L1" s="906"/>
    </row>
    <row r="2" spans="1:13" s="1" customFormat="1">
      <c r="A2" s="31"/>
      <c r="B2" s="27"/>
      <c r="C2" s="32"/>
      <c r="D2" s="32"/>
      <c r="E2" s="32"/>
      <c r="F2" s="32"/>
      <c r="G2" s="27"/>
      <c r="H2" s="27"/>
      <c r="I2" s="27"/>
      <c r="J2" s="27"/>
      <c r="K2" s="27"/>
      <c r="L2" s="27"/>
    </row>
    <row r="3" spans="1:13" s="1" customFormat="1">
      <c r="A3" s="31"/>
      <c r="B3" s="27"/>
      <c r="C3" s="32"/>
      <c r="D3" s="32"/>
      <c r="E3" s="32"/>
      <c r="F3" s="32"/>
      <c r="G3" s="27"/>
      <c r="H3" s="27"/>
      <c r="I3" s="27"/>
      <c r="J3" s="27"/>
      <c r="K3" s="27"/>
      <c r="L3" s="27"/>
    </row>
    <row r="4" spans="1:13" s="1" customFormat="1" ht="21" customHeight="1">
      <c r="A4" s="31" t="s">
        <v>66</v>
      </c>
      <c r="B4" s="27"/>
      <c r="C4" s="908" t="s">
        <v>940</v>
      </c>
      <c r="D4" s="908"/>
      <c r="E4" s="908"/>
      <c r="F4" s="908"/>
      <c r="G4" s="908"/>
      <c r="H4" s="908"/>
      <c r="I4" s="908"/>
      <c r="J4" s="908"/>
      <c r="K4" s="908"/>
      <c r="L4" s="908"/>
    </row>
    <row r="5" spans="1:13" s="1" customFormat="1" ht="21" customHeight="1">
      <c r="A5" s="31"/>
      <c r="B5" s="27"/>
      <c r="C5" s="909" t="s">
        <v>751</v>
      </c>
      <c r="D5" s="909"/>
      <c r="E5" s="909"/>
      <c r="F5" s="909"/>
      <c r="G5" s="909"/>
      <c r="H5" s="909"/>
      <c r="I5" s="909"/>
      <c r="J5" s="909"/>
      <c r="K5" s="909"/>
      <c r="L5" s="909"/>
    </row>
    <row r="6" spans="1:13" s="1" customFormat="1" ht="21" customHeight="1">
      <c r="A6" s="31"/>
      <c r="B6" s="27"/>
      <c r="C6" s="908" t="s">
        <v>941</v>
      </c>
      <c r="D6" s="908"/>
      <c r="E6" s="908"/>
      <c r="F6" s="908"/>
      <c r="G6" s="908"/>
      <c r="H6" s="908"/>
      <c r="I6" s="908"/>
      <c r="J6" s="908"/>
      <c r="K6" s="908"/>
      <c r="L6" s="908"/>
    </row>
    <row r="7" spans="1:13" s="1" customFormat="1" ht="12" customHeight="1">
      <c r="A7" s="31"/>
      <c r="B7" s="27"/>
      <c r="C7" s="32"/>
      <c r="D7" s="32"/>
      <c r="E7" s="32"/>
      <c r="F7" s="32"/>
      <c r="G7" s="27"/>
      <c r="H7" s="27"/>
      <c r="I7" s="27"/>
      <c r="J7" s="27"/>
      <c r="K7" s="27"/>
      <c r="L7" s="27"/>
    </row>
    <row r="8" spans="1:13" s="1" customFormat="1" ht="21" customHeight="1">
      <c r="A8" s="31" t="s">
        <v>67</v>
      </c>
      <c r="B8" s="27"/>
      <c r="C8" s="797" t="s">
        <v>860</v>
      </c>
      <c r="D8" s="34"/>
      <c r="E8" s="34"/>
      <c r="F8" s="32"/>
      <c r="G8" s="904">
        <f>'나.세입세출(총괄)'!E6</f>
        <v>3126390000</v>
      </c>
      <c r="H8" s="904"/>
      <c r="I8" s="908" t="s">
        <v>942</v>
      </c>
      <c r="J8" s="908"/>
      <c r="K8" s="908"/>
      <c r="L8" s="908"/>
    </row>
    <row r="9" spans="1:13" s="1" customFormat="1" ht="13.5" customHeight="1">
      <c r="A9" s="31"/>
      <c r="B9" s="27"/>
      <c r="C9" s="33"/>
      <c r="D9" s="907"/>
      <c r="E9" s="907"/>
      <c r="F9" s="907"/>
      <c r="G9" s="34"/>
      <c r="H9" s="35"/>
      <c r="I9" s="35"/>
      <c r="J9" s="34"/>
      <c r="K9" s="34"/>
      <c r="L9" s="34"/>
    </row>
    <row r="10" spans="1:13" s="1" customFormat="1" ht="21" customHeight="1">
      <c r="A10" s="647"/>
      <c r="B10" s="646"/>
      <c r="C10" s="802" t="s">
        <v>861</v>
      </c>
      <c r="D10" s="800"/>
      <c r="E10" s="800"/>
      <c r="F10" s="800"/>
      <c r="G10" s="797"/>
      <c r="H10" s="35"/>
      <c r="I10" s="35"/>
      <c r="J10" s="797"/>
      <c r="K10" s="797"/>
      <c r="L10" s="797"/>
    </row>
    <row r="11" spans="1:13" s="1" customFormat="1" ht="21" customHeight="1">
      <c r="A11" s="31"/>
      <c r="B11" s="27"/>
      <c r="C11" s="796"/>
      <c r="D11" s="647" t="s">
        <v>862</v>
      </c>
      <c r="E11" s="898" t="s">
        <v>47</v>
      </c>
      <c r="F11" s="898"/>
      <c r="G11" s="37"/>
      <c r="H11" s="902">
        <f>'나.세입세출(총괄)'!E7</f>
        <v>104400000</v>
      </c>
      <c r="I11" s="902"/>
      <c r="J11" s="27" t="s">
        <v>36</v>
      </c>
      <c r="K11" s="27"/>
      <c r="L11" s="27"/>
      <c r="M11" s="23"/>
    </row>
    <row r="12" spans="1:13" s="1" customFormat="1" ht="21" customHeight="1">
      <c r="A12" s="31"/>
      <c r="B12" s="27"/>
      <c r="C12" s="32"/>
      <c r="D12" s="647" t="s">
        <v>863</v>
      </c>
      <c r="E12" s="898" t="s">
        <v>387</v>
      </c>
      <c r="F12" s="898"/>
      <c r="G12" s="37"/>
      <c r="H12" s="902">
        <f>'나.세입세출(총괄)'!E10</f>
        <v>0</v>
      </c>
      <c r="I12" s="902"/>
      <c r="J12" s="27" t="s">
        <v>36</v>
      </c>
      <c r="K12" s="27"/>
      <c r="L12" s="27"/>
      <c r="M12" s="23"/>
    </row>
    <row r="13" spans="1:13" s="1" customFormat="1" ht="21" customHeight="1">
      <c r="A13" s="31"/>
      <c r="B13" s="27"/>
      <c r="C13" s="32"/>
      <c r="D13" s="647" t="s">
        <v>865</v>
      </c>
      <c r="E13" s="898" t="s">
        <v>343</v>
      </c>
      <c r="F13" s="898"/>
      <c r="G13" s="37"/>
      <c r="H13" s="902">
        <f>'나.세입세출(총괄)'!E17+'나.세입세출(총괄)'!E21+'나.세입세출(총괄)'!E21</f>
        <v>2358791352</v>
      </c>
      <c r="I13" s="902"/>
      <c r="J13" s="27" t="s">
        <v>36</v>
      </c>
      <c r="K13" s="27"/>
      <c r="L13" s="27"/>
      <c r="M13" s="23"/>
    </row>
    <row r="14" spans="1:13" s="1" customFormat="1" ht="21" customHeight="1">
      <c r="A14" s="31"/>
      <c r="B14" s="27"/>
      <c r="C14" s="32"/>
      <c r="D14" s="647" t="s">
        <v>866</v>
      </c>
      <c r="E14" s="898" t="s">
        <v>102</v>
      </c>
      <c r="F14" s="898"/>
      <c r="G14" s="27"/>
      <c r="H14" s="902">
        <f>'다-2.후원금세입내역 '!E16</f>
        <v>317100000</v>
      </c>
      <c r="I14" s="902"/>
      <c r="J14" s="27" t="s">
        <v>36</v>
      </c>
      <c r="K14" s="27"/>
      <c r="L14" s="27"/>
    </row>
    <row r="15" spans="1:13" s="1" customFormat="1" ht="21" customHeight="1">
      <c r="A15" s="31"/>
      <c r="B15" s="27"/>
      <c r="C15" s="32"/>
      <c r="D15" s="647" t="s">
        <v>867</v>
      </c>
      <c r="E15" s="898" t="s">
        <v>273</v>
      </c>
      <c r="F15" s="898"/>
      <c r="G15" s="27"/>
      <c r="H15" s="902"/>
      <c r="I15" s="902"/>
      <c r="J15" s="27" t="s">
        <v>36</v>
      </c>
      <c r="K15" s="27"/>
      <c r="L15" s="27"/>
    </row>
    <row r="16" spans="1:13" s="1" customFormat="1" ht="21" customHeight="1">
      <c r="A16" s="31"/>
      <c r="B16" s="27"/>
      <c r="C16" s="32"/>
      <c r="D16" s="647" t="s">
        <v>868</v>
      </c>
      <c r="E16" s="898" t="s">
        <v>103</v>
      </c>
      <c r="F16" s="898"/>
      <c r="G16" s="27"/>
      <c r="H16" s="902">
        <f>'다-1.자부담세입내역'!E23</f>
        <v>20000000</v>
      </c>
      <c r="I16" s="902"/>
      <c r="J16" s="27" t="s">
        <v>36</v>
      </c>
      <c r="K16" s="27"/>
      <c r="L16" s="27"/>
    </row>
    <row r="17" spans="1:13" s="1" customFormat="1" ht="21" customHeight="1">
      <c r="A17" s="31"/>
      <c r="B17" s="27"/>
      <c r="C17" s="32"/>
      <c r="D17" s="647" t="s">
        <v>869</v>
      </c>
      <c r="E17" s="898" t="s">
        <v>303</v>
      </c>
      <c r="F17" s="898"/>
      <c r="G17" s="27"/>
      <c r="H17" s="902">
        <f>'나.세입세출(총괄)'!E39</f>
        <v>284604921</v>
      </c>
      <c r="I17" s="902"/>
      <c r="J17" s="27" t="s">
        <v>36</v>
      </c>
      <c r="K17" s="27"/>
      <c r="L17" s="27"/>
    </row>
    <row r="18" spans="1:13" s="1" customFormat="1" ht="21" customHeight="1">
      <c r="A18" s="31"/>
      <c r="B18" s="27"/>
      <c r="C18" s="32"/>
      <c r="D18" s="647" t="s">
        <v>870</v>
      </c>
      <c r="E18" s="898" t="s">
        <v>51</v>
      </c>
      <c r="F18" s="898"/>
      <c r="G18" s="27"/>
      <c r="H18" s="902">
        <f>'나.세입세출(총괄)'!E43</f>
        <v>41493727</v>
      </c>
      <c r="I18" s="902"/>
      <c r="J18" s="27" t="s">
        <v>36</v>
      </c>
      <c r="K18" s="27"/>
      <c r="L18" s="27"/>
    </row>
    <row r="19" spans="1:13" s="1" customFormat="1" ht="21" customHeight="1">
      <c r="A19" s="647"/>
      <c r="B19" s="646"/>
      <c r="C19" s="803" t="s">
        <v>871</v>
      </c>
      <c r="D19" s="647"/>
      <c r="E19" s="799"/>
      <c r="F19" s="799"/>
      <c r="G19" s="646"/>
      <c r="H19" s="798"/>
      <c r="I19" s="798"/>
      <c r="J19" s="646"/>
      <c r="K19" s="646"/>
      <c r="L19" s="646"/>
    </row>
    <row r="20" spans="1:13" s="1" customFormat="1" ht="21" customHeight="1">
      <c r="A20" s="31"/>
      <c r="B20" s="27"/>
      <c r="C20" s="32"/>
      <c r="D20" s="647" t="s">
        <v>872</v>
      </c>
      <c r="E20" s="898" t="s">
        <v>874</v>
      </c>
      <c r="F20" s="898"/>
      <c r="G20" s="646"/>
      <c r="H20" s="902">
        <f>라.보조금세출내역!F7</f>
        <v>1894861560</v>
      </c>
      <c r="I20" s="902"/>
      <c r="J20" s="34" t="s">
        <v>36</v>
      </c>
      <c r="K20" s="34"/>
      <c r="L20" s="27"/>
    </row>
    <row r="21" spans="1:13" s="1" customFormat="1" ht="21" customHeight="1">
      <c r="A21" s="31"/>
      <c r="B21" s="27"/>
      <c r="C21" s="32"/>
      <c r="D21" s="647" t="s">
        <v>873</v>
      </c>
      <c r="E21" s="898" t="s">
        <v>875</v>
      </c>
      <c r="F21" s="898"/>
      <c r="G21" s="646"/>
      <c r="H21" s="902">
        <f>라.보조금세출내역!F47</f>
        <v>9300000</v>
      </c>
      <c r="I21" s="902"/>
      <c r="J21" s="34" t="s">
        <v>36</v>
      </c>
      <c r="K21" s="34"/>
      <c r="L21" s="27"/>
    </row>
    <row r="22" spans="1:13" s="1" customFormat="1" ht="21" customHeight="1">
      <c r="A22" s="31"/>
      <c r="B22" s="27"/>
      <c r="C22" s="32"/>
      <c r="D22" s="647" t="s">
        <v>864</v>
      </c>
      <c r="E22" s="898" t="s">
        <v>876</v>
      </c>
      <c r="F22" s="898"/>
      <c r="G22" s="646"/>
      <c r="H22" s="902">
        <f>라.보조금세출내역!F52</f>
        <v>454718792</v>
      </c>
      <c r="I22" s="902"/>
      <c r="J22" s="34" t="s">
        <v>36</v>
      </c>
      <c r="K22" s="34"/>
      <c r="L22" s="27"/>
    </row>
    <row r="23" spans="1:13" s="1" customFormat="1" ht="21" customHeight="1">
      <c r="A23" s="31"/>
      <c r="B23" s="27"/>
      <c r="C23" s="32"/>
      <c r="D23" s="647" t="s">
        <v>866</v>
      </c>
      <c r="E23" s="898" t="s">
        <v>877</v>
      </c>
      <c r="F23" s="898"/>
      <c r="G23" s="646"/>
      <c r="H23" s="902">
        <v>0</v>
      </c>
      <c r="I23" s="902"/>
      <c r="J23" s="34" t="s">
        <v>36</v>
      </c>
      <c r="K23" s="34"/>
      <c r="L23" s="27"/>
    </row>
    <row r="24" spans="1:13" s="1" customFormat="1" ht="21" customHeight="1">
      <c r="A24" s="31"/>
      <c r="B24" s="27"/>
      <c r="C24" s="32"/>
      <c r="D24" s="647" t="s">
        <v>867</v>
      </c>
      <c r="E24" s="898" t="s">
        <v>878</v>
      </c>
      <c r="F24" s="898"/>
      <c r="G24" s="646"/>
      <c r="H24" s="902">
        <f>라.보조금세출내역!F119</f>
        <v>692243</v>
      </c>
      <c r="I24" s="902"/>
      <c r="J24" s="34" t="s">
        <v>36</v>
      </c>
      <c r="K24" s="34"/>
      <c r="L24" s="27"/>
    </row>
    <row r="25" spans="1:13" s="1" customFormat="1" ht="21" customHeight="1">
      <c r="A25" s="31"/>
      <c r="B25" s="27"/>
      <c r="C25" s="32"/>
      <c r="D25" s="647" t="s">
        <v>868</v>
      </c>
      <c r="E25" s="898" t="s">
        <v>879</v>
      </c>
      <c r="F25" s="898"/>
      <c r="G25" s="646"/>
      <c r="H25" s="903">
        <f>'나.세입세출(총괄)'!L66</f>
        <v>25617405</v>
      </c>
      <c r="I25" s="903"/>
      <c r="J25" s="34" t="s">
        <v>36</v>
      </c>
      <c r="K25" s="34"/>
      <c r="L25" s="27"/>
    </row>
    <row r="26" spans="1:13" s="1" customFormat="1" ht="21" customHeight="1">
      <c r="A26" s="31"/>
      <c r="B26" s="27"/>
      <c r="C26" s="32"/>
      <c r="D26" s="647" t="s">
        <v>869</v>
      </c>
      <c r="E26" s="898" t="s">
        <v>880</v>
      </c>
      <c r="F26" s="898"/>
      <c r="G26" s="646"/>
      <c r="H26" s="902">
        <f>마.개요!E19+마.개요!E20</f>
        <v>86300000</v>
      </c>
      <c r="I26" s="902"/>
      <c r="J26" s="34" t="s">
        <v>36</v>
      </c>
      <c r="K26" s="34"/>
      <c r="L26" s="27"/>
    </row>
    <row r="27" spans="1:13" s="1" customFormat="1" ht="12" customHeight="1">
      <c r="A27" s="31"/>
      <c r="B27" s="27"/>
      <c r="C27" s="32"/>
      <c r="D27" s="31"/>
      <c r="E27" s="32"/>
      <c r="F27" s="36"/>
      <c r="G27" s="34"/>
      <c r="H27" s="38"/>
      <c r="I27" s="38"/>
      <c r="J27" s="34"/>
      <c r="K27" s="27"/>
      <c r="L27" s="27"/>
    </row>
    <row r="28" spans="1:13" s="1" customFormat="1">
      <c r="A28" s="804"/>
      <c r="B28" s="806" t="s">
        <v>908</v>
      </c>
      <c r="C28" s="806"/>
      <c r="D28" s="806"/>
      <c r="E28" s="806"/>
      <c r="F28" s="806"/>
      <c r="G28" s="900" t="s">
        <v>939</v>
      </c>
      <c r="H28" s="900"/>
      <c r="I28" s="807" t="s">
        <v>909</v>
      </c>
      <c r="J28" s="901">
        <v>0</v>
      </c>
      <c r="K28" s="901"/>
      <c r="L28" s="805" t="s">
        <v>910</v>
      </c>
      <c r="M28" s="805"/>
    </row>
    <row r="29" spans="1:13" s="1" customFormat="1">
      <c r="A29" s="804"/>
      <c r="B29" s="806"/>
      <c r="C29" s="806"/>
      <c r="D29" s="806"/>
      <c r="E29" s="806"/>
      <c r="F29" s="806"/>
      <c r="G29" s="808"/>
      <c r="H29" s="805"/>
      <c r="I29" s="806"/>
      <c r="J29" s="806"/>
      <c r="K29" s="804"/>
      <c r="L29" s="805"/>
      <c r="M29" s="805"/>
    </row>
    <row r="30" spans="1:13" s="1" customFormat="1">
      <c r="A30" s="804"/>
      <c r="B30" s="806" t="s">
        <v>911</v>
      </c>
      <c r="C30" s="806"/>
      <c r="D30" s="806"/>
      <c r="E30" s="806"/>
      <c r="F30" s="806" t="s">
        <v>932</v>
      </c>
      <c r="G30" s="899" t="s">
        <v>933</v>
      </c>
      <c r="H30" s="899"/>
      <c r="I30" s="807" t="s">
        <v>909</v>
      </c>
      <c r="J30" s="899" t="s">
        <v>934</v>
      </c>
      <c r="K30" s="899"/>
      <c r="L30" s="805" t="s">
        <v>910</v>
      </c>
      <c r="M30" s="805"/>
    </row>
    <row r="31" spans="1:13" s="1" customFormat="1">
      <c r="A31" s="804"/>
      <c r="B31" s="806"/>
      <c r="C31" s="806"/>
      <c r="D31" s="806"/>
      <c r="E31" s="806"/>
      <c r="F31" s="875" t="s">
        <v>935</v>
      </c>
      <c r="G31" s="899" t="s">
        <v>936</v>
      </c>
      <c r="H31" s="899"/>
      <c r="I31" s="807" t="s">
        <v>937</v>
      </c>
      <c r="J31" s="899" t="s">
        <v>938</v>
      </c>
      <c r="K31" s="899"/>
      <c r="L31" s="805" t="s">
        <v>910</v>
      </c>
      <c r="M31" s="805"/>
    </row>
    <row r="32" spans="1:13" s="1" customFormat="1">
      <c r="A32" s="804"/>
      <c r="B32" s="806"/>
      <c r="C32" s="806"/>
      <c r="D32" s="807"/>
      <c r="E32" s="806"/>
      <c r="F32" s="806"/>
      <c r="G32" s="806"/>
      <c r="H32" s="806"/>
      <c r="I32" s="807"/>
      <c r="J32" s="806"/>
      <c r="K32" s="804"/>
      <c r="L32" s="805"/>
      <c r="M32" s="809"/>
    </row>
    <row r="33" spans="1:13" s="1" customFormat="1">
      <c r="A33" s="804" t="s">
        <v>881</v>
      </c>
      <c r="B33" s="804" t="s">
        <v>882</v>
      </c>
      <c r="C33" s="804"/>
      <c r="D33" s="804"/>
      <c r="E33" s="804"/>
      <c r="F33" s="804"/>
      <c r="G33" s="804"/>
      <c r="H33" s="804"/>
      <c r="I33" s="804"/>
      <c r="J33" s="804"/>
      <c r="K33" s="804"/>
      <c r="L33" s="805"/>
      <c r="M33" s="805"/>
    </row>
    <row r="34" spans="1:13" s="1" customFormat="1">
      <c r="A34" s="804"/>
      <c r="B34" s="804"/>
      <c r="C34" s="804"/>
      <c r="D34" s="804"/>
      <c r="E34" s="804"/>
      <c r="F34" s="804"/>
      <c r="G34" s="804"/>
      <c r="H34" s="804"/>
      <c r="I34" s="804"/>
      <c r="J34" s="804"/>
      <c r="K34" s="804"/>
      <c r="L34" s="805"/>
      <c r="M34" s="805"/>
    </row>
    <row r="35" spans="1:13" s="1" customFormat="1">
      <c r="A35" s="804" t="s">
        <v>883</v>
      </c>
      <c r="B35" s="804" t="s">
        <v>884</v>
      </c>
      <c r="C35" s="804"/>
      <c r="D35" s="804"/>
      <c r="E35" s="804"/>
      <c r="F35" s="804"/>
      <c r="G35" s="804"/>
      <c r="H35" s="804"/>
      <c r="I35" s="804"/>
      <c r="J35" s="804"/>
      <c r="K35" s="804"/>
      <c r="L35" s="805"/>
      <c r="M35" s="805"/>
    </row>
    <row r="36" spans="1:13" s="1" customFormat="1">
      <c r="A36" s="804"/>
      <c r="B36" s="804" t="s">
        <v>885</v>
      </c>
      <c r="C36" s="804"/>
      <c r="D36" s="804"/>
      <c r="E36" s="804"/>
      <c r="F36" s="804"/>
      <c r="G36" s="804"/>
      <c r="H36" s="804"/>
      <c r="I36" s="804"/>
      <c r="J36" s="804"/>
      <c r="K36" s="804"/>
      <c r="L36" s="805"/>
      <c r="M36" s="805"/>
    </row>
    <row r="37" spans="1:13" s="1" customFormat="1">
      <c r="A37" s="804"/>
      <c r="B37" s="804"/>
      <c r="C37" s="804"/>
      <c r="D37" s="804"/>
      <c r="E37" s="804"/>
      <c r="F37" s="804"/>
      <c r="G37" s="804"/>
      <c r="H37" s="804"/>
      <c r="I37" s="804"/>
      <c r="J37" s="804"/>
      <c r="K37" s="804"/>
      <c r="L37" s="805"/>
      <c r="M37" s="805"/>
    </row>
    <row r="38" spans="1:13" s="1" customFormat="1">
      <c r="A38" s="804" t="s">
        <v>886</v>
      </c>
      <c r="B38" s="804" t="s">
        <v>887</v>
      </c>
      <c r="C38" s="804"/>
      <c r="D38" s="804"/>
      <c r="E38" s="804"/>
      <c r="F38" s="804"/>
      <c r="G38" s="804"/>
      <c r="H38" s="804"/>
      <c r="I38" s="804"/>
      <c r="J38" s="804"/>
      <c r="K38" s="804"/>
      <c r="L38" s="805"/>
      <c r="M38" s="805"/>
    </row>
    <row r="39" spans="1:13" s="1" customFormat="1">
      <c r="A39" s="804"/>
      <c r="B39" s="804" t="s">
        <v>888</v>
      </c>
      <c r="C39" s="804"/>
      <c r="D39" s="804"/>
      <c r="E39" s="804"/>
      <c r="F39" s="804"/>
      <c r="G39" s="804"/>
      <c r="H39" s="804"/>
      <c r="I39" s="804"/>
      <c r="J39" s="804"/>
      <c r="K39" s="804"/>
      <c r="L39" s="805"/>
      <c r="M39" s="805"/>
    </row>
    <row r="40" spans="1:13" s="1" customFormat="1">
      <c r="A40" s="804"/>
      <c r="B40" s="804"/>
      <c r="C40" s="804"/>
      <c r="D40" s="804"/>
      <c r="E40" s="804"/>
      <c r="F40" s="804"/>
      <c r="G40" s="804"/>
      <c r="H40" s="804"/>
      <c r="I40" s="804"/>
      <c r="J40" s="804"/>
      <c r="K40" s="804"/>
      <c r="L40" s="646"/>
    </row>
    <row r="41" spans="1:13" s="1" customFormat="1">
      <c r="A41" s="804" t="s">
        <v>889</v>
      </c>
      <c r="B41" s="804" t="s">
        <v>890</v>
      </c>
      <c r="C41" s="804"/>
      <c r="D41" s="804"/>
      <c r="E41" s="804"/>
      <c r="F41" s="804"/>
      <c r="G41" s="804"/>
      <c r="H41" s="804"/>
      <c r="I41" s="804"/>
      <c r="J41" s="804"/>
      <c r="K41" s="804"/>
      <c r="L41" s="646"/>
    </row>
    <row r="42" spans="1:13" s="1" customFormat="1">
      <c r="A42" s="804"/>
      <c r="B42" s="804" t="s">
        <v>891</v>
      </c>
      <c r="C42" s="804"/>
      <c r="D42" s="804"/>
      <c r="E42" s="804"/>
      <c r="F42" s="804"/>
      <c r="G42" s="804"/>
      <c r="H42" s="804"/>
      <c r="I42" s="804"/>
      <c r="J42" s="804"/>
      <c r="K42" s="804"/>
      <c r="L42" s="646"/>
    </row>
    <row r="43" spans="1:13" s="1" customFormat="1">
      <c r="A43" s="804"/>
      <c r="B43" s="804"/>
      <c r="C43" s="804"/>
      <c r="D43" s="804"/>
      <c r="E43" s="804"/>
      <c r="F43" s="804"/>
      <c r="G43" s="804"/>
      <c r="H43" s="804"/>
      <c r="I43" s="804"/>
      <c r="J43" s="804"/>
      <c r="K43" s="804"/>
      <c r="L43" s="646"/>
    </row>
    <row r="44" spans="1:13" s="1" customFormat="1">
      <c r="A44" s="804" t="s">
        <v>892</v>
      </c>
      <c r="B44" s="804" t="s">
        <v>893</v>
      </c>
      <c r="C44" s="804"/>
      <c r="D44" s="804"/>
      <c r="E44" s="804"/>
      <c r="F44" s="804"/>
      <c r="G44" s="804"/>
      <c r="H44" s="804"/>
      <c r="I44" s="804"/>
      <c r="J44" s="804"/>
      <c r="K44" s="804"/>
      <c r="L44" s="646"/>
    </row>
    <row r="45" spans="1:13" s="1" customFormat="1">
      <c r="A45" s="804"/>
      <c r="B45" s="804" t="s">
        <v>894</v>
      </c>
      <c r="C45" s="804"/>
      <c r="D45" s="804"/>
      <c r="E45" s="804"/>
      <c r="F45" s="804"/>
      <c r="G45" s="804"/>
      <c r="H45" s="804"/>
      <c r="I45" s="804"/>
      <c r="J45" s="804"/>
      <c r="K45" s="804"/>
      <c r="L45" s="646"/>
    </row>
    <row r="46" spans="1:13" s="1" customFormat="1">
      <c r="A46" s="804"/>
      <c r="B46" s="804" t="s">
        <v>895</v>
      </c>
      <c r="C46" s="804"/>
      <c r="D46" s="804"/>
      <c r="E46" s="804"/>
      <c r="F46" s="804"/>
      <c r="G46" s="804"/>
      <c r="H46" s="804"/>
      <c r="I46" s="804"/>
      <c r="J46" s="804"/>
      <c r="K46" s="804"/>
      <c r="L46" s="646"/>
    </row>
    <row r="47" spans="1:13" s="1" customFormat="1">
      <c r="A47" s="804"/>
      <c r="B47" s="804"/>
      <c r="C47" s="804"/>
      <c r="D47" s="804"/>
      <c r="E47" s="804"/>
      <c r="F47" s="804"/>
      <c r="G47" s="804"/>
      <c r="H47" s="804"/>
      <c r="I47" s="804"/>
      <c r="J47" s="804"/>
      <c r="K47" s="804"/>
      <c r="L47" s="646"/>
    </row>
    <row r="48" spans="1:13" s="1" customFormat="1">
      <c r="A48" s="804" t="s">
        <v>896</v>
      </c>
      <c r="B48" s="804" t="s">
        <v>897</v>
      </c>
      <c r="C48" s="804"/>
      <c r="D48" s="804"/>
      <c r="E48" s="804"/>
      <c r="F48" s="804"/>
      <c r="G48" s="804"/>
      <c r="H48" s="804"/>
      <c r="I48" s="804"/>
      <c r="J48" s="804"/>
      <c r="K48" s="804"/>
      <c r="L48" s="646"/>
    </row>
    <row r="49" spans="1:13" s="1" customFormat="1">
      <c r="A49" s="804"/>
      <c r="B49" s="804" t="s">
        <v>898</v>
      </c>
      <c r="C49" s="804"/>
      <c r="D49" s="804"/>
      <c r="E49" s="804"/>
      <c r="F49" s="804"/>
      <c r="G49" s="804"/>
      <c r="H49" s="804"/>
      <c r="I49" s="804"/>
      <c r="J49" s="804"/>
      <c r="K49" s="804"/>
      <c r="L49" s="646"/>
    </row>
    <row r="50" spans="1:13" s="1" customFormat="1">
      <c r="A50" s="805"/>
      <c r="B50" s="805"/>
      <c r="C50" s="805"/>
      <c r="D50" s="805"/>
      <c r="E50" s="805"/>
      <c r="F50" s="805"/>
      <c r="G50" s="805"/>
      <c r="H50" s="805"/>
      <c r="I50" s="805"/>
      <c r="J50" s="805"/>
      <c r="K50" s="805"/>
      <c r="L50" s="646"/>
    </row>
    <row r="51" spans="1:13" s="1" customFormat="1">
      <c r="A51" s="805" t="s">
        <v>899</v>
      </c>
      <c r="B51" s="805" t="s">
        <v>900</v>
      </c>
      <c r="C51" s="805"/>
      <c r="D51" s="805"/>
      <c r="E51" s="805"/>
      <c r="F51" s="805"/>
      <c r="G51" s="805"/>
      <c r="H51" s="805"/>
      <c r="I51" s="805"/>
      <c r="J51" s="805"/>
      <c r="K51" s="805"/>
      <c r="L51" s="646"/>
    </row>
    <row r="52" spans="1:13" s="1" customFormat="1" ht="13.5" customHeight="1">
      <c r="A52" s="805"/>
      <c r="B52" s="805" t="s">
        <v>901</v>
      </c>
      <c r="C52" s="805"/>
      <c r="D52" s="805"/>
      <c r="E52" s="805"/>
      <c r="F52" s="805"/>
      <c r="G52" s="805"/>
      <c r="H52" s="805"/>
      <c r="I52" s="805"/>
      <c r="J52" s="805"/>
      <c r="K52" s="805"/>
      <c r="L52" s="646"/>
    </row>
    <row r="53" spans="1:13" s="1" customFormat="1">
      <c r="A53" s="805"/>
      <c r="B53" s="805" t="s">
        <v>902</v>
      </c>
      <c r="C53" s="805"/>
      <c r="D53" s="805"/>
      <c r="E53" s="805"/>
      <c r="F53" s="805"/>
      <c r="G53" s="805"/>
      <c r="H53" s="805"/>
      <c r="I53" s="805"/>
      <c r="J53" s="805"/>
      <c r="K53" s="805"/>
      <c r="L53" s="646"/>
    </row>
    <row r="54" spans="1:13">
      <c r="A54" s="805"/>
      <c r="B54" s="805" t="s">
        <v>903</v>
      </c>
      <c r="C54" s="805"/>
      <c r="D54" s="805"/>
      <c r="E54" s="805"/>
      <c r="F54" s="805"/>
      <c r="G54" s="805"/>
      <c r="H54" s="805"/>
      <c r="I54" s="805"/>
      <c r="J54" s="805"/>
      <c r="K54" s="805"/>
      <c r="L54" s="646"/>
      <c r="M54" s="642"/>
    </row>
    <row r="55" spans="1:13">
      <c r="A55" s="805"/>
      <c r="B55" s="805"/>
      <c r="C55" s="805"/>
      <c r="D55" s="805"/>
      <c r="E55" s="805"/>
      <c r="F55" s="805"/>
      <c r="G55" s="805"/>
      <c r="H55" s="805"/>
      <c r="I55" s="805"/>
      <c r="J55" s="805"/>
      <c r="K55" s="805"/>
      <c r="L55" s="646"/>
      <c r="M55" s="642"/>
    </row>
    <row r="56" spans="1:13">
      <c r="A56" s="805" t="s">
        <v>904</v>
      </c>
      <c r="B56" s="805" t="s">
        <v>905</v>
      </c>
      <c r="C56" s="796"/>
      <c r="D56" s="796"/>
      <c r="E56" s="796"/>
      <c r="F56" s="796"/>
      <c r="G56" s="646"/>
      <c r="H56" s="646"/>
      <c r="I56" s="646"/>
      <c r="J56" s="646"/>
      <c r="K56" s="646"/>
      <c r="L56" s="646"/>
      <c r="M56" s="642"/>
    </row>
    <row r="57" spans="1:13">
      <c r="A57" s="805"/>
      <c r="B57" s="805" t="s">
        <v>906</v>
      </c>
      <c r="C57" s="796"/>
      <c r="D57" s="796"/>
      <c r="E57" s="796"/>
      <c r="F57" s="796"/>
      <c r="G57" s="646"/>
      <c r="H57" s="646"/>
      <c r="I57" s="646"/>
      <c r="J57" s="646"/>
      <c r="K57" s="646"/>
      <c r="L57" s="646"/>
      <c r="M57" s="642"/>
    </row>
    <row r="58" spans="1:13" ht="13.5" customHeight="1">
      <c r="A58" s="805"/>
      <c r="B58" s="805" t="s">
        <v>907</v>
      </c>
      <c r="C58" s="796"/>
      <c r="D58" s="796"/>
      <c r="E58" s="796"/>
      <c r="F58" s="796"/>
      <c r="G58" s="646"/>
      <c r="H58" s="646"/>
      <c r="I58" s="646"/>
      <c r="J58" s="646"/>
      <c r="K58" s="646"/>
      <c r="L58" s="646"/>
      <c r="M58" s="642"/>
    </row>
  </sheetData>
  <mergeCells count="43">
    <mergeCell ref="E20:F20"/>
    <mergeCell ref="E21:F21"/>
    <mergeCell ref="E22:F22"/>
    <mergeCell ref="E23:F23"/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  <mergeCell ref="H14:I14"/>
    <mergeCell ref="H15:I15"/>
    <mergeCell ref="H16:I16"/>
    <mergeCell ref="H17:I17"/>
    <mergeCell ref="E14:F14"/>
    <mergeCell ref="E15:F15"/>
    <mergeCell ref="J28:K28"/>
    <mergeCell ref="J30:K30"/>
    <mergeCell ref="H18:I18"/>
    <mergeCell ref="E18:F18"/>
    <mergeCell ref="E16:F16"/>
    <mergeCell ref="E17:F17"/>
    <mergeCell ref="H20:I20"/>
    <mergeCell ref="H21:I21"/>
    <mergeCell ref="H26:I26"/>
    <mergeCell ref="H24:I24"/>
    <mergeCell ref="H25:I25"/>
    <mergeCell ref="H22:I22"/>
    <mergeCell ref="H23:I23"/>
    <mergeCell ref="E24:F24"/>
    <mergeCell ref="E25:F25"/>
    <mergeCell ref="E26:F26"/>
    <mergeCell ref="G30:H30"/>
    <mergeCell ref="G31:H31"/>
    <mergeCell ref="J31:K31"/>
    <mergeCell ref="G28:H28"/>
  </mergeCells>
  <phoneticPr fontId="2" type="noConversion"/>
  <pageMargins left="0.67" right="0.43" top="0.75" bottom="0.34" header="0.19" footer="0.34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92"/>
  <sheetViews>
    <sheetView workbookViewId="0">
      <selection activeCell="G12" sqref="G12"/>
    </sheetView>
  </sheetViews>
  <sheetFormatPr defaultRowHeight="13.5"/>
  <cols>
    <col min="1" max="3" width="8" style="384" customWidth="1"/>
    <col min="4" max="4" width="10.33203125" style="47" customWidth="1"/>
    <col min="5" max="5" width="10.33203125" style="46" customWidth="1"/>
    <col min="6" max="6" width="4.6640625" style="46" customWidth="1"/>
    <col min="7" max="7" width="10.44140625" style="46" customWidth="1"/>
    <col min="8" max="10" width="8" style="384" customWidth="1"/>
    <col min="11" max="11" width="10.5546875" style="47" customWidth="1"/>
    <col min="12" max="12" width="10.5546875" style="46" customWidth="1"/>
    <col min="13" max="13" width="5.109375" style="300" customWidth="1"/>
    <col min="14" max="14" width="9" style="46" customWidth="1"/>
    <col min="16" max="16" width="9.88671875" bestFit="1" customWidth="1"/>
  </cols>
  <sheetData>
    <row r="1" spans="1:18" s="5" customFormat="1" ht="22.5" customHeight="1">
      <c r="A1" s="926" t="s">
        <v>943</v>
      </c>
      <c r="B1" s="927"/>
      <c r="C1" s="927"/>
      <c r="D1" s="43"/>
      <c r="E1" s="75"/>
      <c r="F1" s="44"/>
      <c r="G1" s="44"/>
      <c r="H1" s="926"/>
      <c r="I1" s="927"/>
      <c r="J1" s="927"/>
      <c r="K1" s="43"/>
      <c r="L1" s="44"/>
      <c r="M1" s="299"/>
      <c r="N1" s="44"/>
    </row>
    <row r="2" spans="1:18" s="5" customFormat="1" ht="18" customHeight="1">
      <c r="A2" s="364"/>
      <c r="B2" s="364"/>
      <c r="C2" s="364"/>
      <c r="D2" s="43"/>
      <c r="E2" s="44"/>
      <c r="F2" s="44"/>
      <c r="G2" s="44"/>
      <c r="H2" s="364"/>
      <c r="I2" s="364"/>
      <c r="J2" s="364"/>
      <c r="K2" s="43"/>
      <c r="L2" s="44"/>
      <c r="M2" s="299"/>
      <c r="N2" s="160" t="s">
        <v>299</v>
      </c>
    </row>
    <row r="3" spans="1:18" s="18" customFormat="1" ht="18" customHeight="1">
      <c r="A3" s="923"/>
      <c r="B3" s="924"/>
      <c r="C3" s="924"/>
      <c r="D3" s="924"/>
      <c r="E3" s="924"/>
      <c r="F3" s="924"/>
      <c r="G3" s="925"/>
      <c r="H3" s="931" t="s">
        <v>276</v>
      </c>
      <c r="I3" s="932"/>
      <c r="J3" s="932"/>
      <c r="K3" s="932"/>
      <c r="L3" s="932"/>
      <c r="M3" s="932"/>
      <c r="N3" s="933"/>
    </row>
    <row r="4" spans="1:18" s="17" customFormat="1" ht="19.5" customHeight="1">
      <c r="A4" s="911" t="s">
        <v>4</v>
      </c>
      <c r="B4" s="912"/>
      <c r="C4" s="912"/>
      <c r="D4" s="916" t="s">
        <v>800</v>
      </c>
      <c r="E4" s="916" t="s">
        <v>801</v>
      </c>
      <c r="F4" s="929" t="s">
        <v>391</v>
      </c>
      <c r="G4" s="918" t="s">
        <v>46</v>
      </c>
      <c r="H4" s="928" t="s">
        <v>4</v>
      </c>
      <c r="I4" s="912"/>
      <c r="J4" s="912"/>
      <c r="K4" s="938" t="str">
        <f>D4</f>
        <v>2015년도
1차추경
( A )</v>
      </c>
      <c r="L4" s="936" t="str">
        <f>E4</f>
        <v>2015년도
2차추경
( B )</v>
      </c>
      <c r="M4" s="934" t="s">
        <v>391</v>
      </c>
      <c r="N4" s="913" t="s">
        <v>300</v>
      </c>
    </row>
    <row r="5" spans="1:18" s="17" customFormat="1" ht="19.5" customHeight="1" thickBot="1">
      <c r="A5" s="361" t="s">
        <v>1</v>
      </c>
      <c r="B5" s="362" t="s">
        <v>2</v>
      </c>
      <c r="C5" s="362" t="s">
        <v>3</v>
      </c>
      <c r="D5" s="917"/>
      <c r="E5" s="917"/>
      <c r="F5" s="930"/>
      <c r="G5" s="919"/>
      <c r="H5" s="385" t="s">
        <v>1</v>
      </c>
      <c r="I5" s="362" t="s">
        <v>2</v>
      </c>
      <c r="J5" s="362" t="s">
        <v>3</v>
      </c>
      <c r="K5" s="939"/>
      <c r="L5" s="937"/>
      <c r="M5" s="935"/>
      <c r="N5" s="914"/>
    </row>
    <row r="6" spans="1:18" s="278" customFormat="1" ht="15.75" customHeight="1" thickTop="1">
      <c r="A6" s="922" t="s">
        <v>35</v>
      </c>
      <c r="B6" s="921"/>
      <c r="C6" s="921"/>
      <c r="D6" s="393">
        <f>D7+D13+D16+D36+D39+D43+D10+D30</f>
        <v>3123200000</v>
      </c>
      <c r="E6" s="393">
        <f>E7+E13+E16+E36+E39+E43+E10+E30</f>
        <v>3126390000</v>
      </c>
      <c r="F6" s="562">
        <f>F7+F13+F16+F36+F39+F43+F30+F10</f>
        <v>100</v>
      </c>
      <c r="G6" s="394">
        <f>G7+G13+G16+G36+G39+G43+G10+G30</f>
        <v>3190000.0000001192</v>
      </c>
      <c r="H6" s="920" t="s">
        <v>35</v>
      </c>
      <c r="I6" s="921"/>
      <c r="J6" s="921"/>
      <c r="K6" s="395">
        <f>SUM(K7,K28,K33,K52,K58,K61,K64)</f>
        <v>3123200000</v>
      </c>
      <c r="L6" s="395">
        <f>SUM(L7,L28,L33,L52,L58,L61,L64)</f>
        <v>3126390000</v>
      </c>
      <c r="M6" s="561">
        <f>M7+M28+M33+M55+M58+M61+M64+M52</f>
        <v>100</v>
      </c>
      <c r="N6" s="396">
        <f>N7+N28+N33+N55+N58+N61+N52+N64</f>
        <v>3190000</v>
      </c>
      <c r="P6" s="560"/>
    </row>
    <row r="7" spans="1:18" s="241" customFormat="1" ht="15.75" customHeight="1">
      <c r="A7" s="365" t="s">
        <v>306</v>
      </c>
      <c r="B7" s="915" t="s">
        <v>30</v>
      </c>
      <c r="C7" s="915"/>
      <c r="D7" s="397">
        <v>104400000</v>
      </c>
      <c r="E7" s="397">
        <f t="shared" ref="E7:G8" si="0">E8</f>
        <v>104400000</v>
      </c>
      <c r="F7" s="398">
        <f t="shared" si="0"/>
        <v>3.3393146728335239</v>
      </c>
      <c r="G7" s="399">
        <f t="shared" si="0"/>
        <v>0</v>
      </c>
      <c r="H7" s="387" t="s">
        <v>10</v>
      </c>
      <c r="I7" s="915" t="s">
        <v>30</v>
      </c>
      <c r="J7" s="915"/>
      <c r="K7" s="397">
        <f>SUM(K8,K16,K21)</f>
        <v>2243140480</v>
      </c>
      <c r="L7" s="397">
        <f>SUM(L8,L16,L21)</f>
        <v>2180051560</v>
      </c>
      <c r="M7" s="400">
        <f>M8+M16+M21</f>
        <v>69.730633734115059</v>
      </c>
      <c r="N7" s="401">
        <f>N8+N16+N21</f>
        <v>-63088920</v>
      </c>
      <c r="R7" s="241">
        <v>1194682000</v>
      </c>
    </row>
    <row r="8" spans="1:18" s="241" customFormat="1" ht="15.75" customHeight="1">
      <c r="A8" s="366"/>
      <c r="B8" s="367" t="s">
        <v>256</v>
      </c>
      <c r="C8" s="329" t="s">
        <v>7</v>
      </c>
      <c r="D8" s="397">
        <v>104400000</v>
      </c>
      <c r="E8" s="397">
        <f t="shared" si="0"/>
        <v>104400000</v>
      </c>
      <c r="F8" s="398">
        <f t="shared" si="0"/>
        <v>3.3393146728335239</v>
      </c>
      <c r="G8" s="399">
        <f t="shared" si="0"/>
        <v>0</v>
      </c>
      <c r="H8" s="388"/>
      <c r="I8" s="329" t="s">
        <v>56</v>
      </c>
      <c r="J8" s="329" t="s">
        <v>7</v>
      </c>
      <c r="K8" s="397">
        <f>SUM(K9:K15)</f>
        <v>1955219480</v>
      </c>
      <c r="L8" s="397">
        <f>SUM(L9:L15)</f>
        <v>1897498310</v>
      </c>
      <c r="M8" s="400">
        <f>SUM(M9:M15)</f>
        <v>60.69294969597523</v>
      </c>
      <c r="N8" s="401">
        <f>SUM(N9:N15)</f>
        <v>-57721170</v>
      </c>
    </row>
    <row r="9" spans="1:18" s="241" customFormat="1" ht="15.75" customHeight="1">
      <c r="A9" s="368"/>
      <c r="B9" s="329"/>
      <c r="C9" s="367" t="s">
        <v>256</v>
      </c>
      <c r="D9" s="397">
        <v>104400000</v>
      </c>
      <c r="E9" s="397">
        <f>'다-1.자부담세입내역'!E9</f>
        <v>104400000</v>
      </c>
      <c r="F9" s="398">
        <f>E9/$E$6*100</f>
        <v>3.3393146728335239</v>
      </c>
      <c r="G9" s="399">
        <f>E9-D9</f>
        <v>0</v>
      </c>
      <c r="H9" s="386"/>
      <c r="I9" s="375"/>
      <c r="J9" s="329" t="s">
        <v>11</v>
      </c>
      <c r="K9" s="397">
        <f>라.보조금세출내역!E9+'라-2.후원금세출내역'!E9</f>
        <v>1158682000</v>
      </c>
      <c r="L9" s="397">
        <f>라.보조금세출내역!F9+'라-2.후원금세출내역'!F9</f>
        <v>1141381000</v>
      </c>
      <c r="M9" s="400">
        <f t="shared" ref="M9:M15" si="1">L9/$L$6*100</f>
        <v>36.507953262388888</v>
      </c>
      <c r="N9" s="401">
        <f>L9-K9</f>
        <v>-17301000</v>
      </c>
    </row>
    <row r="10" spans="1:18" s="241" customFormat="1" ht="15.75" customHeight="1">
      <c r="A10" s="369" t="s">
        <v>387</v>
      </c>
      <c r="B10" s="915" t="s">
        <v>235</v>
      </c>
      <c r="C10" s="915"/>
      <c r="D10" s="397">
        <v>0</v>
      </c>
      <c r="E10" s="397">
        <f t="shared" ref="E10:G11" si="2">E11</f>
        <v>0</v>
      </c>
      <c r="F10" s="398">
        <f t="shared" si="2"/>
        <v>0</v>
      </c>
      <c r="G10" s="399">
        <f t="shared" si="2"/>
        <v>0</v>
      </c>
      <c r="H10" s="386"/>
      <c r="I10" s="378"/>
      <c r="J10" s="329" t="s">
        <v>12</v>
      </c>
      <c r="K10" s="397">
        <f>라.보조금세출내역!E10+'라-2.후원금세출내역'!E10</f>
        <v>0</v>
      </c>
      <c r="L10" s="397">
        <f>라.보조금세출내역!F10+'라-2.후원금세출내역'!F10</f>
        <v>0</v>
      </c>
      <c r="M10" s="400">
        <f t="shared" si="1"/>
        <v>0</v>
      </c>
      <c r="N10" s="401">
        <f t="shared" ref="N10:N15" si="3">L10-K10</f>
        <v>0</v>
      </c>
    </row>
    <row r="11" spans="1:18" s="241" customFormat="1" ht="15.75" customHeight="1">
      <c r="A11" s="366"/>
      <c r="B11" s="329" t="s">
        <v>387</v>
      </c>
      <c r="C11" s="329" t="s">
        <v>7</v>
      </c>
      <c r="D11" s="397">
        <v>0</v>
      </c>
      <c r="E11" s="397">
        <f t="shared" si="2"/>
        <v>0</v>
      </c>
      <c r="F11" s="398">
        <f t="shared" si="2"/>
        <v>0</v>
      </c>
      <c r="G11" s="399">
        <f t="shared" si="2"/>
        <v>0</v>
      </c>
      <c r="H11" s="386"/>
      <c r="I11" s="378"/>
      <c r="J11" s="329" t="s">
        <v>277</v>
      </c>
      <c r="K11" s="397">
        <f>라.보조금세출내역!E11+'라-2.후원금세출내역'!E11</f>
        <v>9600000</v>
      </c>
      <c r="L11" s="397">
        <f>라.보조금세출내역!F11+'라-2.후원금세출내역'!F11</f>
        <v>2000000</v>
      </c>
      <c r="M11" s="400">
        <f t="shared" si="1"/>
        <v>6.3971545456580917E-2</v>
      </c>
      <c r="N11" s="401">
        <f t="shared" si="3"/>
        <v>-7600000</v>
      </c>
    </row>
    <row r="12" spans="1:18" s="241" customFormat="1" ht="15.75" customHeight="1">
      <c r="A12" s="368"/>
      <c r="B12" s="329"/>
      <c r="C12" s="329" t="s">
        <v>388</v>
      </c>
      <c r="D12" s="397">
        <v>0</v>
      </c>
      <c r="E12" s="397">
        <f>'다-1.자부담세입내역'!E12</f>
        <v>0</v>
      </c>
      <c r="F12" s="398">
        <f>E12/$E$6*100</f>
        <v>0</v>
      </c>
      <c r="G12" s="399">
        <f>E12-D12</f>
        <v>0</v>
      </c>
      <c r="H12" s="386"/>
      <c r="I12" s="378"/>
      <c r="J12" s="329" t="s">
        <v>14</v>
      </c>
      <c r="K12" s="397">
        <f>라.보조금세출내역!E16+'라-2.후원금세출내역'!E12</f>
        <v>437179850</v>
      </c>
      <c r="L12" s="397">
        <f>라.보조금세출내역!F16+'라-2.후원금세출내역'!F12+'라-1.자부담세출내역'!F12</f>
        <v>406531500</v>
      </c>
      <c r="M12" s="400">
        <f t="shared" si="1"/>
        <v>13.003224165891011</v>
      </c>
      <c r="N12" s="401">
        <f t="shared" si="3"/>
        <v>-30648350</v>
      </c>
    </row>
    <row r="13" spans="1:18" s="241" customFormat="1" ht="15.75" customHeight="1">
      <c r="A13" s="369" t="s">
        <v>50</v>
      </c>
      <c r="B13" s="915" t="s">
        <v>235</v>
      </c>
      <c r="C13" s="915"/>
      <c r="D13" s="397">
        <v>0</v>
      </c>
      <c r="E13" s="397">
        <f t="shared" ref="E13:G14" si="4">E14</f>
        <v>0</v>
      </c>
      <c r="F13" s="398">
        <f t="shared" si="4"/>
        <v>0</v>
      </c>
      <c r="G13" s="399">
        <f t="shared" si="4"/>
        <v>0</v>
      </c>
      <c r="H13" s="386"/>
      <c r="I13" s="378"/>
      <c r="J13" s="376" t="s">
        <v>278</v>
      </c>
      <c r="K13" s="397">
        <f>라.보조금세출내역!E26+'라-2.후원금세출내역'!E26</f>
        <v>144744530</v>
      </c>
      <c r="L13" s="397">
        <f>라.보조금세출내역!F26+'라-2.후원금세출내역'!F26+'라-1.자부담세출내역'!F26</f>
        <v>140594430</v>
      </c>
      <c r="M13" s="400">
        <f t="shared" si="1"/>
        <v>4.4970214848435415</v>
      </c>
      <c r="N13" s="401">
        <f t="shared" si="3"/>
        <v>-4150100</v>
      </c>
    </row>
    <row r="14" spans="1:18" s="241" customFormat="1" ht="15.75" customHeight="1">
      <c r="A14" s="366"/>
      <c r="B14" s="329" t="s">
        <v>237</v>
      </c>
      <c r="C14" s="329" t="s">
        <v>7</v>
      </c>
      <c r="D14" s="397">
        <v>0</v>
      </c>
      <c r="E14" s="397">
        <f t="shared" si="4"/>
        <v>0</v>
      </c>
      <c r="F14" s="398">
        <f t="shared" si="4"/>
        <v>0</v>
      </c>
      <c r="G14" s="399">
        <f t="shared" si="4"/>
        <v>0</v>
      </c>
      <c r="H14" s="386"/>
      <c r="I14" s="378"/>
      <c r="J14" s="379" t="s">
        <v>279</v>
      </c>
      <c r="K14" s="397">
        <f>라.보조금세출내역!E27+'라-2.후원금세출내역'!E27</f>
        <v>160813100</v>
      </c>
      <c r="L14" s="397">
        <f>라.보조금세출내역!F27+'라-2.후원금세출내역'!F27+'라-1.자부담세출내역'!F27</f>
        <v>156991380</v>
      </c>
      <c r="M14" s="400">
        <f t="shared" si="1"/>
        <v>5.0214906009806839</v>
      </c>
      <c r="N14" s="401">
        <f t="shared" si="3"/>
        <v>-3821720</v>
      </c>
    </row>
    <row r="15" spans="1:18" s="241" customFormat="1" ht="15.75" customHeight="1">
      <c r="A15" s="368"/>
      <c r="B15" s="329"/>
      <c r="C15" s="329" t="s">
        <v>237</v>
      </c>
      <c r="D15" s="397">
        <v>0</v>
      </c>
      <c r="E15" s="397">
        <f>다.보조금세입내역!F12+'다-1.자부담세입내역'!E15</f>
        <v>0</v>
      </c>
      <c r="F15" s="398">
        <f>E15/$E$6*100</f>
        <v>0</v>
      </c>
      <c r="G15" s="399">
        <f>E15-D15</f>
        <v>0</v>
      </c>
      <c r="H15" s="386"/>
      <c r="I15" s="377"/>
      <c r="J15" s="367" t="s">
        <v>119</v>
      </c>
      <c r="K15" s="397">
        <f>라.보조금세출내역!E32+'라-1.자부담세출내역'!E32+'라-2.후원금세출내역'!E32</f>
        <v>44200000</v>
      </c>
      <c r="L15" s="397">
        <f>라.보조금세출내역!F32+'라-1.자부담세출내역'!F32+'라-2.후원금세출내역'!F32</f>
        <v>50000000</v>
      </c>
      <c r="M15" s="400">
        <f t="shared" si="1"/>
        <v>1.5992886364145229</v>
      </c>
      <c r="N15" s="401">
        <f t="shared" si="3"/>
        <v>5800000</v>
      </c>
    </row>
    <row r="16" spans="1:18" s="241" customFormat="1" ht="15.75" customHeight="1">
      <c r="A16" s="369" t="s">
        <v>48</v>
      </c>
      <c r="B16" s="915" t="s">
        <v>30</v>
      </c>
      <c r="C16" s="915"/>
      <c r="D16" s="402">
        <f>D17+D21+D23+D28</f>
        <v>2355742860</v>
      </c>
      <c r="E16" s="402">
        <f>E17+E21+E23+E28</f>
        <v>2358791352</v>
      </c>
      <c r="F16" s="403">
        <f>F17+F21+F23+F28</f>
        <v>75.447764098528978</v>
      </c>
      <c r="G16" s="404">
        <f>G17+G21+G23+G28</f>
        <v>3048492.0000001192</v>
      </c>
      <c r="H16" s="386"/>
      <c r="I16" s="329" t="s">
        <v>57</v>
      </c>
      <c r="J16" s="329" t="s">
        <v>7</v>
      </c>
      <c r="K16" s="397">
        <f>SUM(K17:K20)</f>
        <v>30000000</v>
      </c>
      <c r="L16" s="397">
        <f>SUM(L17:L20)</f>
        <v>29000000</v>
      </c>
      <c r="M16" s="400">
        <f>SUM(M17:M20)</f>
        <v>0.92758740912042326</v>
      </c>
      <c r="N16" s="401">
        <f>SUM(N17:N20)</f>
        <v>-1000000</v>
      </c>
    </row>
    <row r="17" spans="1:14" s="241" customFormat="1" ht="15.75" customHeight="1">
      <c r="A17" s="366"/>
      <c r="B17" s="367" t="str">
        <f>다.보조금세입내역!B14</f>
        <v>보조금수입</v>
      </c>
      <c r="C17" s="329" t="s">
        <v>236</v>
      </c>
      <c r="D17" s="402">
        <f>SUM(D18:D20)</f>
        <v>2355742860</v>
      </c>
      <c r="E17" s="402">
        <f>SUM(E18:E20)</f>
        <v>2358791352</v>
      </c>
      <c r="F17" s="403">
        <f>SUM(F18:F20)</f>
        <v>75.447764098528978</v>
      </c>
      <c r="G17" s="404">
        <f>SUM(G18:G20)</f>
        <v>3048492.0000001192</v>
      </c>
      <c r="H17" s="386"/>
      <c r="I17" s="375"/>
      <c r="J17" s="329" t="s">
        <v>280</v>
      </c>
      <c r="K17" s="397">
        <v>0</v>
      </c>
      <c r="L17" s="397">
        <v>0</v>
      </c>
      <c r="M17" s="400">
        <f>L17/$L$6*100</f>
        <v>0</v>
      </c>
      <c r="N17" s="401">
        <f>L17-K17</f>
        <v>0</v>
      </c>
    </row>
    <row r="18" spans="1:14" s="241" customFormat="1" ht="15.75" customHeight="1">
      <c r="A18" s="371"/>
      <c r="B18" s="372"/>
      <c r="C18" s="329" t="str">
        <f>다.보조금세입내역!C15</f>
        <v>국고보조금</v>
      </c>
      <c r="D18" s="402">
        <f>다.보조금세입내역!E15</f>
        <v>1477837788</v>
      </c>
      <c r="E18" s="402">
        <f>다.보조금세입내역!F15</f>
        <v>1444358322.4000001</v>
      </c>
      <c r="F18" s="398">
        <f>E18/$E$6*100</f>
        <v>46.198917038501278</v>
      </c>
      <c r="G18" s="404">
        <f>E18-D18</f>
        <v>-33479465.599999905</v>
      </c>
      <c r="H18" s="386"/>
      <c r="I18" s="378"/>
      <c r="J18" s="329" t="s">
        <v>16</v>
      </c>
      <c r="K18" s="397">
        <f>'라-1.자부담세출내역'!E35</f>
        <v>0</v>
      </c>
      <c r="L18" s="397">
        <f>'라-1.자부담세출내역'!F35</f>
        <v>0</v>
      </c>
      <c r="M18" s="400">
        <f>L18/$L$6*100</f>
        <v>0</v>
      </c>
      <c r="N18" s="401">
        <f>L18-K18</f>
        <v>0</v>
      </c>
    </row>
    <row r="19" spans="1:14" s="241" customFormat="1" ht="15.75" customHeight="1">
      <c r="A19" s="371"/>
      <c r="B19" s="373"/>
      <c r="C19" s="631" t="str">
        <f>다.보조금세입내역!C19</f>
        <v>시도(군)보조금</v>
      </c>
      <c r="D19" s="402">
        <f>다.보조금세입내역!E19</f>
        <v>872615072</v>
      </c>
      <c r="E19" s="402">
        <f>다.보조금세입내역!F19</f>
        <v>909143029.60000002</v>
      </c>
      <c r="F19" s="398">
        <f>E19/$E$6*100</f>
        <v>29.079642322295047</v>
      </c>
      <c r="G19" s="404">
        <f>E19-D19</f>
        <v>36527957.600000024</v>
      </c>
      <c r="H19" s="386"/>
      <c r="I19" s="378"/>
      <c r="J19" s="329" t="s">
        <v>214</v>
      </c>
      <c r="K19" s="397">
        <f>'라-1.자부담세출내역'!E36+'라-2.후원금세출내역'!E36</f>
        <v>26000000</v>
      </c>
      <c r="L19" s="397">
        <f>'라-1.자부담세출내역'!F36+'라-2.후원금세출내역'!F36</f>
        <v>25000000</v>
      </c>
      <c r="M19" s="400">
        <f>L19/$L$6*100</f>
        <v>0.79964431820726145</v>
      </c>
      <c r="N19" s="401">
        <f>L19-K19</f>
        <v>-1000000</v>
      </c>
    </row>
    <row r="20" spans="1:14" s="241" customFormat="1" ht="15.75" customHeight="1">
      <c r="A20" s="371"/>
      <c r="B20" s="374"/>
      <c r="C20" s="631" t="str">
        <f>다.보조금세입내역!C28</f>
        <v>기타보조금</v>
      </c>
      <c r="D20" s="402">
        <f>다.보조금세입내역!E28</f>
        <v>5290000</v>
      </c>
      <c r="E20" s="402">
        <f>다.보조금세입내역!F28</f>
        <v>5290000</v>
      </c>
      <c r="F20" s="398">
        <f>E20/$E$6*100</f>
        <v>0.16920473773265651</v>
      </c>
      <c r="G20" s="404">
        <f>E20-D20</f>
        <v>0</v>
      </c>
      <c r="H20" s="386"/>
      <c r="I20" s="377"/>
      <c r="J20" s="329" t="s">
        <v>123</v>
      </c>
      <c r="K20" s="397">
        <f>라.보조금세출내역!E36+'라-1.자부담세출내역'!E37+'라-2.후원금세출내역'!E37</f>
        <v>4000000</v>
      </c>
      <c r="L20" s="397">
        <f>라.보조금세출내역!F36+'라-1.자부담세출내역'!F37+'라-2.후원금세출내역'!F37</f>
        <v>4000000</v>
      </c>
      <c r="M20" s="400">
        <f>L20/$L$6*100</f>
        <v>0.12794309091316183</v>
      </c>
      <c r="N20" s="401">
        <f>L20-K20</f>
        <v>0</v>
      </c>
    </row>
    <row r="21" spans="1:14" s="241" customFormat="1" ht="15.75" customHeight="1">
      <c r="A21" s="371"/>
      <c r="B21" s="370"/>
      <c r="C21" s="329"/>
      <c r="D21" s="402">
        <v>0</v>
      </c>
      <c r="E21" s="402">
        <v>0</v>
      </c>
      <c r="F21" s="398">
        <f>F22</f>
        <v>0</v>
      </c>
      <c r="G21" s="404">
        <f>G22</f>
        <v>0</v>
      </c>
      <c r="H21" s="386"/>
      <c r="I21" s="329" t="s">
        <v>17</v>
      </c>
      <c r="J21" s="329" t="s">
        <v>7</v>
      </c>
      <c r="K21" s="397">
        <f>SUM(K22:K27)</f>
        <v>257921000</v>
      </c>
      <c r="L21" s="397">
        <f>SUM(L22:L27)</f>
        <v>253553250</v>
      </c>
      <c r="M21" s="400">
        <f>SUM(M22:M27)</f>
        <v>8.110096629019413</v>
      </c>
      <c r="N21" s="401">
        <f>SUM(N22:N27)</f>
        <v>-4367750</v>
      </c>
    </row>
    <row r="22" spans="1:14" s="241" customFormat="1" ht="15.75" customHeight="1">
      <c r="A22" s="371"/>
      <c r="B22" s="329"/>
      <c r="C22" s="329"/>
      <c r="D22" s="402">
        <v>0</v>
      </c>
      <c r="E22" s="402">
        <v>0</v>
      </c>
      <c r="F22" s="398">
        <f>E22/$E$6*100</f>
        <v>0</v>
      </c>
      <c r="G22" s="404">
        <f>E22-D22</f>
        <v>0</v>
      </c>
      <c r="H22" s="386"/>
      <c r="I22" s="375"/>
      <c r="J22" s="329" t="s">
        <v>18</v>
      </c>
      <c r="K22" s="397">
        <f>라.보조금세출내역!E38+'라-2.후원금세출내역'!E39</f>
        <v>10000000</v>
      </c>
      <c r="L22" s="397">
        <f>라.보조금세출내역!F38+'라-2.후원금세출내역'!F39</f>
        <v>10000000</v>
      </c>
      <c r="M22" s="400">
        <f t="shared" ref="M22:M27" si="5">L22/$L$6*100</f>
        <v>0.31985772728290457</v>
      </c>
      <c r="N22" s="401">
        <f t="shared" ref="N22:N27" si="6">L22-K22</f>
        <v>0</v>
      </c>
    </row>
    <row r="23" spans="1:14" s="241" customFormat="1" ht="15.75" customHeight="1">
      <c r="A23" s="371"/>
      <c r="B23" s="329"/>
      <c r="C23" s="329"/>
      <c r="D23" s="402">
        <v>0</v>
      </c>
      <c r="E23" s="402">
        <f>SUM(E24:E27)</f>
        <v>0</v>
      </c>
      <c r="F23" s="398">
        <f>SUM(F24:F27)</f>
        <v>0</v>
      </c>
      <c r="G23" s="404">
        <f>SUM(G24:G27)</f>
        <v>0</v>
      </c>
      <c r="H23" s="386"/>
      <c r="I23" s="378"/>
      <c r="J23" s="370" t="s">
        <v>290</v>
      </c>
      <c r="K23" s="397">
        <f>라.보조금세출내역!E39+'라-1.자부담세출내역'!E40+'라-2.후원금세출내역'!E40</f>
        <v>39390000</v>
      </c>
      <c r="L23" s="397">
        <f>라.보조금세출내역!F39+'라-1.자부담세출내역'!F40+'라-2.후원금세출내역'!F40</f>
        <v>39922250</v>
      </c>
      <c r="M23" s="400">
        <f t="shared" si="5"/>
        <v>1.2769440153019938</v>
      </c>
      <c r="N23" s="401">
        <f t="shared" si="6"/>
        <v>532250</v>
      </c>
    </row>
    <row r="24" spans="1:14" s="283" customFormat="1" ht="15.75" customHeight="1">
      <c r="A24" s="371"/>
      <c r="B24" s="375"/>
      <c r="C24" s="376"/>
      <c r="D24" s="402">
        <v>0</v>
      </c>
      <c r="E24" s="402">
        <f>다.보조금세입내역!F31</f>
        <v>0</v>
      </c>
      <c r="F24" s="398">
        <f>E24/$E$6*100</f>
        <v>0</v>
      </c>
      <c r="G24" s="404">
        <f>E24-D24</f>
        <v>0</v>
      </c>
      <c r="H24" s="386"/>
      <c r="I24" s="378"/>
      <c r="J24" s="329" t="s">
        <v>19</v>
      </c>
      <c r="K24" s="397">
        <f>라.보조금세출내역!E40+'라-1.자부담세출내역'!E41+'라-2.후원금세출내역'!E41</f>
        <v>118131000</v>
      </c>
      <c r="L24" s="397">
        <f>라.보조금세출내역!F40+'라-1.자부담세출내역'!F41+'라-2.후원금세출내역'!F41</f>
        <v>118131000</v>
      </c>
      <c r="M24" s="400">
        <f t="shared" si="5"/>
        <v>3.7785113181656795</v>
      </c>
      <c r="N24" s="401">
        <f t="shared" si="6"/>
        <v>0</v>
      </c>
    </row>
    <row r="25" spans="1:14" s="283" customFormat="1" ht="15.75" customHeight="1">
      <c r="A25" s="371"/>
      <c r="B25" s="378"/>
      <c r="C25" s="376"/>
      <c r="D25" s="402">
        <v>0</v>
      </c>
      <c r="E25" s="402">
        <f>다.보조금세입내역!F32</f>
        <v>0</v>
      </c>
      <c r="F25" s="398">
        <f>E25/$E$6*100</f>
        <v>0</v>
      </c>
      <c r="G25" s="404">
        <f>E25-D25</f>
        <v>0</v>
      </c>
      <c r="H25" s="386"/>
      <c r="I25" s="378"/>
      <c r="J25" s="329" t="s">
        <v>20</v>
      </c>
      <c r="K25" s="397">
        <f>라.보조금세출내역!E41+'라-1.자부담세출내역'!E42+'라-2.후원금세출내역'!E42</f>
        <v>21000000</v>
      </c>
      <c r="L25" s="397">
        <f>라.보조금세출내역!F41+'라-1.자부담세출내역'!F42+'라-2.후원금세출내역'!F42</f>
        <v>19000000</v>
      </c>
      <c r="M25" s="400">
        <f t="shared" si="5"/>
        <v>0.60772968183751863</v>
      </c>
      <c r="N25" s="401">
        <f t="shared" si="6"/>
        <v>-2000000</v>
      </c>
    </row>
    <row r="26" spans="1:14" s="278" customFormat="1" ht="15.75" customHeight="1">
      <c r="A26" s="371"/>
      <c r="B26" s="378"/>
      <c r="C26" s="329"/>
      <c r="D26" s="402">
        <v>0</v>
      </c>
      <c r="E26" s="402">
        <f>다.보조금세입내역!F33</f>
        <v>0</v>
      </c>
      <c r="F26" s="398">
        <f>E26/$E$6*100</f>
        <v>0</v>
      </c>
      <c r="G26" s="404">
        <f>E26-D26</f>
        <v>0</v>
      </c>
      <c r="H26" s="386"/>
      <c r="I26" s="378"/>
      <c r="J26" s="329" t="s">
        <v>21</v>
      </c>
      <c r="K26" s="397">
        <f>라.보조금세출내역!E45+'라-1.자부담세출내역'!E43+'라-2.후원금세출내역'!E43</f>
        <v>53400000</v>
      </c>
      <c r="L26" s="397">
        <f>라.보조금세출내역!F45+'라-1.자부담세출내역'!F43+'라-2.후원금세출내역'!F43</f>
        <v>51000000</v>
      </c>
      <c r="M26" s="400">
        <f t="shared" si="5"/>
        <v>1.6312744091428133</v>
      </c>
      <c r="N26" s="401">
        <f t="shared" si="6"/>
        <v>-2400000</v>
      </c>
    </row>
    <row r="27" spans="1:14" s="278" customFormat="1" ht="15.75" customHeight="1">
      <c r="A27" s="371"/>
      <c r="B27" s="377"/>
      <c r="C27" s="329"/>
      <c r="D27" s="402">
        <v>0</v>
      </c>
      <c r="E27" s="402">
        <f>다.보조금세입내역!F34</f>
        <v>0</v>
      </c>
      <c r="F27" s="398">
        <f>E27/$E$6*100</f>
        <v>0</v>
      </c>
      <c r="G27" s="404">
        <f>E27-D27</f>
        <v>0</v>
      </c>
      <c r="H27" s="389"/>
      <c r="I27" s="377"/>
      <c r="J27" s="329" t="s">
        <v>282</v>
      </c>
      <c r="K27" s="397">
        <f>라.보조금세출내역!E46+'라-1.자부담세출내역'!E44+'라-2.후원금세출내역'!E44</f>
        <v>16000000</v>
      </c>
      <c r="L27" s="397">
        <f>라.보조금세출내역!F46+'라-1.자부담세출내역'!F44+'라-2.후원금세출내역'!F44</f>
        <v>15500000</v>
      </c>
      <c r="M27" s="400">
        <f t="shared" si="5"/>
        <v>0.49577947728850202</v>
      </c>
      <c r="N27" s="401">
        <f t="shared" si="6"/>
        <v>-500000</v>
      </c>
    </row>
    <row r="28" spans="1:14" s="241" customFormat="1" ht="15.75" customHeight="1">
      <c r="A28" s="371"/>
      <c r="B28" s="329"/>
      <c r="C28" s="329" t="s">
        <v>236</v>
      </c>
      <c r="D28" s="402">
        <v>0</v>
      </c>
      <c r="E28" s="402">
        <f>E29</f>
        <v>0</v>
      </c>
      <c r="F28" s="398">
        <f>F29</f>
        <v>0</v>
      </c>
      <c r="G28" s="404">
        <f>G29</f>
        <v>0</v>
      </c>
      <c r="H28" s="387" t="s">
        <v>283</v>
      </c>
      <c r="I28" s="915" t="s">
        <v>30</v>
      </c>
      <c r="J28" s="915"/>
      <c r="K28" s="397">
        <f>SUM(K29)</f>
        <v>206400000</v>
      </c>
      <c r="L28" s="397">
        <f>SUM(L29)</f>
        <v>223900000</v>
      </c>
      <c r="M28" s="400">
        <f>M29</f>
        <v>7.1616145138642331</v>
      </c>
      <c r="N28" s="401">
        <f>N29</f>
        <v>17500000</v>
      </c>
    </row>
    <row r="29" spans="1:14" s="241" customFormat="1" ht="15.75" customHeight="1">
      <c r="A29" s="368"/>
      <c r="B29" s="329"/>
      <c r="C29" s="329" t="s">
        <v>240</v>
      </c>
      <c r="D29" s="402">
        <v>0</v>
      </c>
      <c r="E29" s="402">
        <f>'다-2.후원금세입내역 '!E14</f>
        <v>0</v>
      </c>
      <c r="F29" s="398">
        <f>E29/$E$6*100</f>
        <v>0</v>
      </c>
      <c r="G29" s="404">
        <f>E29-D29</f>
        <v>0</v>
      </c>
      <c r="H29" s="388"/>
      <c r="I29" s="329" t="s">
        <v>23</v>
      </c>
      <c r="J29" s="329" t="s">
        <v>7</v>
      </c>
      <c r="K29" s="397">
        <f>SUM(K30:K32)</f>
        <v>206400000</v>
      </c>
      <c r="L29" s="397">
        <f>SUM(L30:L32)</f>
        <v>223900000</v>
      </c>
      <c r="M29" s="400">
        <f>SUM(M30:M32)</f>
        <v>7.1616145138642331</v>
      </c>
      <c r="N29" s="401">
        <f>SUM(N30:N32)</f>
        <v>17500000</v>
      </c>
    </row>
    <row r="30" spans="1:14" s="241" customFormat="1" ht="15.75" customHeight="1">
      <c r="A30" s="369" t="s">
        <v>396</v>
      </c>
      <c r="B30" s="915" t="s">
        <v>235</v>
      </c>
      <c r="C30" s="915"/>
      <c r="D30" s="402">
        <f>D31+D34</f>
        <v>317100000</v>
      </c>
      <c r="E30" s="402">
        <f>E31+E34</f>
        <v>317100000</v>
      </c>
      <c r="F30" s="398">
        <f>F31+F34</f>
        <v>10.142688532140903</v>
      </c>
      <c r="G30" s="404">
        <f>G31+G34</f>
        <v>0</v>
      </c>
      <c r="H30" s="386"/>
      <c r="I30" s="375"/>
      <c r="J30" s="329" t="s">
        <v>23</v>
      </c>
      <c r="K30" s="397">
        <f>라.보조금세출내역!E49+'라-1.자부담세출내역'!E47+'라-2.후원금세출내역'!E47</f>
        <v>16000000</v>
      </c>
      <c r="L30" s="397">
        <f>라.보조금세출내역!F49+'라-1.자부담세출내역'!F47+'라-2.후원금세출내역'!F47</f>
        <v>9000000</v>
      </c>
      <c r="M30" s="400">
        <f>L30/$L$6*100</f>
        <v>0.28787195455461406</v>
      </c>
      <c r="N30" s="401">
        <f>L30-K30</f>
        <v>-7000000</v>
      </c>
    </row>
    <row r="31" spans="1:14" s="241" customFormat="1" ht="15.75" customHeight="1">
      <c r="A31" s="366"/>
      <c r="B31" s="329" t="s">
        <v>393</v>
      </c>
      <c r="C31" s="329" t="s">
        <v>236</v>
      </c>
      <c r="D31" s="402">
        <f>SUM(D32:D33)</f>
        <v>316100000</v>
      </c>
      <c r="E31" s="402">
        <f>SUM(E32:E33)</f>
        <v>316100000</v>
      </c>
      <c r="F31" s="398">
        <f>SUM(F32:F33)</f>
        <v>10.110702759412613</v>
      </c>
      <c r="G31" s="404">
        <f>SUM(G32:G33)</f>
        <v>0</v>
      </c>
      <c r="H31" s="386"/>
      <c r="I31" s="378"/>
      <c r="J31" s="329" t="s">
        <v>58</v>
      </c>
      <c r="K31" s="397">
        <f>라.보조금세출내역!E50+'라-1.자부담세출내역'!E48+'라-2.후원금세출내역'!E48</f>
        <v>40000000</v>
      </c>
      <c r="L31" s="397">
        <f>라.보조금세출내역!F50+'라-1.자부담세출내역'!F48+'라-2.후원금세출내역'!F48</f>
        <v>24000000</v>
      </c>
      <c r="M31" s="400">
        <f>L31/$L$6*100</f>
        <v>0.76765854547897094</v>
      </c>
      <c r="N31" s="401">
        <f>L31-K31</f>
        <v>-16000000</v>
      </c>
    </row>
    <row r="32" spans="1:14" s="241" customFormat="1" ht="15.75" customHeight="1">
      <c r="A32" s="371"/>
      <c r="B32" s="375"/>
      <c r="C32" s="329" t="s">
        <v>394</v>
      </c>
      <c r="D32" s="402">
        <f>'다-2.후원금세입내역 '!D18</f>
        <v>6100000</v>
      </c>
      <c r="E32" s="402">
        <f>'다-2.후원금세입내역 '!E18</f>
        <v>6100000</v>
      </c>
      <c r="F32" s="398">
        <f>E32/$E$6*100</f>
        <v>0.19511321364257178</v>
      </c>
      <c r="G32" s="404">
        <f>E32-D32</f>
        <v>0</v>
      </c>
      <c r="H32" s="389"/>
      <c r="I32" s="377"/>
      <c r="J32" s="370" t="s">
        <v>291</v>
      </c>
      <c r="K32" s="397">
        <f>라.보조금세출내역!E51+'라-1.자부담세출내역'!E49+'라-2.후원금세출내역'!E49</f>
        <v>150400000</v>
      </c>
      <c r="L32" s="397">
        <f>라.보조금세출내역!F51+'라-1.자부담세출내역'!F49+'라-2.후원금세출내역'!F49</f>
        <v>190900000</v>
      </c>
      <c r="M32" s="400">
        <f>L32/$L$6*100</f>
        <v>6.1060840138306478</v>
      </c>
      <c r="N32" s="401">
        <f>L32-K32</f>
        <v>40500000</v>
      </c>
    </row>
    <row r="33" spans="1:14" s="241" customFormat="1" ht="15.75" customHeight="1">
      <c r="A33" s="371"/>
      <c r="B33" s="377"/>
      <c r="C33" s="329" t="s">
        <v>395</v>
      </c>
      <c r="D33" s="402">
        <v>310000000</v>
      </c>
      <c r="E33" s="402">
        <f>'다-2.후원금세입내역 '!E19</f>
        <v>310000000</v>
      </c>
      <c r="F33" s="398">
        <f>E33/$E$6*100</f>
        <v>9.9155895457700414</v>
      </c>
      <c r="G33" s="404">
        <f>E33-D33</f>
        <v>0</v>
      </c>
      <c r="H33" s="387" t="s">
        <v>25</v>
      </c>
      <c r="I33" s="915" t="s">
        <v>30</v>
      </c>
      <c r="J33" s="915"/>
      <c r="K33" s="397">
        <f>SUM(K34,K40,K41)</f>
        <v>646402380</v>
      </c>
      <c r="L33" s="397">
        <f>SUM(L34,L40,L41)</f>
        <v>695128792</v>
      </c>
      <c r="M33" s="400">
        <f>M34+M40+M41</f>
        <v>22.234231557803088</v>
      </c>
      <c r="N33" s="401">
        <f>N34+N40+N41</f>
        <v>48726412</v>
      </c>
    </row>
    <row r="34" spans="1:14" s="241" customFormat="1" ht="15.75" customHeight="1">
      <c r="A34" s="371"/>
      <c r="B34" s="329" t="s">
        <v>423</v>
      </c>
      <c r="C34" s="329" t="s">
        <v>7</v>
      </c>
      <c r="D34" s="402">
        <v>1000000</v>
      </c>
      <c r="E34" s="402">
        <f t="shared" ref="D34:G37" si="7">E35</f>
        <v>1000000</v>
      </c>
      <c r="F34" s="398">
        <f t="shared" si="7"/>
        <v>3.1985772728290458E-2</v>
      </c>
      <c r="G34" s="404">
        <f t="shared" si="7"/>
        <v>0</v>
      </c>
      <c r="H34" s="388"/>
      <c r="I34" s="329" t="s">
        <v>17</v>
      </c>
      <c r="J34" s="329" t="s">
        <v>7</v>
      </c>
      <c r="K34" s="397">
        <f>SUM(K35:K39)</f>
        <v>287146360</v>
      </c>
      <c r="L34" s="397">
        <f>SUM(L35:L39)</f>
        <v>284996472</v>
      </c>
      <c r="M34" s="400">
        <f>SUM(M35:M39)</f>
        <v>9.1158323817565954</v>
      </c>
      <c r="N34" s="401">
        <f>SUM(N35:N39)</f>
        <v>-2149888</v>
      </c>
    </row>
    <row r="35" spans="1:14" s="241" customFormat="1" ht="24" customHeight="1">
      <c r="A35" s="368"/>
      <c r="B35" s="329"/>
      <c r="C35" s="329" t="s">
        <v>424</v>
      </c>
      <c r="D35" s="402">
        <v>1000000</v>
      </c>
      <c r="E35" s="402">
        <f>'다-2.후원금세입내역 '!E20</f>
        <v>1000000</v>
      </c>
      <c r="F35" s="398">
        <f>E35/$E$6*100</f>
        <v>3.1985772728290458E-2</v>
      </c>
      <c r="G35" s="404">
        <f>E35-D35</f>
        <v>0</v>
      </c>
      <c r="H35" s="386"/>
      <c r="I35" s="375"/>
      <c r="J35" s="622" t="s">
        <v>106</v>
      </c>
      <c r="K35" s="397">
        <f>라.보조금세출내역!E55+라.보조금세출내역!E59+라.보조금세출내역!E60+'라-1.자부담세출내역'!E52+'라-2.후원금세출내역'!E52</f>
        <v>228527360</v>
      </c>
      <c r="L35" s="397">
        <f>라.보조금세출내역!F55+라.보조금세출내역!F59+라.보조금세출내역!F60+'라-1.자부담세출내역'!F52+'라-2.후원금세출내역'!F52</f>
        <v>238277472</v>
      </c>
      <c r="M35" s="400">
        <f>L35/$L$6*100</f>
        <v>7.6214890656635932</v>
      </c>
      <c r="N35" s="401">
        <f t="shared" ref="N35:N40" si="8">L35-K35</f>
        <v>9750112</v>
      </c>
    </row>
    <row r="36" spans="1:14" s="241" customFormat="1" ht="15.75" customHeight="1">
      <c r="A36" s="369" t="s">
        <v>397</v>
      </c>
      <c r="B36" s="915" t="s">
        <v>235</v>
      </c>
      <c r="C36" s="915"/>
      <c r="D36" s="402">
        <f t="shared" si="7"/>
        <v>20000000</v>
      </c>
      <c r="E36" s="402">
        <f t="shared" si="7"/>
        <v>20000000</v>
      </c>
      <c r="F36" s="398">
        <f t="shared" si="7"/>
        <v>0.63971545456580914</v>
      </c>
      <c r="G36" s="404">
        <f t="shared" si="7"/>
        <v>0</v>
      </c>
      <c r="H36" s="386"/>
      <c r="I36" s="378"/>
      <c r="J36" s="367" t="s">
        <v>26</v>
      </c>
      <c r="K36" s="397">
        <f>라.보조금세출내역!E63+'라-1.자부담세출내역'!E53</f>
        <v>8800000</v>
      </c>
      <c r="L36" s="397">
        <f>라.보조금세출내역!F63+'라-1.자부담세출내역'!F53</f>
        <v>2400000</v>
      </c>
      <c r="M36" s="400">
        <f>L36/$L$6*100</f>
        <v>7.6765854547897097E-2</v>
      </c>
      <c r="N36" s="401">
        <f t="shared" si="8"/>
        <v>-6400000</v>
      </c>
    </row>
    <row r="37" spans="1:14" s="241" customFormat="1" ht="15.75" customHeight="1">
      <c r="A37" s="366"/>
      <c r="B37" s="329" t="s">
        <v>241</v>
      </c>
      <c r="C37" s="329" t="s">
        <v>236</v>
      </c>
      <c r="D37" s="402">
        <f t="shared" si="7"/>
        <v>20000000</v>
      </c>
      <c r="E37" s="402">
        <f t="shared" si="7"/>
        <v>20000000</v>
      </c>
      <c r="F37" s="398">
        <f t="shared" si="7"/>
        <v>0.63971545456580914</v>
      </c>
      <c r="G37" s="404">
        <f t="shared" si="7"/>
        <v>0</v>
      </c>
      <c r="H37" s="386"/>
      <c r="I37" s="378"/>
      <c r="J37" s="329" t="str">
        <f>'라-1.자부담세출내역'!C54</f>
        <v>수용기관경비</v>
      </c>
      <c r="K37" s="397">
        <f>라.보조금세출내역!E65+'라-1.자부담세출내역'!E54+'라-1.자부담세출내역'!E55+'라-2.후원금세출내역'!E53+'라-2.후원금세출내역'!E54</f>
        <v>45819000</v>
      </c>
      <c r="L37" s="397">
        <f>라.보조금세출내역!F65+'라-1.자부담세출내역'!F54+'라-1.자부담세출내역'!F55+'라-2.후원금세출내역'!F53+'라-2.후원금세출내역'!F54</f>
        <v>40819000</v>
      </c>
      <c r="M37" s="400">
        <f>L37/$L$6*100</f>
        <v>1.3056272569960881</v>
      </c>
      <c r="N37" s="401">
        <f t="shared" si="8"/>
        <v>-5000000</v>
      </c>
    </row>
    <row r="38" spans="1:14" s="241" customFormat="1" ht="15.75" customHeight="1">
      <c r="A38" s="368"/>
      <c r="B38" s="329"/>
      <c r="C38" s="329" t="s">
        <v>242</v>
      </c>
      <c r="D38" s="402">
        <v>20000000</v>
      </c>
      <c r="E38" s="402">
        <f>'다-1.자부담세입내역'!E25</f>
        <v>20000000</v>
      </c>
      <c r="F38" s="398">
        <f>E38/$E$6*100</f>
        <v>0.63971545456580914</v>
      </c>
      <c r="G38" s="404">
        <f>E38-D38</f>
        <v>0</v>
      </c>
      <c r="H38" s="386"/>
      <c r="I38" s="378"/>
      <c r="J38" s="329" t="s">
        <v>27</v>
      </c>
      <c r="K38" s="397">
        <f>'라-1.자부담세출내역'!E56+'라-2.후원금세출내역'!E56</f>
        <v>3500000</v>
      </c>
      <c r="L38" s="397">
        <f>'라-1.자부담세출내역'!F56+'라-2.후원금세출내역'!F56</f>
        <v>3500000</v>
      </c>
      <c r="M38" s="400">
        <f>L38/$L$6*100</f>
        <v>0.11195020454901659</v>
      </c>
      <c r="N38" s="401">
        <f t="shared" si="8"/>
        <v>0</v>
      </c>
    </row>
    <row r="39" spans="1:14" s="241" customFormat="1" ht="15.75" customHeight="1">
      <c r="A39" s="369" t="s">
        <v>243</v>
      </c>
      <c r="B39" s="915" t="s">
        <v>235</v>
      </c>
      <c r="C39" s="915"/>
      <c r="D39" s="402">
        <f>D40</f>
        <v>284604921</v>
      </c>
      <c r="E39" s="402">
        <f>E40</f>
        <v>284604921</v>
      </c>
      <c r="F39" s="398">
        <f>F40</f>
        <v>9.1033083204590604</v>
      </c>
      <c r="G39" s="404">
        <f>G40</f>
        <v>0</v>
      </c>
      <c r="H39" s="386"/>
      <c r="I39" s="377"/>
      <c r="J39" s="329" t="s">
        <v>22</v>
      </c>
      <c r="K39" s="397">
        <f>'라-2.후원금세출내역'!E61</f>
        <v>500000</v>
      </c>
      <c r="L39" s="397">
        <f>'라-2.후원금세출내역'!F61</f>
        <v>0</v>
      </c>
      <c r="M39" s="400">
        <f>L39/$L$6*100</f>
        <v>0</v>
      </c>
      <c r="N39" s="401">
        <f t="shared" si="8"/>
        <v>-500000</v>
      </c>
    </row>
    <row r="40" spans="1:14" s="241" customFormat="1" ht="15.75" customHeight="1">
      <c r="A40" s="366"/>
      <c r="B40" s="329" t="s">
        <v>243</v>
      </c>
      <c r="C40" s="329" t="s">
        <v>236</v>
      </c>
      <c r="D40" s="402">
        <f>SUM(D41:D42)</f>
        <v>284604921</v>
      </c>
      <c r="E40" s="402">
        <f>SUM(E41:E42)</f>
        <v>284604921</v>
      </c>
      <c r="F40" s="398">
        <f>SUM(F41:F42)</f>
        <v>9.1033083204590604</v>
      </c>
      <c r="G40" s="404">
        <f>SUM(G41:G42)</f>
        <v>0</v>
      </c>
      <c r="H40" s="386"/>
      <c r="I40" s="329" t="s">
        <v>287</v>
      </c>
      <c r="J40" s="329" t="s">
        <v>7</v>
      </c>
      <c r="K40" s="397">
        <v>0</v>
      </c>
      <c r="L40" s="397">
        <v>0</v>
      </c>
      <c r="M40" s="400">
        <f>라.보조금세출내역!G75+'라-1.자부담세출내역'!G61</f>
        <v>0</v>
      </c>
      <c r="N40" s="401">
        <f t="shared" si="8"/>
        <v>0</v>
      </c>
    </row>
    <row r="41" spans="1:14" s="241" customFormat="1" ht="15.75" customHeight="1">
      <c r="A41" s="371"/>
      <c r="B41" s="375"/>
      <c r="C41" s="367" t="s">
        <v>245</v>
      </c>
      <c r="D41" s="402">
        <f>다.보조금세입내역!E37+'다-1.자부담세입내역'!D28+'다-2.후원금세입내역 '!D31</f>
        <v>284604921</v>
      </c>
      <c r="E41" s="402">
        <f>다.보조금세입내역!F37+'다-1.자부담세입내역'!E28+'다-2.후원금세입내역 '!E31</f>
        <v>284604921</v>
      </c>
      <c r="F41" s="398">
        <f>E41/$E$6*100</f>
        <v>9.1033083204590604</v>
      </c>
      <c r="G41" s="404">
        <f>E41-D41</f>
        <v>0</v>
      </c>
      <c r="H41" s="386"/>
      <c r="I41" s="329" t="s">
        <v>25</v>
      </c>
      <c r="J41" s="329" t="s">
        <v>7</v>
      </c>
      <c r="K41" s="397">
        <f>SUM(K42:K51)</f>
        <v>359256020</v>
      </c>
      <c r="L41" s="397">
        <f>SUM(L42:L51)</f>
        <v>410132320</v>
      </c>
      <c r="M41" s="400">
        <f>SUM(M42:M51)</f>
        <v>13.118399176046493</v>
      </c>
      <c r="N41" s="401">
        <f>SUM(N42:N51)</f>
        <v>50876300</v>
      </c>
    </row>
    <row r="42" spans="1:14" s="241" customFormat="1" ht="15.75" customHeight="1">
      <c r="A42" s="368"/>
      <c r="B42" s="377"/>
      <c r="C42" s="329" t="s">
        <v>244</v>
      </c>
      <c r="D42" s="402">
        <v>0</v>
      </c>
      <c r="E42" s="402">
        <f>다.보조금세입내역!F38+'다-1.자부담세입내역'!E29</f>
        <v>0</v>
      </c>
      <c r="F42" s="398">
        <f>E42/$E$6*100</f>
        <v>0</v>
      </c>
      <c r="G42" s="404">
        <f>E42-D42</f>
        <v>0</v>
      </c>
      <c r="H42" s="386"/>
      <c r="I42" s="375"/>
      <c r="J42" s="370" t="s">
        <v>292</v>
      </c>
      <c r="K42" s="397">
        <v>0</v>
      </c>
      <c r="L42" s="397">
        <v>0</v>
      </c>
      <c r="M42" s="400">
        <f t="shared" ref="M42:M51" si="9">L42/$L$6*100</f>
        <v>0</v>
      </c>
      <c r="N42" s="401">
        <f>L42-K42</f>
        <v>0</v>
      </c>
    </row>
    <row r="43" spans="1:14" s="241" customFormat="1" ht="15.75" customHeight="1">
      <c r="A43" s="369" t="s">
        <v>246</v>
      </c>
      <c r="B43" s="915" t="s">
        <v>235</v>
      </c>
      <c r="C43" s="915"/>
      <c r="D43" s="402">
        <f>D44</f>
        <v>41352219</v>
      </c>
      <c r="E43" s="402">
        <f>E44</f>
        <v>41493727</v>
      </c>
      <c r="F43" s="398">
        <f>F44</f>
        <v>1.3272089214717293</v>
      </c>
      <c r="G43" s="404">
        <f>G44</f>
        <v>141508</v>
      </c>
      <c r="H43" s="386"/>
      <c r="I43" s="378"/>
      <c r="J43" s="376" t="s">
        <v>293</v>
      </c>
      <c r="K43" s="397">
        <f>라.보조금세출내역!E88+'라-1.자부담세출내역'!E74+'라-2.후원금세출내역'!E75</f>
        <v>77500000</v>
      </c>
      <c r="L43" s="397">
        <f>라.보조금세출내역!F88+'라-1.자부담세출내역'!F74+'라-2.후원금세출내역'!F75</f>
        <v>77500000</v>
      </c>
      <c r="M43" s="400">
        <f t="shared" si="9"/>
        <v>2.4788973864425103</v>
      </c>
      <c r="N43" s="401">
        <f t="shared" ref="N43:N49" si="10">L43-K43</f>
        <v>0</v>
      </c>
    </row>
    <row r="44" spans="1:14" s="287" customFormat="1" ht="15.75" customHeight="1">
      <c r="A44" s="366"/>
      <c r="B44" s="329" t="s">
        <v>246</v>
      </c>
      <c r="C44" s="329" t="s">
        <v>236</v>
      </c>
      <c r="D44" s="402">
        <f>SUM(D45:D47)</f>
        <v>41352219</v>
      </c>
      <c r="E44" s="402">
        <f>SUM(E45:E47)</f>
        <v>41493727</v>
      </c>
      <c r="F44" s="398">
        <f>SUM(F45:F47)</f>
        <v>1.3272089214717293</v>
      </c>
      <c r="G44" s="404">
        <f>SUM(G45:G47)</f>
        <v>141508</v>
      </c>
      <c r="H44" s="386"/>
      <c r="I44" s="378"/>
      <c r="J44" s="370" t="s">
        <v>294</v>
      </c>
      <c r="K44" s="397">
        <v>0</v>
      </c>
      <c r="L44" s="397">
        <v>0</v>
      </c>
      <c r="M44" s="400">
        <f t="shared" si="9"/>
        <v>0</v>
      </c>
      <c r="N44" s="401">
        <f t="shared" si="10"/>
        <v>0</v>
      </c>
    </row>
    <row r="45" spans="1:14" s="287" customFormat="1" ht="15.75" customHeight="1">
      <c r="A45" s="371"/>
      <c r="B45" s="375"/>
      <c r="C45" s="367" t="s">
        <v>54</v>
      </c>
      <c r="D45" s="402">
        <v>500000</v>
      </c>
      <c r="E45" s="402">
        <f>다.보조금세입내역!F41+'다-1.자부담세입내역'!E32</f>
        <v>500000</v>
      </c>
      <c r="F45" s="398">
        <f>E45/$E$6*100</f>
        <v>1.5992886364145229E-2</v>
      </c>
      <c r="G45" s="404">
        <f>E45-D45</f>
        <v>0</v>
      </c>
      <c r="H45" s="386"/>
      <c r="I45" s="378"/>
      <c r="J45" s="370" t="s">
        <v>295</v>
      </c>
      <c r="K45" s="397">
        <f>'라-1.자부담세출내역'!E76+'라-2.후원금세출내역'!E77</f>
        <v>30000000</v>
      </c>
      <c r="L45" s="397">
        <f>'라-1.자부담세출내역'!F76+'라-2.후원금세출내역'!F77</f>
        <v>30000000</v>
      </c>
      <c r="M45" s="400">
        <f t="shared" si="9"/>
        <v>0.95957318184871376</v>
      </c>
      <c r="N45" s="401">
        <f t="shared" si="10"/>
        <v>0</v>
      </c>
    </row>
    <row r="46" spans="1:14" s="287" customFormat="1" ht="15.75" customHeight="1">
      <c r="A46" s="371"/>
      <c r="B46" s="378"/>
      <c r="C46" s="379" t="s">
        <v>55</v>
      </c>
      <c r="D46" s="402">
        <f>다.보조금세입내역!E42+'다-1.자부담세입내역'!D33+'다-2.후원금세입내역 '!D36</f>
        <v>2352219</v>
      </c>
      <c r="E46" s="402">
        <f>다.보조금세입내역!F42+'다-1.자부담세입내역'!E33+'다-2.후원금세입내역 '!E36</f>
        <v>2404727</v>
      </c>
      <c r="F46" s="398">
        <f>E46/$E$6*100</f>
        <v>7.6917051295583724E-2</v>
      </c>
      <c r="G46" s="404">
        <f>E46-D46</f>
        <v>52508</v>
      </c>
      <c r="H46" s="386"/>
      <c r="I46" s="378"/>
      <c r="J46" s="376" t="s">
        <v>296</v>
      </c>
      <c r="K46" s="397">
        <f>라.보조금세출내역!E93</f>
        <v>32840000</v>
      </c>
      <c r="L46" s="397">
        <f>라.보조금세출내역!F93</f>
        <v>32840000</v>
      </c>
      <c r="M46" s="400">
        <f t="shared" si="9"/>
        <v>1.0504127763970588</v>
      </c>
      <c r="N46" s="401">
        <f t="shared" si="10"/>
        <v>0</v>
      </c>
    </row>
    <row r="47" spans="1:14" s="287" customFormat="1" ht="15.75" customHeight="1">
      <c r="A47" s="371"/>
      <c r="B47" s="377"/>
      <c r="C47" s="375" t="s">
        <v>247</v>
      </c>
      <c r="D47" s="405">
        <v>38500000</v>
      </c>
      <c r="E47" s="405">
        <f>다.보조금세입내역!F43+'다-1.자부담세입내역'!E34</f>
        <v>38589000</v>
      </c>
      <c r="F47" s="398">
        <f>E47/$E$6*100</f>
        <v>1.2342989838120004</v>
      </c>
      <c r="G47" s="406">
        <f>E47-D47</f>
        <v>89000</v>
      </c>
      <c r="H47" s="386"/>
      <c r="I47" s="378"/>
      <c r="J47" s="376" t="s">
        <v>297</v>
      </c>
      <c r="K47" s="397">
        <f>라.보조금세출내역!E99</f>
        <v>206416020</v>
      </c>
      <c r="L47" s="397">
        <f>라.보조금세출내역!F99</f>
        <v>237019070</v>
      </c>
      <c r="M47" s="400">
        <f t="shared" si="9"/>
        <v>7.5812381052907662</v>
      </c>
      <c r="N47" s="401">
        <f t="shared" si="10"/>
        <v>30603050</v>
      </c>
    </row>
    <row r="48" spans="1:14" s="287" customFormat="1" ht="15.75" customHeight="1">
      <c r="A48" s="366"/>
      <c r="B48" s="375"/>
      <c r="C48" s="375"/>
      <c r="D48" s="407"/>
      <c r="E48" s="407"/>
      <c r="F48" s="357"/>
      <c r="G48" s="408"/>
      <c r="H48" s="386"/>
      <c r="I48" s="378"/>
      <c r="J48" s="370" t="str">
        <f>라.보조금세출내역!C107</f>
        <v>추가지원사업비</v>
      </c>
      <c r="K48" s="397">
        <f>라.보조금세출내역!E107</f>
        <v>0</v>
      </c>
      <c r="L48" s="397">
        <f>라.보조금세출내역!F107</f>
        <v>20273250</v>
      </c>
      <c r="M48" s="400">
        <f t="shared" si="9"/>
        <v>0.64845556696381446</v>
      </c>
      <c r="N48" s="401">
        <f t="shared" si="10"/>
        <v>20273250</v>
      </c>
    </row>
    <row r="49" spans="1:14" s="287" customFormat="1" ht="15.75" customHeight="1">
      <c r="A49" s="371"/>
      <c r="B49" s="378"/>
      <c r="C49" s="378"/>
      <c r="D49" s="359"/>
      <c r="E49" s="359"/>
      <c r="F49" s="358"/>
      <c r="G49" s="409"/>
      <c r="H49" s="386"/>
      <c r="I49" s="378"/>
      <c r="J49" s="376" t="s">
        <v>298</v>
      </c>
      <c r="K49" s="397">
        <f>라.보조금세출내역!E110+'라-2.후원금세출내역'!E78</f>
        <v>5900000</v>
      </c>
      <c r="L49" s="397">
        <f>라.보조금세출내역!F110+'라-2.후원금세출내역'!F78</f>
        <v>5900000</v>
      </c>
      <c r="M49" s="400">
        <f t="shared" si="9"/>
        <v>0.18871605909691369</v>
      </c>
      <c r="N49" s="401">
        <f t="shared" si="10"/>
        <v>0</v>
      </c>
    </row>
    <row r="50" spans="1:14" s="287" customFormat="1" ht="15.75" customHeight="1">
      <c r="A50" s="371"/>
      <c r="B50" s="378"/>
      <c r="C50" s="378"/>
      <c r="D50" s="359"/>
      <c r="E50" s="359"/>
      <c r="F50" s="358"/>
      <c r="G50" s="409"/>
      <c r="H50" s="386"/>
      <c r="I50" s="378"/>
      <c r="J50" s="370"/>
      <c r="K50" s="397">
        <v>0</v>
      </c>
      <c r="L50" s="397">
        <v>0</v>
      </c>
      <c r="M50" s="400">
        <f t="shared" si="9"/>
        <v>0</v>
      </c>
      <c r="N50" s="401">
        <f>L50-K50</f>
        <v>0</v>
      </c>
    </row>
    <row r="51" spans="1:14" s="287" customFormat="1" ht="15.75" customHeight="1">
      <c r="A51" s="371"/>
      <c r="B51" s="378"/>
      <c r="C51" s="378"/>
      <c r="D51" s="359"/>
      <c r="E51" s="359"/>
      <c r="F51" s="358"/>
      <c r="G51" s="409"/>
      <c r="H51" s="386"/>
      <c r="I51" s="378"/>
      <c r="J51" s="370" t="s">
        <v>415</v>
      </c>
      <c r="K51" s="397">
        <f>'라-2.후원금세출내역'!E82</f>
        <v>6600000</v>
      </c>
      <c r="L51" s="397">
        <f>'라-2.후원금세출내역'!F82</f>
        <v>6600000</v>
      </c>
      <c r="M51" s="400">
        <f t="shared" si="9"/>
        <v>0.21110610000671703</v>
      </c>
      <c r="N51" s="401">
        <f>L51-K51</f>
        <v>0</v>
      </c>
    </row>
    <row r="52" spans="1:14" ht="15.75" customHeight="1">
      <c r="A52" s="371"/>
      <c r="B52" s="378"/>
      <c r="C52" s="378"/>
      <c r="D52" s="359"/>
      <c r="E52" s="359"/>
      <c r="F52" s="358"/>
      <c r="G52" s="409"/>
      <c r="H52" s="387" t="s">
        <v>424</v>
      </c>
      <c r="I52" s="915" t="s">
        <v>30</v>
      </c>
      <c r="J52" s="915"/>
      <c r="K52" s="397">
        <f>SUM(K53)</f>
        <v>1000000</v>
      </c>
      <c r="L52" s="397">
        <f>SUM(L53)</f>
        <v>1000000</v>
      </c>
      <c r="M52" s="400">
        <f>M53</f>
        <v>3.1985772728290458E-2</v>
      </c>
      <c r="N52" s="401">
        <f>N53</f>
        <v>0</v>
      </c>
    </row>
    <row r="53" spans="1:14" ht="15.75" customHeight="1">
      <c r="A53" s="371"/>
      <c r="B53" s="378"/>
      <c r="C53" s="378"/>
      <c r="D53" s="359"/>
      <c r="E53" s="359"/>
      <c r="F53" s="358"/>
      <c r="G53" s="409"/>
      <c r="H53" s="388"/>
      <c r="I53" s="329" t="s">
        <v>424</v>
      </c>
      <c r="J53" s="329" t="s">
        <v>7</v>
      </c>
      <c r="K53" s="397">
        <f>SUM(K54)</f>
        <v>1000000</v>
      </c>
      <c r="L53" s="397">
        <f>SUM(L54)</f>
        <v>1000000</v>
      </c>
      <c r="M53" s="400">
        <f>M54</f>
        <v>3.1985772728290458E-2</v>
      </c>
      <c r="N53" s="401">
        <f>N54</f>
        <v>0</v>
      </c>
    </row>
    <row r="54" spans="1:14" ht="15.75" customHeight="1">
      <c r="A54" s="371"/>
      <c r="B54" s="378"/>
      <c r="C54" s="378"/>
      <c r="D54" s="359"/>
      <c r="E54" s="359"/>
      <c r="F54" s="358"/>
      <c r="G54" s="409"/>
      <c r="H54" s="389"/>
      <c r="I54" s="329"/>
      <c r="J54" s="370" t="s">
        <v>425</v>
      </c>
      <c r="K54" s="397">
        <v>1000000</v>
      </c>
      <c r="L54" s="397">
        <f>'라-2.후원금세출내역'!F86</f>
        <v>1000000</v>
      </c>
      <c r="M54" s="400">
        <f>L54/$L$6*100</f>
        <v>3.1985772728290458E-2</v>
      </c>
      <c r="N54" s="401">
        <f>L54-K54</f>
        <v>0</v>
      </c>
    </row>
    <row r="55" spans="1:14" ht="15.75" hidden="1" customHeight="1">
      <c r="A55" s="380"/>
      <c r="B55" s="381"/>
      <c r="C55" s="381"/>
      <c r="D55" s="359"/>
      <c r="E55" s="359"/>
      <c r="F55" s="359"/>
      <c r="G55" s="409"/>
      <c r="H55" s="387" t="s">
        <v>288</v>
      </c>
      <c r="I55" s="915" t="s">
        <v>30</v>
      </c>
      <c r="J55" s="915"/>
      <c r="K55" s="397">
        <v>0</v>
      </c>
      <c r="L55" s="397">
        <v>0</v>
      </c>
      <c r="M55" s="400">
        <f>M56</f>
        <v>0</v>
      </c>
      <c r="N55" s="401">
        <f>N56</f>
        <v>0</v>
      </c>
    </row>
    <row r="56" spans="1:14" ht="15.75" customHeight="1">
      <c r="A56" s="380"/>
      <c r="B56" s="381"/>
      <c r="C56" s="381"/>
      <c r="D56" s="359"/>
      <c r="E56" s="359"/>
      <c r="F56" s="359"/>
      <c r="G56" s="409"/>
      <c r="H56" s="388"/>
      <c r="I56" s="329" t="s">
        <v>166</v>
      </c>
      <c r="J56" s="329" t="s">
        <v>7</v>
      </c>
      <c r="K56" s="397">
        <v>0</v>
      </c>
      <c r="L56" s="397">
        <f>SUM(L57)</f>
        <v>0</v>
      </c>
      <c r="M56" s="400">
        <f>M57</f>
        <v>0</v>
      </c>
      <c r="N56" s="401">
        <f>N57</f>
        <v>0</v>
      </c>
    </row>
    <row r="57" spans="1:14" ht="15.75" customHeight="1">
      <c r="A57" s="380"/>
      <c r="B57" s="381"/>
      <c r="C57" s="381"/>
      <c r="D57" s="359"/>
      <c r="E57" s="359"/>
      <c r="F57" s="359"/>
      <c r="G57" s="409"/>
      <c r="H57" s="389"/>
      <c r="I57" s="329"/>
      <c r="J57" s="329" t="s">
        <v>166</v>
      </c>
      <c r="K57" s="397">
        <v>0</v>
      </c>
      <c r="L57" s="397">
        <v>0</v>
      </c>
      <c r="M57" s="400">
        <f>L57/$L$6*100</f>
        <v>0</v>
      </c>
      <c r="N57" s="401">
        <f>L57-K57</f>
        <v>0</v>
      </c>
    </row>
    <row r="58" spans="1:14" ht="15.75" customHeight="1">
      <c r="A58" s="380"/>
      <c r="B58" s="381"/>
      <c r="C58" s="381"/>
      <c r="D58" s="359"/>
      <c r="E58" s="359"/>
      <c r="F58" s="359"/>
      <c r="G58" s="409"/>
      <c r="H58" s="387" t="s">
        <v>289</v>
      </c>
      <c r="I58" s="915" t="s">
        <v>30</v>
      </c>
      <c r="J58" s="915"/>
      <c r="K58" s="397">
        <f>SUM(K59)</f>
        <v>639735</v>
      </c>
      <c r="L58" s="397">
        <f>SUM(L59)</f>
        <v>692243</v>
      </c>
      <c r="M58" s="400">
        <f>M59</f>
        <v>2.214192727074997E-2</v>
      </c>
      <c r="N58" s="401">
        <f>N59</f>
        <v>52508</v>
      </c>
    </row>
    <row r="59" spans="1:14" ht="15.75" customHeight="1">
      <c r="A59" s="380"/>
      <c r="B59" s="381"/>
      <c r="C59" s="381"/>
      <c r="D59" s="359"/>
      <c r="E59" s="359"/>
      <c r="F59" s="359"/>
      <c r="G59" s="409"/>
      <c r="H59" s="388"/>
      <c r="I59" s="329" t="s">
        <v>8</v>
      </c>
      <c r="J59" s="329" t="s">
        <v>7</v>
      </c>
      <c r="K59" s="397">
        <f>SUM(K60)</f>
        <v>639735</v>
      </c>
      <c r="L59" s="397">
        <f>SUM(L60)</f>
        <v>692243</v>
      </c>
      <c r="M59" s="400">
        <f>M60</f>
        <v>2.214192727074997E-2</v>
      </c>
      <c r="N59" s="401">
        <f>N60</f>
        <v>52508</v>
      </c>
    </row>
    <row r="60" spans="1:14" ht="15.75" customHeight="1">
      <c r="A60" s="380"/>
      <c r="B60" s="381"/>
      <c r="C60" s="381"/>
      <c r="D60" s="359"/>
      <c r="E60" s="359"/>
      <c r="F60" s="359"/>
      <c r="G60" s="409"/>
      <c r="H60" s="389"/>
      <c r="I60" s="329"/>
      <c r="J60" s="329" t="s">
        <v>8</v>
      </c>
      <c r="K60" s="397">
        <f>라.보조금세출내역!E121</f>
        <v>639735</v>
      </c>
      <c r="L60" s="397">
        <f>라.보조금세출내역!F121</f>
        <v>692243</v>
      </c>
      <c r="M60" s="400">
        <f>L60/$L$6*100</f>
        <v>2.214192727074997E-2</v>
      </c>
      <c r="N60" s="401">
        <f>L60-K60</f>
        <v>52508</v>
      </c>
    </row>
    <row r="61" spans="1:14" ht="15.75" customHeight="1">
      <c r="A61" s="380"/>
      <c r="B61" s="381"/>
      <c r="C61" s="381"/>
      <c r="D61" s="359"/>
      <c r="E61" s="359"/>
      <c r="F61" s="359"/>
      <c r="G61" s="409"/>
      <c r="H61" s="387" t="s">
        <v>29</v>
      </c>
      <c r="I61" s="915" t="s">
        <v>30</v>
      </c>
      <c r="J61" s="915"/>
      <c r="K61" s="397">
        <v>0</v>
      </c>
      <c r="L61" s="397">
        <f>SUM(L62)</f>
        <v>0</v>
      </c>
      <c r="M61" s="400">
        <f t="shared" ref="M61:N65" si="11">M62</f>
        <v>0</v>
      </c>
      <c r="N61" s="401">
        <f t="shared" si="11"/>
        <v>0</v>
      </c>
    </row>
    <row r="62" spans="1:14" ht="15.75" customHeight="1">
      <c r="A62" s="380"/>
      <c r="B62" s="381"/>
      <c r="C62" s="381"/>
      <c r="D62" s="359"/>
      <c r="E62" s="359"/>
      <c r="F62" s="359"/>
      <c r="G62" s="409"/>
      <c r="H62" s="388"/>
      <c r="I62" s="329" t="s">
        <v>29</v>
      </c>
      <c r="J62" s="329" t="s">
        <v>7</v>
      </c>
      <c r="K62" s="397">
        <v>0</v>
      </c>
      <c r="L62" s="397">
        <f>SUM(L63)</f>
        <v>0</v>
      </c>
      <c r="M62" s="400">
        <f t="shared" si="11"/>
        <v>0</v>
      </c>
      <c r="N62" s="401">
        <f t="shared" si="11"/>
        <v>0</v>
      </c>
    </row>
    <row r="63" spans="1:14">
      <c r="A63" s="380"/>
      <c r="B63" s="381"/>
      <c r="C63" s="381"/>
      <c r="D63" s="359"/>
      <c r="E63" s="359"/>
      <c r="F63" s="359"/>
      <c r="G63" s="409"/>
      <c r="H63" s="389"/>
      <c r="I63" s="329"/>
      <c r="J63" s="329" t="s">
        <v>29</v>
      </c>
      <c r="K63" s="397">
        <v>0</v>
      </c>
      <c r="L63" s="397">
        <v>0</v>
      </c>
      <c r="M63" s="400">
        <f>L63/$L$6*100</f>
        <v>0</v>
      </c>
      <c r="N63" s="401">
        <f>L63-K63</f>
        <v>0</v>
      </c>
    </row>
    <row r="64" spans="1:14">
      <c r="A64" s="380"/>
      <c r="B64" s="381"/>
      <c r="C64" s="381"/>
      <c r="D64" s="359"/>
      <c r="E64" s="359"/>
      <c r="F64" s="359"/>
      <c r="G64" s="409"/>
      <c r="H64" s="389"/>
      <c r="I64" s="910" t="s">
        <v>30</v>
      </c>
      <c r="J64" s="910"/>
      <c r="K64" s="526">
        <f>SUM(K65)</f>
        <v>25617405</v>
      </c>
      <c r="L64" s="526">
        <f>SUM(L65)</f>
        <v>25617405</v>
      </c>
      <c r="M64" s="527">
        <f t="shared" si="11"/>
        <v>0.81939249421857163</v>
      </c>
      <c r="N64" s="528">
        <f t="shared" si="11"/>
        <v>0</v>
      </c>
    </row>
    <row r="65" spans="1:14">
      <c r="A65" s="380"/>
      <c r="B65" s="381"/>
      <c r="C65" s="381"/>
      <c r="D65" s="359"/>
      <c r="E65" s="359"/>
      <c r="F65" s="359"/>
      <c r="G65" s="409"/>
      <c r="H65" s="388"/>
      <c r="I65" s="329" t="s">
        <v>168</v>
      </c>
      <c r="J65" s="329" t="s">
        <v>7</v>
      </c>
      <c r="K65" s="397">
        <f>SUM(K66)</f>
        <v>25617405</v>
      </c>
      <c r="L65" s="397">
        <f>SUM(L66)</f>
        <v>25617405</v>
      </c>
      <c r="M65" s="400">
        <f t="shared" si="11"/>
        <v>0.81939249421857163</v>
      </c>
      <c r="N65" s="401">
        <f t="shared" si="11"/>
        <v>0</v>
      </c>
    </row>
    <row r="66" spans="1:14">
      <c r="A66" s="382"/>
      <c r="B66" s="383"/>
      <c r="C66" s="383"/>
      <c r="D66" s="360"/>
      <c r="E66" s="360"/>
      <c r="F66" s="360"/>
      <c r="G66" s="410"/>
      <c r="H66" s="390"/>
      <c r="I66" s="391"/>
      <c r="J66" s="391" t="s">
        <v>168</v>
      </c>
      <c r="K66" s="411">
        <f>라.보조금세출내역!E124</f>
        <v>25617405</v>
      </c>
      <c r="L66" s="411">
        <f>라.보조금세출내역!F124</f>
        <v>25617405</v>
      </c>
      <c r="M66" s="412">
        <f>L66/$L$6*100</f>
        <v>0.81939249421857163</v>
      </c>
      <c r="N66" s="413">
        <f>L66-K66</f>
        <v>0</v>
      </c>
    </row>
    <row r="67" spans="1:14" ht="13.5" hidden="1" customHeight="1">
      <c r="D67" s="363"/>
      <c r="E67" s="363">
        <v>0</v>
      </c>
      <c r="F67" s="363"/>
      <c r="G67" s="363"/>
      <c r="H67" s="392"/>
      <c r="I67" s="392"/>
      <c r="J67" s="392"/>
      <c r="K67" s="384"/>
      <c r="L67" s="363"/>
      <c r="M67" s="414"/>
      <c r="N67" s="363"/>
    </row>
    <row r="68" spans="1:14">
      <c r="D68" s="384"/>
      <c r="E68" s="363"/>
      <c r="F68" s="363"/>
      <c r="G68" s="363"/>
      <c r="H68" s="392"/>
      <c r="I68" s="392"/>
      <c r="J68" s="392"/>
      <c r="K68" s="384"/>
      <c r="L68" s="363"/>
      <c r="M68" s="414"/>
      <c r="N68" s="363"/>
    </row>
    <row r="69" spans="1:14">
      <c r="D69" s="384"/>
      <c r="E69" s="363"/>
      <c r="F69" s="363"/>
      <c r="G69" s="363"/>
      <c r="H69" s="392"/>
      <c r="I69" s="392"/>
      <c r="J69" s="392"/>
      <c r="K69" s="384"/>
      <c r="L69" s="363"/>
      <c r="M69" s="414"/>
      <c r="N69" s="363"/>
    </row>
    <row r="70" spans="1:14">
      <c r="D70" s="384"/>
      <c r="E70" s="363"/>
      <c r="F70" s="363"/>
      <c r="G70" s="363"/>
      <c r="H70" s="392"/>
      <c r="I70" s="392"/>
      <c r="J70" s="392"/>
      <c r="K70" s="384"/>
      <c r="L70" s="363"/>
      <c r="M70" s="414"/>
      <c r="N70" s="363"/>
    </row>
    <row r="71" spans="1:14">
      <c r="D71" s="384"/>
      <c r="E71" s="363"/>
      <c r="F71" s="363"/>
      <c r="G71" s="363"/>
      <c r="H71" s="392"/>
      <c r="I71" s="392"/>
      <c r="J71" s="392"/>
      <c r="K71" s="384"/>
      <c r="L71" s="363"/>
      <c r="M71" s="414"/>
      <c r="N71" s="363"/>
    </row>
    <row r="72" spans="1:14">
      <c r="D72" s="384"/>
      <c r="E72" s="363"/>
      <c r="F72" s="363"/>
      <c r="G72" s="363"/>
      <c r="H72" s="392"/>
      <c r="I72" s="392"/>
      <c r="J72" s="392"/>
      <c r="K72" s="384"/>
      <c r="L72" s="363"/>
      <c r="M72" s="414"/>
      <c r="N72" s="363"/>
    </row>
    <row r="73" spans="1:14" hidden="1">
      <c r="D73" s="384"/>
      <c r="E73" s="363"/>
      <c r="F73" s="363"/>
      <c r="G73" s="363"/>
      <c r="K73" s="384"/>
      <c r="L73" s="363"/>
      <c r="M73" s="415"/>
      <c r="N73" s="363"/>
    </row>
    <row r="74" spans="1:14">
      <c r="D74" s="384"/>
      <c r="E74" s="363"/>
      <c r="F74" s="363"/>
      <c r="G74" s="363"/>
      <c r="K74" s="384"/>
      <c r="L74" s="363"/>
      <c r="M74" s="415"/>
      <c r="N74" s="363"/>
    </row>
    <row r="75" spans="1:14">
      <c r="D75" s="384"/>
      <c r="E75" s="363"/>
      <c r="F75" s="363"/>
      <c r="G75" s="363"/>
      <c r="K75" s="384"/>
      <c r="L75" s="363"/>
      <c r="M75" s="415"/>
      <c r="N75" s="363"/>
    </row>
    <row r="76" spans="1:14">
      <c r="D76" s="384"/>
      <c r="E76" s="363"/>
      <c r="F76" s="363"/>
      <c r="G76" s="363"/>
      <c r="K76" s="384"/>
      <c r="L76" s="363"/>
      <c r="M76" s="415"/>
      <c r="N76" s="363"/>
    </row>
    <row r="77" spans="1:14">
      <c r="D77" s="384"/>
      <c r="E77" s="363"/>
      <c r="F77" s="363"/>
      <c r="G77" s="363"/>
      <c r="K77" s="384"/>
      <c r="L77" s="363"/>
      <c r="M77" s="415"/>
      <c r="N77" s="363"/>
    </row>
    <row r="78" spans="1:14">
      <c r="D78" s="384"/>
      <c r="E78" s="363"/>
      <c r="F78" s="363"/>
      <c r="G78" s="363"/>
      <c r="K78" s="384"/>
      <c r="L78" s="363"/>
      <c r="M78" s="415"/>
      <c r="N78" s="363"/>
    </row>
    <row r="79" spans="1:14">
      <c r="D79" s="384"/>
      <c r="E79" s="363"/>
      <c r="F79" s="363"/>
      <c r="G79" s="363"/>
      <c r="K79" s="384"/>
      <c r="L79" s="363"/>
      <c r="M79" s="415"/>
      <c r="N79" s="363"/>
    </row>
    <row r="80" spans="1:14">
      <c r="D80" s="384"/>
      <c r="E80" s="363"/>
      <c r="F80" s="363"/>
      <c r="G80" s="363"/>
      <c r="K80" s="384"/>
      <c r="L80" s="363"/>
      <c r="M80" s="415"/>
      <c r="N80" s="363"/>
    </row>
    <row r="81" spans="4:14">
      <c r="D81" s="384"/>
      <c r="E81" s="363"/>
      <c r="F81" s="363"/>
      <c r="G81" s="363"/>
      <c r="K81" s="384"/>
      <c r="L81" s="363"/>
      <c r="M81" s="415"/>
      <c r="N81" s="363"/>
    </row>
    <row r="82" spans="4:14">
      <c r="D82" s="384"/>
      <c r="E82" s="363"/>
      <c r="F82" s="363"/>
      <c r="G82" s="363"/>
      <c r="K82" s="384"/>
      <c r="L82" s="363"/>
      <c r="M82" s="415"/>
      <c r="N82" s="363"/>
    </row>
    <row r="83" spans="4:14">
      <c r="D83" s="384"/>
      <c r="E83" s="363"/>
      <c r="F83" s="363"/>
      <c r="G83" s="363"/>
      <c r="K83" s="384"/>
      <c r="L83" s="363"/>
      <c r="M83" s="415"/>
      <c r="N83" s="363"/>
    </row>
    <row r="84" spans="4:14">
      <c r="D84" s="384"/>
      <c r="E84" s="363"/>
      <c r="F84" s="363"/>
      <c r="G84" s="363"/>
      <c r="K84" s="384"/>
      <c r="L84" s="363"/>
      <c r="M84" s="415"/>
      <c r="N84" s="363"/>
    </row>
    <row r="85" spans="4:14">
      <c r="D85" s="384"/>
      <c r="E85" s="363"/>
      <c r="F85" s="363"/>
      <c r="G85" s="363"/>
      <c r="K85" s="384"/>
      <c r="L85" s="363"/>
      <c r="M85" s="415"/>
      <c r="N85" s="363"/>
    </row>
    <row r="86" spans="4:14">
      <c r="D86" s="384"/>
      <c r="E86" s="363"/>
      <c r="F86" s="363"/>
      <c r="G86" s="363"/>
      <c r="K86" s="384"/>
      <c r="L86" s="363"/>
      <c r="M86" s="415"/>
      <c r="N86" s="363"/>
    </row>
    <row r="87" spans="4:14">
      <c r="D87" s="384"/>
      <c r="E87" s="363"/>
      <c r="F87" s="363"/>
      <c r="G87" s="363"/>
      <c r="K87" s="384"/>
      <c r="L87" s="363"/>
      <c r="M87" s="415"/>
      <c r="N87" s="363"/>
    </row>
    <row r="88" spans="4:14">
      <c r="D88" s="384"/>
      <c r="E88" s="363"/>
      <c r="F88" s="363"/>
      <c r="G88" s="363"/>
      <c r="K88" s="384"/>
      <c r="L88" s="363"/>
      <c r="M88" s="415"/>
      <c r="N88" s="363"/>
    </row>
    <row r="89" spans="4:14">
      <c r="D89" s="384"/>
      <c r="E89" s="363"/>
      <c r="F89" s="363"/>
      <c r="G89" s="363"/>
      <c r="K89" s="384"/>
      <c r="L89" s="363"/>
      <c r="M89" s="415"/>
      <c r="N89" s="363"/>
    </row>
    <row r="90" spans="4:14">
      <c r="D90" s="384"/>
      <c r="E90" s="363"/>
      <c r="F90" s="363"/>
      <c r="G90" s="363"/>
      <c r="K90" s="384"/>
      <c r="L90" s="363"/>
      <c r="M90" s="415"/>
      <c r="N90" s="363"/>
    </row>
    <row r="91" spans="4:14">
      <c r="D91" s="384"/>
      <c r="E91" s="363"/>
      <c r="F91" s="363"/>
      <c r="G91" s="363"/>
      <c r="K91" s="384"/>
      <c r="L91" s="363"/>
      <c r="M91" s="415"/>
      <c r="N91" s="363"/>
    </row>
    <row r="92" spans="4:14">
      <c r="D92" s="384"/>
      <c r="E92" s="363"/>
      <c r="F92" s="363"/>
      <c r="G92" s="363"/>
      <c r="K92" s="384"/>
      <c r="L92" s="363"/>
      <c r="M92" s="415"/>
      <c r="N92" s="363"/>
    </row>
  </sheetData>
  <mergeCells count="32">
    <mergeCell ref="B43:C43"/>
    <mergeCell ref="I58:J58"/>
    <mergeCell ref="I61:J61"/>
    <mergeCell ref="I33:J33"/>
    <mergeCell ref="I55:J55"/>
    <mergeCell ref="I52:J52"/>
    <mergeCell ref="A3:G3"/>
    <mergeCell ref="H1:J1"/>
    <mergeCell ref="H4:J4"/>
    <mergeCell ref="F4:F5"/>
    <mergeCell ref="D4:D5"/>
    <mergeCell ref="H3:N3"/>
    <mergeCell ref="M4:M5"/>
    <mergeCell ref="L4:L5"/>
    <mergeCell ref="K4:K5"/>
    <mergeCell ref="A1:C1"/>
    <mergeCell ref="I64:J64"/>
    <mergeCell ref="A4:C4"/>
    <mergeCell ref="N4:N5"/>
    <mergeCell ref="B30:C30"/>
    <mergeCell ref="B7:C7"/>
    <mergeCell ref="B10:C10"/>
    <mergeCell ref="E4:E5"/>
    <mergeCell ref="G4:G5"/>
    <mergeCell ref="H6:J6"/>
    <mergeCell ref="B13:C13"/>
    <mergeCell ref="B16:C16"/>
    <mergeCell ref="B39:C39"/>
    <mergeCell ref="A6:C6"/>
    <mergeCell ref="I7:J7"/>
    <mergeCell ref="I28:J28"/>
    <mergeCell ref="B36:C36"/>
  </mergeCells>
  <phoneticPr fontId="2" type="noConversion"/>
  <printOptions horizontalCentered="1"/>
  <pageMargins left="0.15748031496062992" right="0.11811023622047245" top="0.70866141732283472" bottom="0.55118110236220474" header="0.51181102362204722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M87"/>
  <sheetViews>
    <sheetView workbookViewId="0">
      <selection activeCell="H12" sqref="H12"/>
    </sheetView>
  </sheetViews>
  <sheetFormatPr defaultRowHeight="13.5"/>
  <cols>
    <col min="1" max="2" width="10.88671875" style="46" customWidth="1"/>
    <col min="3" max="3" width="11.44140625" style="46" customWidth="1"/>
    <col min="4" max="4" width="11.44140625" style="46" hidden="1" customWidth="1"/>
    <col min="5" max="6" width="12.77734375" style="46" customWidth="1"/>
    <col min="7" max="7" width="6.77734375" style="46" customWidth="1"/>
    <col min="8" max="8" width="12.77734375" style="46" customWidth="1"/>
    <col min="9" max="9" width="36.109375" style="46" customWidth="1"/>
    <col min="10" max="10" width="11.5546875" style="47" customWidth="1"/>
    <col min="11" max="11" width="15.109375" style="46" customWidth="1"/>
    <col min="12" max="12" width="5" style="46" customWidth="1"/>
    <col min="13" max="13" width="10.77734375" style="46" customWidth="1"/>
  </cols>
  <sheetData>
    <row r="1" spans="1:11" s="5" customFormat="1" ht="22.5" customHeight="1">
      <c r="A1" s="940" t="s">
        <v>852</v>
      </c>
      <c r="B1" s="941"/>
      <c r="C1" s="941"/>
      <c r="D1" s="634"/>
      <c r="E1" s="34"/>
      <c r="F1" s="34"/>
      <c r="G1" s="44"/>
      <c r="H1" s="44"/>
    </row>
    <row r="2" spans="1:11" s="5" customFormat="1" ht="22.5" customHeight="1">
      <c r="A2" s="943" t="s">
        <v>248</v>
      </c>
      <c r="B2" s="943"/>
      <c r="C2" s="943"/>
      <c r="D2" s="630"/>
      <c r="E2" s="34"/>
      <c r="F2" s="34"/>
      <c r="G2" s="44"/>
      <c r="H2" s="44"/>
    </row>
    <row r="3" spans="1:11" s="5" customFormat="1" ht="22.5" customHeight="1">
      <c r="A3" s="45"/>
      <c r="B3" s="45"/>
      <c r="C3" s="44"/>
      <c r="D3" s="44"/>
      <c r="E3" s="44"/>
      <c r="F3" s="44"/>
      <c r="G3" s="44"/>
      <c r="H3" s="44"/>
      <c r="I3" s="293" t="s">
        <v>0</v>
      </c>
    </row>
    <row r="4" spans="1:11" s="3" customFormat="1" ht="33.75" customHeight="1">
      <c r="A4" s="950" t="s">
        <v>249</v>
      </c>
      <c r="B4" s="951"/>
      <c r="C4" s="951"/>
      <c r="D4" s="789"/>
      <c r="E4" s="938" t="str">
        <f>'나.세입세출(총괄)'!D4:D5</f>
        <v>2015년도
1차추경
( A )</v>
      </c>
      <c r="F4" s="936" t="str">
        <f>'나.세입세출(총괄)'!E4:E5</f>
        <v>2015년도
2차추경
( B )</v>
      </c>
      <c r="G4" s="948" t="s">
        <v>391</v>
      </c>
      <c r="H4" s="948" t="s">
        <v>250</v>
      </c>
      <c r="I4" s="944" t="s">
        <v>33</v>
      </c>
    </row>
    <row r="5" spans="1:11" s="3" customFormat="1" ht="33.75" customHeight="1" thickBot="1">
      <c r="A5" s="180" t="s">
        <v>251</v>
      </c>
      <c r="B5" s="181" t="s">
        <v>252</v>
      </c>
      <c r="C5" s="181" t="s">
        <v>253</v>
      </c>
      <c r="D5" s="790"/>
      <c r="E5" s="939"/>
      <c r="F5" s="937"/>
      <c r="G5" s="949"/>
      <c r="H5" s="949"/>
      <c r="I5" s="945"/>
    </row>
    <row r="6" spans="1:11" s="3" customFormat="1" ht="33.75" customHeight="1" thickTop="1">
      <c r="A6" s="946" t="s">
        <v>259</v>
      </c>
      <c r="B6" s="947"/>
      <c r="C6" s="947"/>
      <c r="D6" s="633"/>
      <c r="E6" s="298">
        <v>2382000000</v>
      </c>
      <c r="F6" s="298">
        <f>F7+F10+F13+F35+F39</f>
        <v>2385190000</v>
      </c>
      <c r="G6" s="297">
        <f>G7+G10+G13+G35+G39+G28</f>
        <v>99.778214733417471</v>
      </c>
      <c r="H6" s="298">
        <f>H7+H10+H13+H35+H39</f>
        <v>3190000</v>
      </c>
      <c r="I6" s="294"/>
      <c r="K6" s="615">
        <f>F6-라.보조금세출내역!F6</f>
        <v>0</v>
      </c>
    </row>
    <row r="7" spans="1:11" s="1" customFormat="1" ht="33.75" customHeight="1">
      <c r="A7" s="82" t="s">
        <v>254</v>
      </c>
      <c r="B7" s="942" t="s">
        <v>255</v>
      </c>
      <c r="C7" s="942"/>
      <c r="D7" s="632"/>
      <c r="E7" s="269">
        <v>0</v>
      </c>
      <c r="F7" s="269">
        <f>F8</f>
        <v>0</v>
      </c>
      <c r="G7" s="281">
        <f>G8</f>
        <v>0</v>
      </c>
      <c r="H7" s="269">
        <f>H8</f>
        <v>0</v>
      </c>
      <c r="I7" s="289"/>
    </row>
    <row r="8" spans="1:11" s="1" customFormat="1" ht="33.75" customHeight="1">
      <c r="A8" s="205"/>
      <c r="B8" s="83" t="s">
        <v>256</v>
      </c>
      <c r="C8" s="83" t="s">
        <v>257</v>
      </c>
      <c r="D8" s="652"/>
      <c r="E8" s="245">
        <v>0</v>
      </c>
      <c r="F8" s="245">
        <f>F9</f>
        <v>0</v>
      </c>
      <c r="G8" s="281">
        <f>G9</f>
        <v>0</v>
      </c>
      <c r="H8" s="245">
        <f>F8-E8</f>
        <v>0</v>
      </c>
      <c r="I8" s="289"/>
    </row>
    <row r="9" spans="1:11" s="1" customFormat="1" ht="33.75" customHeight="1">
      <c r="A9" s="212"/>
      <c r="B9" s="83"/>
      <c r="C9" s="83" t="s">
        <v>256</v>
      </c>
      <c r="D9" s="652"/>
      <c r="E9" s="245">
        <v>0</v>
      </c>
      <c r="F9" s="245">
        <v>0</v>
      </c>
      <c r="G9" s="281">
        <f>F9/F6*100</f>
        <v>0</v>
      </c>
      <c r="H9" s="245">
        <f>F9-E9</f>
        <v>0</v>
      </c>
      <c r="I9" s="289"/>
    </row>
    <row r="10" spans="1:11" s="1" customFormat="1" ht="33.75" customHeight="1">
      <c r="A10" s="82" t="s">
        <v>237</v>
      </c>
      <c r="B10" s="942" t="s">
        <v>235</v>
      </c>
      <c r="C10" s="942"/>
      <c r="D10" s="632"/>
      <c r="E10" s="269">
        <v>0</v>
      </c>
      <c r="F10" s="269">
        <f t="shared" ref="F10:H11" si="0">F11</f>
        <v>0</v>
      </c>
      <c r="G10" s="281">
        <f t="shared" si="0"/>
        <v>0</v>
      </c>
      <c r="H10" s="269">
        <f t="shared" si="0"/>
        <v>0</v>
      </c>
      <c r="I10" s="289"/>
    </row>
    <row r="11" spans="1:11" s="1" customFormat="1" ht="33.75" customHeight="1">
      <c r="A11" s="205"/>
      <c r="B11" s="83" t="s">
        <v>237</v>
      </c>
      <c r="C11" s="83" t="s">
        <v>7</v>
      </c>
      <c r="D11" s="652"/>
      <c r="E11" s="269">
        <v>0</v>
      </c>
      <c r="F11" s="269">
        <f t="shared" si="0"/>
        <v>0</v>
      </c>
      <c r="G11" s="281">
        <f t="shared" si="0"/>
        <v>0</v>
      </c>
      <c r="H11" s="269">
        <f t="shared" si="0"/>
        <v>0</v>
      </c>
      <c r="I11" s="289"/>
    </row>
    <row r="12" spans="1:11" s="1" customFormat="1" ht="33.75" customHeight="1">
      <c r="A12" s="212"/>
      <c r="B12" s="83"/>
      <c r="C12" s="83" t="s">
        <v>237</v>
      </c>
      <c r="D12" s="652"/>
      <c r="E12" s="269">
        <v>0</v>
      </c>
      <c r="F12" s="269">
        <v>0</v>
      </c>
      <c r="G12" s="281">
        <f>F12/F6*100</f>
        <v>0</v>
      </c>
      <c r="H12" s="269">
        <f>F12-E12</f>
        <v>0</v>
      </c>
      <c r="I12" s="289"/>
    </row>
    <row r="13" spans="1:11" s="1" customFormat="1" ht="33.75" customHeight="1">
      <c r="A13" s="82" t="s">
        <v>48</v>
      </c>
      <c r="B13" s="942" t="s">
        <v>30</v>
      </c>
      <c r="C13" s="942"/>
      <c r="D13" s="632"/>
      <c r="E13" s="245">
        <v>2355742860</v>
      </c>
      <c r="F13" s="245">
        <f>F14</f>
        <v>2358791352</v>
      </c>
      <c r="G13" s="304">
        <f>G14+G28+G30+G41</f>
        <v>98.671441352680503</v>
      </c>
      <c r="H13" s="245">
        <f>H14+H28+H30+H41</f>
        <v>3048492</v>
      </c>
      <c r="I13" s="289"/>
    </row>
    <row r="14" spans="1:11" s="1" customFormat="1" ht="33.75" customHeight="1">
      <c r="A14" s="205"/>
      <c r="B14" s="627" t="s">
        <v>797</v>
      </c>
      <c r="C14" s="83" t="s">
        <v>236</v>
      </c>
      <c r="D14" s="652"/>
      <c r="E14" s="245">
        <f>SUM(E15,E19,E28)</f>
        <v>2355742860</v>
      </c>
      <c r="F14" s="245">
        <f>SUM(F15,F19,F28)</f>
        <v>2358791352</v>
      </c>
      <c r="G14" s="281">
        <f>SUM(G15:G22)</f>
        <v>98.671441352680503</v>
      </c>
      <c r="H14" s="245">
        <f>F14-E14</f>
        <v>3048492</v>
      </c>
      <c r="I14" s="289"/>
    </row>
    <row r="15" spans="1:11" s="1" customFormat="1" ht="33.75" customHeight="1">
      <c r="A15" s="206"/>
      <c r="B15" s="288"/>
      <c r="C15" s="627" t="s">
        <v>798</v>
      </c>
      <c r="D15" s="791" t="s">
        <v>851</v>
      </c>
      <c r="E15" s="245">
        <f>SUM(E16:E18)</f>
        <v>1477837788</v>
      </c>
      <c r="F15" s="245">
        <f>SUM(F16:F18)</f>
        <v>1444358322.4000001</v>
      </c>
      <c r="G15" s="281">
        <f>F15/F6*100</f>
        <v>60.555273265442167</v>
      </c>
      <c r="H15" s="245">
        <f>F15-E15</f>
        <v>-33479465.599999905</v>
      </c>
      <c r="I15" s="491"/>
    </row>
    <row r="16" spans="1:11" s="1" customFormat="1" ht="33.75" hidden="1" customHeight="1">
      <c r="A16" s="206"/>
      <c r="B16" s="250"/>
      <c r="C16" s="652"/>
      <c r="D16" s="652" t="str">
        <f>라.보조금세출내역!B8</f>
        <v>인건비</v>
      </c>
      <c r="E16" s="245">
        <f>라.보조금세출내역!E8*70%</f>
        <v>1320983636</v>
      </c>
      <c r="F16" s="245">
        <f>라.보조금세출내역!F8*70%</f>
        <v>1285159092</v>
      </c>
      <c r="G16" s="281"/>
      <c r="H16" s="245">
        <f t="shared" ref="H16:H18" si="1">F16-E16</f>
        <v>-35824544</v>
      </c>
      <c r="I16" s="491"/>
    </row>
    <row r="17" spans="1:9" s="1" customFormat="1" ht="33.75" hidden="1" customHeight="1">
      <c r="A17" s="206"/>
      <c r="B17" s="250"/>
      <c r="C17" s="652"/>
      <c r="D17" s="652" t="s">
        <v>853</v>
      </c>
      <c r="E17" s="245">
        <f>라.보조금세출내역!Q7*70%</f>
        <v>65904999.999999993</v>
      </c>
      <c r="F17" s="245">
        <f>라.보조금세출내역!Q7*70%</f>
        <v>65904999.999999993</v>
      </c>
      <c r="G17" s="281"/>
      <c r="H17" s="245">
        <f t="shared" si="1"/>
        <v>0</v>
      </c>
      <c r="I17" s="491"/>
    </row>
    <row r="18" spans="1:9" s="1" customFormat="1" ht="33.75" hidden="1" customHeight="1">
      <c r="A18" s="206"/>
      <c r="B18" s="250"/>
      <c r="C18" s="652"/>
      <c r="D18" s="652" t="s">
        <v>856</v>
      </c>
      <c r="E18" s="245">
        <f>라.보조금세출내역!E54*70%</f>
        <v>90949152</v>
      </c>
      <c r="F18" s="245">
        <f>라.보조금세출내역!F54*70%</f>
        <v>93294230.399999991</v>
      </c>
      <c r="G18" s="281"/>
      <c r="H18" s="245">
        <f t="shared" si="1"/>
        <v>2345078.3999999911</v>
      </c>
      <c r="I18" s="491"/>
    </row>
    <row r="19" spans="1:9" s="1" customFormat="1" ht="33.75" customHeight="1">
      <c r="A19" s="206"/>
      <c r="B19" s="250"/>
      <c r="C19" s="652" t="s">
        <v>855</v>
      </c>
      <c r="D19" s="791" t="s">
        <v>851</v>
      </c>
      <c r="E19" s="245">
        <f>SUM(E20:E25)</f>
        <v>872615072</v>
      </c>
      <c r="F19" s="245">
        <f>SUM(F20:F25)</f>
        <v>909143029.60000002</v>
      </c>
      <c r="G19" s="281">
        <f>F19/F6*100</f>
        <v>38.116168087238336</v>
      </c>
      <c r="H19" s="245">
        <f>F19-E19</f>
        <v>36527957.600000024</v>
      </c>
      <c r="I19" s="289"/>
    </row>
    <row r="20" spans="1:9" s="1" customFormat="1" ht="33.75" hidden="1" customHeight="1">
      <c r="A20" s="206"/>
      <c r="B20" s="250"/>
      <c r="C20" s="652"/>
      <c r="D20" s="652" t="str">
        <f>D16</f>
        <v>인건비</v>
      </c>
      <c r="E20" s="245">
        <f>라.보조금세출내역!E8*30%</f>
        <v>566135844</v>
      </c>
      <c r="F20" s="245">
        <f>라.보조금세출내역!F8*30%</f>
        <v>550782468</v>
      </c>
      <c r="G20" s="281"/>
      <c r="H20" s="245">
        <f t="shared" ref="H20:H25" si="2">F20-E20</f>
        <v>-15353376</v>
      </c>
      <c r="I20" s="289"/>
    </row>
    <row r="21" spans="1:9" s="1" customFormat="1" ht="33.75" hidden="1" customHeight="1">
      <c r="A21" s="206"/>
      <c r="B21" s="250"/>
      <c r="C21" s="652"/>
      <c r="D21" s="652" t="str">
        <f>D17</f>
        <v>운영비</v>
      </c>
      <c r="E21" s="245">
        <f>라.보조금세출내역!Q7*30%</f>
        <v>28245000</v>
      </c>
      <c r="F21" s="245">
        <f>라.보조금세출내역!Q7*30%</f>
        <v>28245000</v>
      </c>
      <c r="G21" s="281"/>
      <c r="H21" s="245">
        <f t="shared" si="2"/>
        <v>0</v>
      </c>
      <c r="I21" s="289"/>
    </row>
    <row r="22" spans="1:9" s="1" customFormat="1" ht="33.75" hidden="1" customHeight="1">
      <c r="A22" s="206"/>
      <c r="B22" s="242"/>
      <c r="C22" s="627"/>
      <c r="D22" s="652" t="str">
        <f>D18</f>
        <v>생계비</v>
      </c>
      <c r="E22" s="245">
        <f>라.보조금세출내역!E54*30%</f>
        <v>38978208</v>
      </c>
      <c r="F22" s="245">
        <f>라.보조금세출내역!F54*30%</f>
        <v>39983241.600000001</v>
      </c>
      <c r="G22" s="281"/>
      <c r="H22" s="245">
        <f t="shared" si="2"/>
        <v>1005033.6000000015</v>
      </c>
      <c r="I22" s="289"/>
    </row>
    <row r="23" spans="1:9" s="1" customFormat="1" ht="33.75" hidden="1" customHeight="1">
      <c r="A23" s="206"/>
      <c r="B23" s="242"/>
      <c r="C23" s="652"/>
      <c r="D23" s="652" t="str">
        <f>라.보조금세출내역!C93</f>
        <v>4종운영지원사업비</v>
      </c>
      <c r="E23" s="245">
        <f>라.보조금세출내역!E93</f>
        <v>32840000</v>
      </c>
      <c r="F23" s="245">
        <f>라.보조금세출내역!F93</f>
        <v>32840000</v>
      </c>
      <c r="G23" s="281"/>
      <c r="H23" s="245">
        <f t="shared" si="2"/>
        <v>0</v>
      </c>
      <c r="I23" s="289"/>
    </row>
    <row r="24" spans="1:9" s="1" customFormat="1" ht="33.75" hidden="1" customHeight="1">
      <c r="A24" s="206"/>
      <c r="B24" s="242"/>
      <c r="C24" s="652"/>
      <c r="D24" s="652" t="str">
        <f>라.보조금세출내역!C99</f>
        <v>7종운영지원
사업비</v>
      </c>
      <c r="E24" s="245">
        <f>라.보조금세출내역!E99</f>
        <v>206416020</v>
      </c>
      <c r="F24" s="245">
        <f>라.보조금세출내역!F99</f>
        <v>237019070</v>
      </c>
      <c r="G24" s="281"/>
      <c r="H24" s="245">
        <f>F24-E24</f>
        <v>30603050</v>
      </c>
      <c r="I24" s="289"/>
    </row>
    <row r="25" spans="1:9" s="1" customFormat="1" ht="33.75" hidden="1" customHeight="1">
      <c r="A25" s="206"/>
      <c r="B25" s="242"/>
      <c r="C25" s="652"/>
      <c r="D25" s="652" t="str">
        <f>라.보조금세출내역!C107</f>
        <v>추가지원사업비</v>
      </c>
      <c r="E25" s="245"/>
      <c r="F25" s="245">
        <f>라.보조금세출내역!G107</f>
        <v>20273250</v>
      </c>
      <c r="G25" s="281"/>
      <c r="H25" s="245">
        <f t="shared" si="2"/>
        <v>20273250</v>
      </c>
      <c r="I25" s="289"/>
    </row>
    <row r="26" spans="1:9" s="1" customFormat="1" ht="33.75" customHeight="1">
      <c r="A26" s="206"/>
      <c r="B26" s="242"/>
      <c r="C26" s="652"/>
      <c r="D26" s="652"/>
      <c r="E26" s="245"/>
      <c r="F26" s="245"/>
      <c r="G26" s="281"/>
      <c r="H26" s="245"/>
      <c r="I26" s="289"/>
    </row>
    <row r="27" spans="1:9" s="1" customFormat="1" ht="33.75" customHeight="1">
      <c r="A27" s="206"/>
      <c r="B27" s="242"/>
      <c r="C27" s="652"/>
      <c r="D27" s="652"/>
      <c r="E27" s="245"/>
      <c r="F27" s="245"/>
      <c r="G27" s="281"/>
      <c r="H27" s="245"/>
      <c r="I27" s="289"/>
    </row>
    <row r="28" spans="1:9" s="1" customFormat="1" ht="33.75" customHeight="1">
      <c r="A28" s="206"/>
      <c r="B28" s="83"/>
      <c r="C28" s="627" t="s">
        <v>799</v>
      </c>
      <c r="D28" s="791" t="s">
        <v>851</v>
      </c>
      <c r="E28" s="245">
        <v>5290000</v>
      </c>
      <c r="F28" s="245">
        <f>SUM(F29)</f>
        <v>5290000</v>
      </c>
      <c r="G28" s="281">
        <f>G29</f>
        <v>0</v>
      </c>
      <c r="H28" s="245">
        <f>H29</f>
        <v>0</v>
      </c>
      <c r="I28" s="589" t="s">
        <v>763</v>
      </c>
    </row>
    <row r="29" spans="1:9" s="1" customFormat="1" ht="33.75" customHeight="1">
      <c r="A29" s="206"/>
      <c r="B29" s="83"/>
      <c r="C29" s="83"/>
      <c r="D29" s="792" t="s">
        <v>854</v>
      </c>
      <c r="E29" s="245">
        <v>5290000</v>
      </c>
      <c r="F29" s="245">
        <f>라.보조금세출내역!F110</f>
        <v>5290000</v>
      </c>
      <c r="G29" s="281"/>
      <c r="H29" s="245"/>
      <c r="I29" s="589"/>
    </row>
    <row r="30" spans="1:9" s="1" customFormat="1" ht="33.75" hidden="1" customHeight="1">
      <c r="A30" s="206"/>
      <c r="B30" s="83"/>
      <c r="C30" s="83"/>
      <c r="D30" s="652"/>
      <c r="E30" s="245"/>
      <c r="F30" s="245"/>
      <c r="G30" s="281"/>
      <c r="H30" s="245"/>
      <c r="I30" s="289"/>
    </row>
    <row r="31" spans="1:9" s="1" customFormat="1" ht="33.75" hidden="1" customHeight="1">
      <c r="A31" s="206"/>
      <c r="B31" s="213"/>
      <c r="C31" s="87"/>
      <c r="D31" s="87"/>
      <c r="E31" s="245"/>
      <c r="F31" s="245"/>
      <c r="G31" s="281"/>
      <c r="H31" s="245"/>
      <c r="I31" s="289"/>
    </row>
    <row r="32" spans="1:9" s="1" customFormat="1" ht="33.75" hidden="1" customHeight="1">
      <c r="A32" s="206"/>
      <c r="B32" s="209"/>
      <c r="C32" s="87"/>
      <c r="D32" s="87"/>
      <c r="E32" s="245">
        <v>0</v>
      </c>
      <c r="F32" s="245">
        <v>0</v>
      </c>
      <c r="G32" s="281">
        <f>F32/F6*100</f>
        <v>0</v>
      </c>
      <c r="H32" s="245">
        <f>F32-E32</f>
        <v>0</v>
      </c>
      <c r="I32" s="519"/>
    </row>
    <row r="33" spans="1:9" s="1" customFormat="1" ht="33.75" hidden="1" customHeight="1">
      <c r="A33" s="206"/>
      <c r="B33" s="209"/>
      <c r="C33" s="83"/>
      <c r="D33" s="652"/>
      <c r="E33" s="245"/>
      <c r="F33" s="245"/>
      <c r="G33" s="281">
        <f>F33/F6*100</f>
        <v>0</v>
      </c>
      <c r="H33" s="245">
        <f>F33-E33</f>
        <v>0</v>
      </c>
      <c r="I33" s="573"/>
    </row>
    <row r="34" spans="1:9" s="1" customFormat="1" ht="33.75" hidden="1" customHeight="1">
      <c r="A34" s="212"/>
      <c r="B34" s="214"/>
      <c r="C34" s="83"/>
      <c r="D34" s="652"/>
      <c r="E34" s="245">
        <v>0</v>
      </c>
      <c r="F34" s="245">
        <v>0</v>
      </c>
      <c r="G34" s="281">
        <f>F34/F6*100</f>
        <v>0</v>
      </c>
      <c r="H34" s="245">
        <f>F34-E34</f>
        <v>0</v>
      </c>
      <c r="I34" s="573"/>
    </row>
    <row r="35" spans="1:9" s="1" customFormat="1" ht="33.75" customHeight="1">
      <c r="A35" s="82" t="s">
        <v>243</v>
      </c>
      <c r="B35" s="942" t="s">
        <v>235</v>
      </c>
      <c r="C35" s="942"/>
      <c r="D35" s="632"/>
      <c r="E35" s="245">
        <v>25617405</v>
      </c>
      <c r="F35" s="245">
        <f>F36</f>
        <v>25617405</v>
      </c>
      <c r="G35" s="281">
        <f>G36</f>
        <v>1.0740194701470323</v>
      </c>
      <c r="H35" s="245">
        <f>H36</f>
        <v>0</v>
      </c>
      <c r="I35" s="289"/>
    </row>
    <row r="36" spans="1:9" s="1" customFormat="1" ht="33.75" customHeight="1">
      <c r="A36" s="205"/>
      <c r="B36" s="83" t="s">
        <v>243</v>
      </c>
      <c r="C36" s="83" t="s">
        <v>236</v>
      </c>
      <c r="D36" s="652"/>
      <c r="E36" s="245">
        <v>25617405</v>
      </c>
      <c r="F36" s="245">
        <f>SUM(F37:F38)</f>
        <v>25617405</v>
      </c>
      <c r="G36" s="281">
        <f>SUM(G37:G38)</f>
        <v>1.0740194701470323</v>
      </c>
      <c r="H36" s="245">
        <f>SUM(H37:H38)</f>
        <v>0</v>
      </c>
      <c r="I36" s="289"/>
    </row>
    <row r="37" spans="1:9" s="1" customFormat="1" ht="33.75" customHeight="1">
      <c r="A37" s="206"/>
      <c r="B37" s="213"/>
      <c r="C37" s="49" t="s">
        <v>245</v>
      </c>
      <c r="D37" s="635"/>
      <c r="E37" s="245">
        <v>25617405</v>
      </c>
      <c r="F37" s="245">
        <v>25617405</v>
      </c>
      <c r="G37" s="281">
        <f>F37/F6*100</f>
        <v>1.0740194701470323</v>
      </c>
      <c r="H37" s="245">
        <f>F37-E37</f>
        <v>0</v>
      </c>
      <c r="I37" s="586" t="s">
        <v>764</v>
      </c>
    </row>
    <row r="38" spans="1:9" s="1" customFormat="1" ht="33.75" customHeight="1">
      <c r="A38" s="212"/>
      <c r="B38" s="214"/>
      <c r="C38" s="83" t="s">
        <v>244</v>
      </c>
      <c r="D38" s="652"/>
      <c r="E38" s="245">
        <v>0</v>
      </c>
      <c r="F38" s="245">
        <v>0</v>
      </c>
      <c r="G38" s="281">
        <f>F38/F6*100</f>
        <v>0</v>
      </c>
      <c r="H38" s="245">
        <f>F38-E38</f>
        <v>0</v>
      </c>
      <c r="I38" s="289"/>
    </row>
    <row r="39" spans="1:9" s="4" customFormat="1" ht="33.75" customHeight="1">
      <c r="A39" s="82" t="s">
        <v>246</v>
      </c>
      <c r="B39" s="942" t="s">
        <v>235</v>
      </c>
      <c r="C39" s="942"/>
      <c r="D39" s="632"/>
      <c r="E39" s="245">
        <v>639735</v>
      </c>
      <c r="F39" s="245">
        <f>F40</f>
        <v>781243</v>
      </c>
      <c r="G39" s="281">
        <f>G40</f>
        <v>3.2753910589932038E-2</v>
      </c>
      <c r="H39" s="245">
        <f>H40</f>
        <v>141508</v>
      </c>
      <c r="I39" s="290"/>
    </row>
    <row r="40" spans="1:9" s="4" customFormat="1" ht="33.75" customHeight="1">
      <c r="A40" s="205"/>
      <c r="B40" s="83" t="s">
        <v>246</v>
      </c>
      <c r="C40" s="83" t="s">
        <v>236</v>
      </c>
      <c r="D40" s="652"/>
      <c r="E40" s="245">
        <v>639735</v>
      </c>
      <c r="F40" s="245">
        <f>SUM(F41:F43)</f>
        <v>781243</v>
      </c>
      <c r="G40" s="281">
        <f>SUM(G41:G43)</f>
        <v>3.2753910589932038E-2</v>
      </c>
      <c r="H40" s="245">
        <f>SUM(H41:H43)</f>
        <v>141508</v>
      </c>
      <c r="I40" s="290"/>
    </row>
    <row r="41" spans="1:9" s="3" customFormat="1" ht="33.75" customHeight="1">
      <c r="A41" s="206"/>
      <c r="B41" s="213"/>
      <c r="C41" s="49" t="s">
        <v>54</v>
      </c>
      <c r="D41" s="635"/>
      <c r="E41" s="245">
        <v>0</v>
      </c>
      <c r="F41" s="245">
        <v>0</v>
      </c>
      <c r="G41" s="281">
        <f>F41/F6*100</f>
        <v>0</v>
      </c>
      <c r="H41" s="245">
        <f>F41-E41</f>
        <v>0</v>
      </c>
      <c r="I41" s="291"/>
    </row>
    <row r="42" spans="1:9" s="3" customFormat="1" ht="33.75" customHeight="1">
      <c r="A42" s="206"/>
      <c r="B42" s="209"/>
      <c r="C42" s="87" t="s">
        <v>258</v>
      </c>
      <c r="D42" s="87"/>
      <c r="E42" s="245">
        <v>639735</v>
      </c>
      <c r="F42" s="245">
        <f>라.보조금세출내역!F119</f>
        <v>692243</v>
      </c>
      <c r="G42" s="281">
        <f>F42/F6*100</f>
        <v>2.902255166255099E-2</v>
      </c>
      <c r="H42" s="245">
        <f>F42-E42</f>
        <v>52508</v>
      </c>
      <c r="I42" s="291"/>
    </row>
    <row r="43" spans="1:9" s="1" customFormat="1" ht="33.75" customHeight="1">
      <c r="A43" s="215"/>
      <c r="B43" s="216"/>
      <c r="C43" s="246" t="s">
        <v>247</v>
      </c>
      <c r="D43" s="246"/>
      <c r="E43" s="248"/>
      <c r="F43" s="248">
        <v>89000</v>
      </c>
      <c r="G43" s="282">
        <f>F43/F6*100</f>
        <v>3.7313589273810471E-3</v>
      </c>
      <c r="H43" s="248">
        <f>F43-E43</f>
        <v>89000</v>
      </c>
      <c r="I43" s="292"/>
    </row>
    <row r="44" spans="1:9" s="1" customFormat="1" ht="23.25" customHeight="1">
      <c r="A44" s="295"/>
      <c r="B44" s="295"/>
      <c r="C44" s="295"/>
      <c r="D44" s="295"/>
      <c r="E44" s="629">
        <f>E13+E35+E39</f>
        <v>2382000000</v>
      </c>
      <c r="F44" s="295"/>
      <c r="G44" s="295"/>
      <c r="H44" s="295"/>
      <c r="I44" s="296"/>
    </row>
    <row r="45" spans="1:9">
      <c r="A45" s="285"/>
      <c r="B45" s="285"/>
      <c r="C45" s="285"/>
      <c r="D45" s="285"/>
      <c r="E45" s="285"/>
      <c r="F45" s="285"/>
      <c r="G45" s="285"/>
      <c r="H45" s="285"/>
    </row>
    <row r="46" spans="1:9">
      <c r="A46" s="285"/>
      <c r="B46" s="285"/>
      <c r="C46" s="285"/>
      <c r="D46" s="285"/>
      <c r="E46" s="285"/>
      <c r="F46" s="285"/>
      <c r="G46" s="285"/>
      <c r="H46" s="285"/>
    </row>
    <row r="47" spans="1:9">
      <c r="A47" s="285"/>
      <c r="B47" s="285"/>
      <c r="C47" s="285"/>
      <c r="D47" s="285"/>
      <c r="E47" s="285"/>
      <c r="F47" s="285"/>
      <c r="G47" s="285"/>
      <c r="H47" s="285"/>
    </row>
    <row r="48" spans="1:9">
      <c r="A48" s="285"/>
      <c r="B48" s="285"/>
      <c r="C48" s="285"/>
      <c r="D48" s="285"/>
      <c r="E48" s="285"/>
      <c r="F48" s="285"/>
      <c r="G48" s="285"/>
      <c r="H48" s="285"/>
    </row>
    <row r="49" spans="1:8">
      <c r="A49" s="285"/>
      <c r="B49" s="285"/>
      <c r="C49" s="285"/>
      <c r="D49" s="285"/>
      <c r="E49" s="285"/>
      <c r="F49" s="285"/>
      <c r="G49" s="285"/>
      <c r="H49" s="285"/>
    </row>
    <row r="50" spans="1:8">
      <c r="A50" s="285"/>
      <c r="B50" s="285"/>
      <c r="C50" s="285"/>
      <c r="D50" s="285"/>
      <c r="E50" s="285"/>
      <c r="F50" s="285"/>
      <c r="G50" s="285"/>
      <c r="H50" s="285"/>
    </row>
    <row r="51" spans="1:8">
      <c r="A51" s="285"/>
      <c r="B51" s="285"/>
      <c r="C51" s="285"/>
      <c r="D51" s="285"/>
      <c r="E51" s="285"/>
      <c r="F51" s="285"/>
      <c r="G51" s="285"/>
      <c r="H51" s="285"/>
    </row>
    <row r="52" spans="1:8">
      <c r="A52" s="285"/>
      <c r="B52" s="285"/>
      <c r="C52" s="285"/>
      <c r="D52" s="285"/>
      <c r="E52" s="285"/>
      <c r="F52" s="285"/>
      <c r="G52" s="285"/>
      <c r="H52" s="285"/>
    </row>
    <row r="53" spans="1:8">
      <c r="A53" s="285"/>
      <c r="B53" s="285"/>
      <c r="C53" s="285"/>
      <c r="D53" s="285"/>
      <c r="E53" s="285"/>
      <c r="F53" s="285"/>
      <c r="G53" s="285"/>
      <c r="H53" s="285"/>
    </row>
    <row r="54" spans="1:8">
      <c r="A54" s="285"/>
      <c r="B54" s="285"/>
      <c r="C54" s="285"/>
      <c r="D54" s="285"/>
      <c r="E54" s="285"/>
      <c r="F54" s="285"/>
      <c r="G54" s="285"/>
      <c r="H54" s="285"/>
    </row>
    <row r="55" spans="1:8">
      <c r="A55" s="285"/>
      <c r="B55" s="285"/>
      <c r="C55" s="285"/>
      <c r="D55" s="285"/>
      <c r="E55" s="285"/>
      <c r="F55" s="285"/>
      <c r="G55" s="285"/>
      <c r="H55" s="285"/>
    </row>
    <row r="56" spans="1:8">
      <c r="A56" s="285"/>
      <c r="B56" s="285"/>
      <c r="C56" s="285"/>
      <c r="D56" s="285"/>
      <c r="E56" s="285"/>
      <c r="F56" s="285"/>
      <c r="G56" s="285"/>
      <c r="H56" s="285"/>
    </row>
    <row r="57" spans="1:8">
      <c r="A57" s="285"/>
      <c r="B57" s="285"/>
      <c r="C57" s="285"/>
      <c r="D57" s="285"/>
      <c r="E57" s="285"/>
      <c r="F57" s="285"/>
      <c r="G57" s="285"/>
      <c r="H57" s="285"/>
    </row>
    <row r="58" spans="1:8">
      <c r="A58" s="285"/>
      <c r="B58" s="285"/>
      <c r="C58" s="285"/>
      <c r="D58" s="285"/>
      <c r="E58" s="285"/>
      <c r="F58" s="285"/>
      <c r="G58" s="285"/>
      <c r="H58" s="285"/>
    </row>
    <row r="59" spans="1:8">
      <c r="A59" s="285"/>
      <c r="B59" s="285"/>
      <c r="C59" s="285"/>
      <c r="D59" s="285"/>
      <c r="E59" s="285"/>
      <c r="F59" s="285"/>
      <c r="G59" s="285"/>
      <c r="H59" s="285"/>
    </row>
    <row r="60" spans="1:8">
      <c r="A60" s="285"/>
      <c r="B60" s="285"/>
      <c r="C60" s="285"/>
      <c r="D60" s="285"/>
      <c r="E60" s="285"/>
      <c r="F60" s="285"/>
      <c r="G60" s="285"/>
      <c r="H60" s="285"/>
    </row>
    <row r="61" spans="1:8">
      <c r="A61" s="285"/>
      <c r="B61" s="285"/>
      <c r="C61" s="285"/>
      <c r="D61" s="285"/>
      <c r="E61" s="285"/>
      <c r="F61" s="285"/>
      <c r="G61" s="285"/>
      <c r="H61" s="285"/>
    </row>
    <row r="62" spans="1:8">
      <c r="A62" s="285"/>
      <c r="B62" s="285"/>
      <c r="C62" s="285"/>
      <c r="D62" s="285"/>
      <c r="E62" s="285"/>
      <c r="F62" s="285"/>
      <c r="G62" s="285"/>
      <c r="H62" s="285"/>
    </row>
    <row r="63" spans="1:8">
      <c r="A63" s="285"/>
      <c r="B63" s="285"/>
      <c r="C63" s="285"/>
      <c r="D63" s="285"/>
      <c r="E63" s="285"/>
      <c r="F63" s="285"/>
      <c r="G63" s="285"/>
      <c r="H63" s="285"/>
    </row>
    <row r="64" spans="1:8">
      <c r="A64" s="285"/>
      <c r="B64" s="285"/>
      <c r="C64" s="285"/>
      <c r="D64" s="285"/>
      <c r="E64" s="285"/>
      <c r="F64" s="285"/>
      <c r="G64" s="285"/>
      <c r="H64" s="285"/>
    </row>
    <row r="65" spans="1:8">
      <c r="A65" s="285"/>
      <c r="B65" s="285"/>
      <c r="C65" s="285"/>
      <c r="D65" s="285"/>
      <c r="E65" s="285"/>
      <c r="F65" s="285"/>
      <c r="G65" s="285"/>
      <c r="H65" s="285"/>
    </row>
    <row r="66" spans="1:8">
      <c r="A66" s="285"/>
      <c r="B66" s="285"/>
      <c r="C66" s="285"/>
      <c r="D66" s="285"/>
      <c r="E66" s="285"/>
      <c r="F66" s="285"/>
      <c r="G66" s="285"/>
      <c r="H66" s="285"/>
    </row>
    <row r="67" spans="1:8">
      <c r="A67" s="285"/>
      <c r="B67" s="285"/>
      <c r="C67" s="285"/>
      <c r="D67" s="285"/>
      <c r="E67" s="285"/>
      <c r="F67" s="285"/>
      <c r="G67" s="285"/>
      <c r="H67" s="285"/>
    </row>
    <row r="68" spans="1:8">
      <c r="A68" s="285"/>
      <c r="B68" s="285"/>
      <c r="C68" s="285"/>
      <c r="D68" s="285"/>
      <c r="E68" s="285"/>
      <c r="F68" s="285"/>
      <c r="G68" s="285"/>
      <c r="H68" s="285"/>
    </row>
    <row r="69" spans="1:8">
      <c r="A69" s="285"/>
      <c r="B69" s="285"/>
      <c r="C69" s="285"/>
      <c r="D69" s="285"/>
      <c r="E69" s="285"/>
      <c r="F69" s="285"/>
      <c r="G69" s="285"/>
      <c r="H69" s="285"/>
    </row>
    <row r="70" spans="1:8">
      <c r="A70" s="285"/>
      <c r="B70" s="285"/>
      <c r="C70" s="285"/>
      <c r="D70" s="285"/>
      <c r="E70" s="285"/>
      <c r="F70" s="285"/>
      <c r="G70" s="285"/>
      <c r="H70" s="285"/>
    </row>
    <row r="71" spans="1:8">
      <c r="A71" s="285"/>
      <c r="B71" s="285"/>
      <c r="C71" s="285"/>
      <c r="D71" s="285"/>
      <c r="E71" s="285"/>
      <c r="F71" s="285"/>
      <c r="G71" s="285"/>
      <c r="H71" s="285"/>
    </row>
    <row r="72" spans="1:8">
      <c r="A72" s="285"/>
      <c r="B72" s="285"/>
      <c r="C72" s="285"/>
      <c r="D72" s="285"/>
      <c r="E72" s="285"/>
      <c r="F72" s="285"/>
      <c r="G72" s="285"/>
      <c r="H72" s="285"/>
    </row>
    <row r="73" spans="1:8">
      <c r="A73" s="285"/>
      <c r="B73" s="285"/>
      <c r="C73" s="285"/>
      <c r="D73" s="285"/>
      <c r="E73" s="285"/>
      <c r="F73" s="285"/>
      <c r="G73" s="285"/>
      <c r="H73" s="285"/>
    </row>
    <row r="74" spans="1:8">
      <c r="A74" s="285"/>
      <c r="B74" s="285"/>
      <c r="C74" s="285"/>
      <c r="D74" s="285"/>
      <c r="E74" s="285"/>
      <c r="F74" s="285"/>
      <c r="G74" s="285"/>
      <c r="H74" s="285"/>
    </row>
    <row r="75" spans="1:8">
      <c r="A75" s="285"/>
      <c r="B75" s="285"/>
      <c r="C75" s="285"/>
      <c r="D75" s="285"/>
      <c r="E75" s="285"/>
      <c r="F75" s="285"/>
      <c r="G75" s="285"/>
      <c r="H75" s="285"/>
    </row>
    <row r="76" spans="1:8">
      <c r="A76" s="285"/>
      <c r="B76" s="285"/>
      <c r="C76" s="285"/>
      <c r="D76" s="285"/>
      <c r="E76" s="285"/>
      <c r="F76" s="285"/>
      <c r="G76" s="285"/>
      <c r="H76" s="285"/>
    </row>
    <row r="77" spans="1:8" hidden="1">
      <c r="A77" s="285"/>
      <c r="B77" s="285"/>
      <c r="C77" s="285"/>
      <c r="D77" s="285"/>
      <c r="E77" s="285"/>
      <c r="F77" s="285">
        <v>0</v>
      </c>
      <c r="G77" s="285"/>
      <c r="H77" s="285"/>
    </row>
    <row r="78" spans="1:8">
      <c r="A78" s="285"/>
      <c r="B78" s="285"/>
      <c r="C78" s="285"/>
      <c r="D78" s="285"/>
      <c r="E78" s="285"/>
      <c r="F78" s="285"/>
      <c r="G78" s="285"/>
      <c r="H78" s="285"/>
    </row>
    <row r="79" spans="1:8">
      <c r="A79" s="285"/>
      <c r="B79" s="285"/>
      <c r="C79" s="285"/>
      <c r="D79" s="285"/>
      <c r="E79" s="285"/>
      <c r="F79" s="285"/>
      <c r="G79" s="285"/>
      <c r="H79" s="285"/>
    </row>
    <row r="80" spans="1:8">
      <c r="A80" s="285"/>
      <c r="B80" s="285"/>
      <c r="C80" s="285"/>
      <c r="D80" s="285"/>
      <c r="E80" s="285"/>
      <c r="F80" s="285"/>
      <c r="G80" s="285"/>
      <c r="H80" s="285"/>
    </row>
    <row r="81" spans="1:8">
      <c r="A81" s="285"/>
      <c r="B81" s="285"/>
      <c r="C81" s="285"/>
      <c r="D81" s="285"/>
      <c r="E81" s="285"/>
      <c r="F81" s="285"/>
      <c r="G81" s="285"/>
      <c r="H81" s="285"/>
    </row>
    <row r="82" spans="1:8">
      <c r="A82" s="285"/>
      <c r="B82" s="285"/>
      <c r="C82" s="285"/>
      <c r="D82" s="285"/>
      <c r="E82" s="285"/>
      <c r="F82" s="285"/>
      <c r="G82" s="285"/>
      <c r="H82" s="285"/>
    </row>
    <row r="83" spans="1:8" hidden="1">
      <c r="A83" s="285"/>
      <c r="B83" s="285"/>
      <c r="C83" s="285"/>
      <c r="D83" s="285"/>
      <c r="E83" s="285"/>
      <c r="F83" s="285"/>
      <c r="G83" s="285"/>
      <c r="H83" s="285"/>
    </row>
    <row r="84" spans="1:8">
      <c r="A84" s="285"/>
      <c r="B84" s="285"/>
      <c r="C84" s="285"/>
      <c r="D84" s="285"/>
      <c r="E84" s="285"/>
      <c r="F84" s="285"/>
      <c r="G84" s="285"/>
      <c r="H84" s="285"/>
    </row>
    <row r="85" spans="1:8">
      <c r="A85" s="285"/>
      <c r="B85" s="285"/>
      <c r="C85" s="285"/>
      <c r="D85" s="285"/>
      <c r="E85" s="285"/>
      <c r="F85" s="285"/>
      <c r="G85" s="285"/>
      <c r="H85" s="285"/>
    </row>
    <row r="86" spans="1:8">
      <c r="A86" s="285"/>
      <c r="B86" s="285"/>
      <c r="C86" s="285"/>
      <c r="D86" s="285"/>
      <c r="E86" s="285"/>
      <c r="F86" s="285"/>
      <c r="G86" s="285"/>
      <c r="H86" s="285"/>
    </row>
    <row r="87" spans="1:8">
      <c r="A87" s="285"/>
      <c r="B87" s="285"/>
      <c r="C87" s="285"/>
      <c r="D87" s="285"/>
      <c r="E87" s="285"/>
      <c r="F87" s="285"/>
      <c r="G87" s="285"/>
      <c r="H87" s="285"/>
    </row>
  </sheetData>
  <mergeCells count="14">
    <mergeCell ref="I4:I5"/>
    <mergeCell ref="B10:C10"/>
    <mergeCell ref="A6:C6"/>
    <mergeCell ref="H4:H5"/>
    <mergeCell ref="A4:C4"/>
    <mergeCell ref="E4:E5"/>
    <mergeCell ref="F4:F5"/>
    <mergeCell ref="G4:G5"/>
    <mergeCell ref="A1:C1"/>
    <mergeCell ref="B35:C35"/>
    <mergeCell ref="B39:C39"/>
    <mergeCell ref="A2:C2"/>
    <mergeCell ref="B7:C7"/>
    <mergeCell ref="B13:C13"/>
  </mergeCells>
  <phoneticPr fontId="2" type="noConversion"/>
  <pageMargins left="0.39" right="0.42" top="0.83" bottom="0.55000000000000004" header="0.54" footer="0.28999999999999998"/>
  <pageSetup paperSize="9" scale="6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78"/>
  <sheetViews>
    <sheetView topLeftCell="A16" workbookViewId="0">
      <selection activeCell="A3" sqref="A3"/>
    </sheetView>
  </sheetViews>
  <sheetFormatPr defaultRowHeight="13.5"/>
  <cols>
    <col min="1" max="2" width="10.88671875" style="46" customWidth="1"/>
    <col min="3" max="3" width="11.44140625" style="46" customWidth="1"/>
    <col min="4" max="4" width="12.77734375" style="47" customWidth="1"/>
    <col min="5" max="5" width="12.77734375" style="46" customWidth="1"/>
    <col min="6" max="6" width="6.77734375" style="46" customWidth="1"/>
    <col min="7" max="7" width="12.77734375" style="46" customWidth="1"/>
    <col min="8" max="8" width="36.109375" style="46" customWidth="1"/>
    <col min="9" max="9" width="11.5546875" style="47" customWidth="1"/>
    <col min="10" max="10" width="13.10937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940" t="s">
        <v>944</v>
      </c>
      <c r="B1" s="941"/>
      <c r="C1" s="941"/>
      <c r="D1" s="43"/>
      <c r="E1" s="34"/>
      <c r="F1" s="44"/>
      <c r="G1" s="44"/>
    </row>
    <row r="2" spans="1:10" s="5" customFormat="1" ht="22.5" customHeight="1">
      <c r="A2" s="943" t="s">
        <v>272</v>
      </c>
      <c r="B2" s="943"/>
      <c r="C2" s="943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93" t="s">
        <v>260</v>
      </c>
    </row>
    <row r="4" spans="1:10" s="3" customFormat="1" ht="33.75" customHeight="1">
      <c r="A4" s="950" t="s">
        <v>4</v>
      </c>
      <c r="B4" s="951"/>
      <c r="C4" s="951"/>
      <c r="D4" s="938" t="str">
        <f>다.보조금세입내역!E4:E5</f>
        <v>2015년도
1차추경
( A )</v>
      </c>
      <c r="E4" s="936" t="str">
        <f>다.보조금세입내역!F4:F5</f>
        <v>2015년도
2차추경
( B )</v>
      </c>
      <c r="F4" s="948" t="s">
        <v>391</v>
      </c>
      <c r="G4" s="948" t="s">
        <v>46</v>
      </c>
      <c r="H4" s="944" t="s">
        <v>33</v>
      </c>
    </row>
    <row r="5" spans="1:10" s="3" customFormat="1" ht="33.75" customHeight="1" thickBot="1">
      <c r="A5" s="180" t="s">
        <v>1</v>
      </c>
      <c r="B5" s="181" t="s">
        <v>2</v>
      </c>
      <c r="C5" s="181" t="s">
        <v>3</v>
      </c>
      <c r="D5" s="939"/>
      <c r="E5" s="937"/>
      <c r="F5" s="949"/>
      <c r="G5" s="949"/>
      <c r="H5" s="945"/>
    </row>
    <row r="6" spans="1:10" s="3" customFormat="1" ht="30" customHeight="1" thickTop="1">
      <c r="A6" s="946" t="s">
        <v>261</v>
      </c>
      <c r="B6" s="947"/>
      <c r="C6" s="947"/>
      <c r="D6" s="298">
        <v>236600000</v>
      </c>
      <c r="E6" s="298">
        <f>E7+E10+E13+E16+E19+E23+E26+E30</f>
        <v>236600000</v>
      </c>
      <c r="F6" s="423">
        <f>F13+F19+F23+F26+F30+F16+F7+F10</f>
        <v>100</v>
      </c>
      <c r="G6" s="298">
        <f>G7+G10+G13+G16+G19+G23+G26+G30</f>
        <v>0</v>
      </c>
      <c r="H6" s="294"/>
      <c r="J6" s="615">
        <f>E6-'라-1.자부담세출내역'!F6</f>
        <v>0</v>
      </c>
    </row>
    <row r="7" spans="1:10" s="1" customFormat="1" ht="30" customHeight="1">
      <c r="A7" s="82" t="s">
        <v>254</v>
      </c>
      <c r="B7" s="942" t="s">
        <v>255</v>
      </c>
      <c r="C7" s="942"/>
      <c r="D7" s="269">
        <v>104400000</v>
      </c>
      <c r="E7" s="269">
        <f>E8</f>
        <v>104400000</v>
      </c>
      <c r="F7" s="281">
        <f>F8</f>
        <v>44.125105663567204</v>
      </c>
      <c r="G7" s="269">
        <f>G8</f>
        <v>0</v>
      </c>
      <c r="H7" s="289"/>
    </row>
    <row r="8" spans="1:10" s="1" customFormat="1" ht="30" customHeight="1">
      <c r="A8" s="205"/>
      <c r="B8" s="83" t="s">
        <v>256</v>
      </c>
      <c r="C8" s="83" t="s">
        <v>257</v>
      </c>
      <c r="D8" s="245">
        <v>104400000</v>
      </c>
      <c r="E8" s="245">
        <f>E9</f>
        <v>104400000</v>
      </c>
      <c r="F8" s="281">
        <f>F9</f>
        <v>44.125105663567204</v>
      </c>
      <c r="G8" s="245">
        <f>E8-D8</f>
        <v>0</v>
      </c>
      <c r="H8" s="289"/>
    </row>
    <row r="9" spans="1:10" s="1" customFormat="1" ht="22.5">
      <c r="A9" s="212"/>
      <c r="B9" s="83"/>
      <c r="C9" s="83" t="s">
        <v>256</v>
      </c>
      <c r="D9" s="245">
        <v>104400000</v>
      </c>
      <c r="E9" s="245">
        <v>104400000</v>
      </c>
      <c r="F9" s="281">
        <f>E9/E6*100</f>
        <v>44.125105663567204</v>
      </c>
      <c r="G9" s="245">
        <f>E9-D9</f>
        <v>0</v>
      </c>
      <c r="H9" s="586" t="s">
        <v>647</v>
      </c>
    </row>
    <row r="10" spans="1:10" s="1" customFormat="1" ht="30" customHeight="1">
      <c r="A10" s="82" t="s">
        <v>387</v>
      </c>
      <c r="B10" s="942" t="s">
        <v>262</v>
      </c>
      <c r="C10" s="942"/>
      <c r="D10" s="269">
        <v>0</v>
      </c>
      <c r="E10" s="269">
        <f t="shared" ref="E10:G11" si="0">E11</f>
        <v>0</v>
      </c>
      <c r="F10" s="281">
        <f t="shared" si="0"/>
        <v>0</v>
      </c>
      <c r="G10" s="269">
        <f t="shared" si="0"/>
        <v>0</v>
      </c>
      <c r="H10" s="289"/>
    </row>
    <row r="11" spans="1:10" s="1" customFormat="1" ht="30" customHeight="1">
      <c r="A11" s="205"/>
      <c r="B11" s="83" t="s">
        <v>387</v>
      </c>
      <c r="C11" s="83" t="s">
        <v>263</v>
      </c>
      <c r="D11" s="269">
        <v>0</v>
      </c>
      <c r="E11" s="269">
        <f t="shared" si="0"/>
        <v>0</v>
      </c>
      <c r="F11" s="281">
        <f t="shared" si="0"/>
        <v>0</v>
      </c>
      <c r="G11" s="269">
        <f t="shared" si="0"/>
        <v>0</v>
      </c>
      <c r="H11" s="289"/>
    </row>
    <row r="12" spans="1:10" s="1" customFormat="1" ht="30" customHeight="1">
      <c r="A12" s="212"/>
      <c r="B12" s="83"/>
      <c r="C12" s="83" t="s">
        <v>388</v>
      </c>
      <c r="D12" s="269">
        <v>0</v>
      </c>
      <c r="E12" s="269">
        <v>0</v>
      </c>
      <c r="F12" s="281">
        <f>E12/E6*100</f>
        <v>0</v>
      </c>
      <c r="G12" s="269">
        <f>E12-D12</f>
        <v>0</v>
      </c>
      <c r="H12" s="519">
        <v>0</v>
      </c>
    </row>
    <row r="13" spans="1:10" s="1" customFormat="1" ht="30" customHeight="1">
      <c r="A13" s="82" t="s">
        <v>264</v>
      </c>
      <c r="B13" s="942" t="s">
        <v>262</v>
      </c>
      <c r="C13" s="942"/>
      <c r="D13" s="269">
        <v>0</v>
      </c>
      <c r="E13" s="269">
        <f t="shared" ref="E13:G14" si="1">E14</f>
        <v>0</v>
      </c>
      <c r="F13" s="281">
        <f t="shared" si="1"/>
        <v>0</v>
      </c>
      <c r="G13" s="269">
        <f t="shared" si="1"/>
        <v>0</v>
      </c>
      <c r="H13" s="289"/>
    </row>
    <row r="14" spans="1:10" s="1" customFormat="1" ht="30" customHeight="1">
      <c r="A14" s="205"/>
      <c r="B14" s="83" t="s">
        <v>264</v>
      </c>
      <c r="C14" s="83" t="s">
        <v>263</v>
      </c>
      <c r="D14" s="269">
        <v>0</v>
      </c>
      <c r="E14" s="269">
        <f t="shared" si="1"/>
        <v>0</v>
      </c>
      <c r="F14" s="281">
        <f t="shared" si="1"/>
        <v>0</v>
      </c>
      <c r="G14" s="269">
        <f t="shared" si="1"/>
        <v>0</v>
      </c>
      <c r="H14" s="289"/>
    </row>
    <row r="15" spans="1:10" s="1" customFormat="1" ht="30" customHeight="1">
      <c r="A15" s="212"/>
      <c r="B15" s="83"/>
      <c r="C15" s="83" t="s">
        <v>264</v>
      </c>
      <c r="D15" s="269">
        <v>0</v>
      </c>
      <c r="E15" s="269">
        <v>0</v>
      </c>
      <c r="F15" s="281">
        <f>E15/E6*100</f>
        <v>0</v>
      </c>
      <c r="G15" s="269">
        <f>E15-D15</f>
        <v>0</v>
      </c>
      <c r="H15" s="289"/>
    </row>
    <row r="16" spans="1:10" s="1" customFormat="1" ht="30" customHeight="1">
      <c r="A16" s="82" t="s">
        <v>48</v>
      </c>
      <c r="B16" s="942" t="s">
        <v>30</v>
      </c>
      <c r="C16" s="942"/>
      <c r="D16" s="269">
        <v>0</v>
      </c>
      <c r="E16" s="269">
        <f t="shared" ref="E16:G17" si="2">E17</f>
        <v>0</v>
      </c>
      <c r="F16" s="281">
        <f t="shared" si="2"/>
        <v>0</v>
      </c>
      <c r="G16" s="269">
        <f t="shared" si="2"/>
        <v>0</v>
      </c>
      <c r="H16" s="289"/>
    </row>
    <row r="17" spans="1:8" s="1" customFormat="1" ht="30" customHeight="1">
      <c r="A17" s="205"/>
      <c r="B17" s="83"/>
      <c r="C17" s="83" t="s">
        <v>263</v>
      </c>
      <c r="D17" s="269">
        <v>0</v>
      </c>
      <c r="E17" s="269">
        <f t="shared" si="2"/>
        <v>0</v>
      </c>
      <c r="F17" s="281">
        <f t="shared" si="2"/>
        <v>0</v>
      </c>
      <c r="G17" s="269">
        <f t="shared" si="2"/>
        <v>0</v>
      </c>
      <c r="H17" s="289"/>
    </row>
    <row r="18" spans="1:8" s="1" customFormat="1" ht="30" customHeight="1">
      <c r="A18" s="212"/>
      <c r="B18" s="83"/>
      <c r="C18" s="83"/>
      <c r="D18" s="269">
        <v>0</v>
      </c>
      <c r="E18" s="269">
        <v>0</v>
      </c>
      <c r="F18" s="281">
        <f>E18/E6*100</f>
        <v>0</v>
      </c>
      <c r="G18" s="269">
        <f>E18-D18</f>
        <v>0</v>
      </c>
      <c r="H18" s="289"/>
    </row>
    <row r="19" spans="1:8" s="1" customFormat="1" ht="30" customHeight="1">
      <c r="A19" s="82" t="s">
        <v>273</v>
      </c>
      <c r="B19" s="942" t="s">
        <v>262</v>
      </c>
      <c r="C19" s="942"/>
      <c r="D19" s="245">
        <v>0</v>
      </c>
      <c r="E19" s="245">
        <f>E20</f>
        <v>0</v>
      </c>
      <c r="F19" s="304">
        <f>F20</f>
        <v>0</v>
      </c>
      <c r="G19" s="245">
        <f>G20</f>
        <v>0</v>
      </c>
      <c r="H19" s="289"/>
    </row>
    <row r="20" spans="1:8" s="1" customFormat="1" ht="30" customHeight="1">
      <c r="A20" s="205"/>
      <c r="B20" s="83" t="s">
        <v>273</v>
      </c>
      <c r="C20" s="83" t="s">
        <v>263</v>
      </c>
      <c r="D20" s="245">
        <v>0</v>
      </c>
      <c r="E20" s="245">
        <f>SUM(E21:E22)</f>
        <v>0</v>
      </c>
      <c r="F20" s="281">
        <f>SUM(F21:F22)</f>
        <v>0</v>
      </c>
      <c r="G20" s="245">
        <f>SUM(G21:G22)</f>
        <v>0</v>
      </c>
      <c r="H20" s="289"/>
    </row>
    <row r="21" spans="1:8" s="1" customFormat="1" ht="30" customHeight="1">
      <c r="A21" s="206"/>
      <c r="B21" s="288"/>
      <c r="C21" s="83" t="s">
        <v>274</v>
      </c>
      <c r="D21" s="245">
        <v>0</v>
      </c>
      <c r="E21" s="245">
        <v>0</v>
      </c>
      <c r="F21" s="281">
        <f>E21/E6*100</f>
        <v>0</v>
      </c>
      <c r="G21" s="245">
        <f>E21-D21</f>
        <v>0</v>
      </c>
      <c r="H21" s="289"/>
    </row>
    <row r="22" spans="1:8" s="1" customFormat="1" ht="30" customHeight="1">
      <c r="A22" s="206"/>
      <c r="B22" s="250"/>
      <c r="C22" s="83" t="s">
        <v>275</v>
      </c>
      <c r="D22" s="245">
        <v>0</v>
      </c>
      <c r="E22" s="245">
        <v>0</v>
      </c>
      <c r="F22" s="281">
        <f>E22/E6*100</f>
        <v>0</v>
      </c>
      <c r="G22" s="245">
        <f>E22-D22</f>
        <v>0</v>
      </c>
      <c r="H22" s="289"/>
    </row>
    <row r="23" spans="1:8" s="1" customFormat="1" ht="30" customHeight="1">
      <c r="A23" s="82" t="s">
        <v>52</v>
      </c>
      <c r="B23" s="952" t="s">
        <v>30</v>
      </c>
      <c r="C23" s="953"/>
      <c r="D23" s="245">
        <v>20000000</v>
      </c>
      <c r="E23" s="245">
        <f>E24</f>
        <v>20000000</v>
      </c>
      <c r="F23" s="281">
        <f>F24</f>
        <v>8.4530853761622993</v>
      </c>
      <c r="G23" s="245">
        <f>G24</f>
        <v>0</v>
      </c>
      <c r="H23" s="289"/>
    </row>
    <row r="24" spans="1:8" s="1" customFormat="1" ht="30" customHeight="1">
      <c r="A24" s="206"/>
      <c r="B24" s="83" t="s">
        <v>52</v>
      </c>
      <c r="C24" s="83" t="s">
        <v>7</v>
      </c>
      <c r="D24" s="245">
        <v>20000000</v>
      </c>
      <c r="E24" s="245">
        <f>E25</f>
        <v>20000000</v>
      </c>
      <c r="F24" s="281">
        <f>E24/E6*100</f>
        <v>8.4530853761622993</v>
      </c>
      <c r="G24" s="245">
        <f>E24-D24</f>
        <v>0</v>
      </c>
      <c r="H24" s="289"/>
    </row>
    <row r="25" spans="1:8" s="1" customFormat="1" ht="30" customHeight="1">
      <c r="A25" s="206"/>
      <c r="B25" s="83"/>
      <c r="C25" s="83" t="s">
        <v>53</v>
      </c>
      <c r="D25" s="245">
        <v>20000000</v>
      </c>
      <c r="E25" s="245">
        <v>20000000</v>
      </c>
      <c r="F25" s="281">
        <f>E25/E6*100</f>
        <v>8.4530853761622993</v>
      </c>
      <c r="G25" s="245">
        <f>E25-D25</f>
        <v>0</v>
      </c>
      <c r="H25" s="289"/>
    </row>
    <row r="26" spans="1:8" s="1" customFormat="1" ht="30" customHeight="1">
      <c r="A26" s="82" t="s">
        <v>265</v>
      </c>
      <c r="B26" s="942" t="s">
        <v>262</v>
      </c>
      <c r="C26" s="942"/>
      <c r="D26" s="245">
        <v>72654412</v>
      </c>
      <c r="E26" s="245">
        <f>E27</f>
        <v>72654412</v>
      </c>
      <c r="F26" s="281">
        <f>F27</f>
        <v>30.707697379543536</v>
      </c>
      <c r="G26" s="245">
        <f>G27</f>
        <v>0</v>
      </c>
      <c r="H26" s="289"/>
    </row>
    <row r="27" spans="1:8" s="1" customFormat="1" ht="30" customHeight="1">
      <c r="A27" s="205"/>
      <c r="B27" s="83" t="s">
        <v>265</v>
      </c>
      <c r="C27" s="83" t="s">
        <v>263</v>
      </c>
      <c r="D27" s="245">
        <v>72654412</v>
      </c>
      <c r="E27" s="245">
        <f>SUM(E28:E29)</f>
        <v>72654412</v>
      </c>
      <c r="F27" s="281">
        <f>SUM(F28:F29)</f>
        <v>30.707697379543536</v>
      </c>
      <c r="G27" s="245">
        <f>SUM(G28:G29)</f>
        <v>0</v>
      </c>
      <c r="H27" s="289"/>
    </row>
    <row r="28" spans="1:8" s="1" customFormat="1" ht="30" customHeight="1">
      <c r="A28" s="206"/>
      <c r="B28" s="213"/>
      <c r="C28" s="49" t="s">
        <v>266</v>
      </c>
      <c r="D28" s="245">
        <v>72654412</v>
      </c>
      <c r="E28" s="245">
        <v>72654412</v>
      </c>
      <c r="F28" s="281">
        <f>E28/E6*100</f>
        <v>30.707697379543536</v>
      </c>
      <c r="G28" s="245">
        <f>E28-D28</f>
        <v>0</v>
      </c>
      <c r="H28" s="289" t="s">
        <v>765</v>
      </c>
    </row>
    <row r="29" spans="1:8" s="1" customFormat="1" ht="30" customHeight="1">
      <c r="A29" s="212"/>
      <c r="B29" s="214"/>
      <c r="C29" s="83" t="s">
        <v>267</v>
      </c>
      <c r="D29" s="245">
        <v>0</v>
      </c>
      <c r="E29" s="245">
        <v>0</v>
      </c>
      <c r="F29" s="281">
        <f>E29/E6*100</f>
        <v>0</v>
      </c>
      <c r="G29" s="245">
        <f>E29-D29</f>
        <v>0</v>
      </c>
      <c r="H29" s="289"/>
    </row>
    <row r="30" spans="1:8" s="4" customFormat="1" ht="30" customHeight="1">
      <c r="A30" s="82" t="s">
        <v>268</v>
      </c>
      <c r="B30" s="942" t="s">
        <v>262</v>
      </c>
      <c r="C30" s="942"/>
      <c r="D30" s="245">
        <v>39545588</v>
      </c>
      <c r="E30" s="245">
        <f>E31</f>
        <v>39545588</v>
      </c>
      <c r="F30" s="281">
        <f>F31</f>
        <v>16.714111580726968</v>
      </c>
      <c r="G30" s="245">
        <f>G31</f>
        <v>0</v>
      </c>
      <c r="H30" s="290"/>
    </row>
    <row r="31" spans="1:8" s="4" customFormat="1" ht="30" customHeight="1">
      <c r="A31" s="205"/>
      <c r="B31" s="83" t="s">
        <v>268</v>
      </c>
      <c r="C31" s="83" t="s">
        <v>263</v>
      </c>
      <c r="D31" s="245">
        <v>39545588</v>
      </c>
      <c r="E31" s="245">
        <f>SUM(E32:E34)</f>
        <v>39545588</v>
      </c>
      <c r="F31" s="281">
        <f>SUM(F32:F34)</f>
        <v>16.714111580726968</v>
      </c>
      <c r="G31" s="245">
        <f>SUM(G32:G34)</f>
        <v>0</v>
      </c>
      <c r="H31" s="290"/>
    </row>
    <row r="32" spans="1:8" s="3" customFormat="1" ht="30" customHeight="1">
      <c r="A32" s="206"/>
      <c r="B32" s="213"/>
      <c r="C32" s="49" t="s">
        <v>269</v>
      </c>
      <c r="D32" s="245">
        <v>500000</v>
      </c>
      <c r="E32" s="245">
        <v>500000</v>
      </c>
      <c r="F32" s="281">
        <f>E32/E6*100</f>
        <v>0.21132713440405751</v>
      </c>
      <c r="G32" s="245">
        <f>E32-D32</f>
        <v>0</v>
      </c>
      <c r="H32" s="291"/>
    </row>
    <row r="33" spans="1:8" s="3" customFormat="1" ht="30" customHeight="1">
      <c r="A33" s="206"/>
      <c r="B33" s="209"/>
      <c r="C33" s="87" t="s">
        <v>270</v>
      </c>
      <c r="D33" s="245">
        <v>545588</v>
      </c>
      <c r="E33" s="245">
        <v>545588</v>
      </c>
      <c r="F33" s="281">
        <f>E33/E6*100</f>
        <v>0.23059509721048183</v>
      </c>
      <c r="G33" s="245">
        <f>E33-D33</f>
        <v>0</v>
      </c>
      <c r="H33" s="291"/>
    </row>
    <row r="34" spans="1:8" s="1" customFormat="1" ht="30" customHeight="1">
      <c r="A34" s="215"/>
      <c r="B34" s="216"/>
      <c r="C34" s="246" t="s">
        <v>271</v>
      </c>
      <c r="D34" s="248">
        <v>38500000</v>
      </c>
      <c r="E34" s="248">
        <v>38500000</v>
      </c>
      <c r="F34" s="282">
        <f>E34/E6*100</f>
        <v>16.272189349112427</v>
      </c>
      <c r="G34" s="248">
        <f>E34-D34</f>
        <v>0</v>
      </c>
      <c r="H34" s="328" t="s">
        <v>724</v>
      </c>
    </row>
    <row r="35" spans="1:8" s="1" customFormat="1" ht="23.25" customHeight="1">
      <c r="A35" s="295"/>
      <c r="B35" s="295"/>
      <c r="C35" s="295"/>
      <c r="D35" s="628"/>
      <c r="E35" s="295"/>
      <c r="F35" s="295"/>
      <c r="G35" s="295"/>
      <c r="H35" s="296"/>
    </row>
    <row r="36" spans="1:8">
      <c r="A36" s="285"/>
      <c r="B36" s="285"/>
      <c r="C36" s="285"/>
      <c r="D36" s="286"/>
      <c r="E36" s="285"/>
      <c r="F36" s="285"/>
      <c r="G36" s="285"/>
    </row>
    <row r="37" spans="1:8">
      <c r="A37" s="285"/>
      <c r="B37" s="285"/>
      <c r="C37" s="285"/>
      <c r="D37" s="286"/>
      <c r="E37" s="285"/>
      <c r="F37" s="285"/>
      <c r="G37" s="285"/>
    </row>
    <row r="38" spans="1:8">
      <c r="A38" s="285"/>
      <c r="B38" s="285"/>
      <c r="C38" s="285"/>
      <c r="D38" s="286"/>
      <c r="E38" s="285"/>
      <c r="F38" s="285"/>
      <c r="G38" s="285"/>
    </row>
    <row r="39" spans="1:8">
      <c r="A39" s="285"/>
      <c r="B39" s="285"/>
      <c r="C39" s="285"/>
      <c r="D39" s="286"/>
      <c r="E39" s="285"/>
      <c r="F39" s="285"/>
      <c r="G39" s="285"/>
    </row>
    <row r="40" spans="1:8">
      <c r="A40" s="285"/>
      <c r="B40" s="285"/>
      <c r="C40" s="285"/>
      <c r="D40" s="286"/>
      <c r="E40" s="285"/>
      <c r="F40" s="285"/>
      <c r="G40" s="285"/>
    </row>
    <row r="41" spans="1:8">
      <c r="A41" s="285"/>
      <c r="B41" s="285"/>
      <c r="C41" s="285"/>
      <c r="D41" s="286"/>
      <c r="E41" s="285"/>
      <c r="F41" s="285"/>
      <c r="G41" s="285"/>
    </row>
    <row r="42" spans="1:8">
      <c r="A42" s="285"/>
      <c r="B42" s="285"/>
      <c r="C42" s="285"/>
      <c r="D42" s="286"/>
      <c r="E42" s="285"/>
      <c r="F42" s="285"/>
      <c r="G42" s="285"/>
    </row>
    <row r="43" spans="1:8">
      <c r="A43" s="285"/>
      <c r="B43" s="285"/>
      <c r="C43" s="285"/>
      <c r="D43" s="286"/>
      <c r="E43" s="285"/>
      <c r="F43" s="285"/>
      <c r="G43" s="285"/>
    </row>
    <row r="44" spans="1:8">
      <c r="A44" s="285"/>
      <c r="B44" s="285"/>
      <c r="C44" s="285"/>
      <c r="D44" s="286"/>
      <c r="E44" s="285"/>
      <c r="F44" s="285"/>
      <c r="G44" s="285"/>
    </row>
    <row r="45" spans="1:8">
      <c r="A45" s="285"/>
      <c r="B45" s="285"/>
      <c r="C45" s="285"/>
      <c r="D45" s="286"/>
      <c r="E45" s="285"/>
      <c r="F45" s="285"/>
      <c r="G45" s="285"/>
    </row>
    <row r="46" spans="1:8">
      <c r="A46" s="285"/>
      <c r="B46" s="285"/>
      <c r="C46" s="285"/>
      <c r="D46" s="286"/>
      <c r="E46" s="285"/>
      <c r="F46" s="285"/>
      <c r="G46" s="285"/>
    </row>
    <row r="47" spans="1:8">
      <c r="A47" s="285"/>
      <c r="B47" s="285"/>
      <c r="C47" s="285"/>
      <c r="D47" s="286"/>
      <c r="E47" s="285"/>
      <c r="F47" s="285"/>
      <c r="G47" s="285"/>
    </row>
    <row r="48" spans="1:8">
      <c r="A48" s="285"/>
      <c r="B48" s="285"/>
      <c r="C48" s="285"/>
      <c r="D48" s="286"/>
      <c r="E48" s="285"/>
      <c r="F48" s="285"/>
      <c r="G48" s="285"/>
    </row>
    <row r="49" spans="1:7">
      <c r="A49" s="285"/>
      <c r="B49" s="285"/>
      <c r="C49" s="285"/>
      <c r="D49" s="286"/>
      <c r="E49" s="285"/>
      <c r="F49" s="285"/>
      <c r="G49" s="285"/>
    </row>
    <row r="50" spans="1:7">
      <c r="A50" s="285"/>
      <c r="B50" s="285"/>
      <c r="C50" s="285"/>
      <c r="D50" s="286"/>
      <c r="E50" s="285"/>
      <c r="F50" s="285"/>
      <c r="G50" s="285"/>
    </row>
    <row r="51" spans="1:7">
      <c r="A51" s="285"/>
      <c r="B51" s="285"/>
      <c r="C51" s="285"/>
      <c r="D51" s="286"/>
      <c r="E51" s="285"/>
      <c r="F51" s="285"/>
      <c r="G51" s="285"/>
    </row>
    <row r="52" spans="1:7">
      <c r="A52" s="285"/>
      <c r="B52" s="285"/>
      <c r="C52" s="285"/>
      <c r="D52" s="286"/>
      <c r="E52" s="285"/>
      <c r="F52" s="285"/>
      <c r="G52" s="285"/>
    </row>
    <row r="53" spans="1:7">
      <c r="A53" s="285"/>
      <c r="B53" s="285"/>
      <c r="C53" s="285"/>
      <c r="D53" s="286"/>
      <c r="E53" s="285"/>
      <c r="F53" s="285"/>
      <c r="G53" s="285"/>
    </row>
    <row r="54" spans="1:7">
      <c r="A54" s="285"/>
      <c r="B54" s="285"/>
      <c r="C54" s="285"/>
      <c r="D54" s="286"/>
      <c r="E54" s="285"/>
      <c r="F54" s="285"/>
      <c r="G54" s="285"/>
    </row>
    <row r="55" spans="1:7">
      <c r="A55" s="285"/>
      <c r="B55" s="285"/>
      <c r="C55" s="285"/>
      <c r="D55" s="286"/>
      <c r="E55" s="285"/>
      <c r="F55" s="285"/>
      <c r="G55" s="285"/>
    </row>
    <row r="56" spans="1:7">
      <c r="A56" s="285"/>
      <c r="B56" s="285"/>
      <c r="C56" s="285"/>
      <c r="D56" s="286"/>
      <c r="E56" s="285"/>
      <c r="F56" s="285"/>
      <c r="G56" s="285"/>
    </row>
    <row r="57" spans="1:7">
      <c r="A57" s="285"/>
      <c r="B57" s="285"/>
      <c r="C57" s="285"/>
      <c r="D57" s="286"/>
      <c r="E57" s="285"/>
      <c r="F57" s="285"/>
      <c r="G57" s="285"/>
    </row>
    <row r="58" spans="1:7">
      <c r="A58" s="285"/>
      <c r="B58" s="285"/>
      <c r="C58" s="285"/>
      <c r="D58" s="286"/>
      <c r="E58" s="285"/>
      <c r="F58" s="285"/>
      <c r="G58" s="285"/>
    </row>
    <row r="59" spans="1:7">
      <c r="A59" s="285"/>
      <c r="B59" s="285"/>
      <c r="C59" s="285"/>
      <c r="D59" s="286"/>
      <c r="E59" s="285"/>
      <c r="F59" s="285"/>
      <c r="G59" s="285"/>
    </row>
    <row r="60" spans="1:7">
      <c r="A60" s="285"/>
      <c r="B60" s="285"/>
      <c r="C60" s="285"/>
      <c r="D60" s="286"/>
      <c r="E60" s="285"/>
      <c r="F60" s="285"/>
      <c r="G60" s="285"/>
    </row>
    <row r="61" spans="1:7">
      <c r="A61" s="285"/>
      <c r="B61" s="285"/>
      <c r="C61" s="285"/>
      <c r="D61" s="286"/>
      <c r="E61" s="285"/>
      <c r="F61" s="285"/>
      <c r="G61" s="285"/>
    </row>
    <row r="62" spans="1:7">
      <c r="A62" s="285"/>
      <c r="B62" s="285"/>
      <c r="C62" s="285"/>
      <c r="D62" s="286"/>
      <c r="E62" s="285"/>
      <c r="F62" s="285"/>
      <c r="G62" s="285"/>
    </row>
    <row r="63" spans="1:7">
      <c r="A63" s="285"/>
      <c r="B63" s="285"/>
      <c r="C63" s="285"/>
      <c r="D63" s="286"/>
      <c r="E63" s="285"/>
      <c r="F63" s="285"/>
      <c r="G63" s="285"/>
    </row>
    <row r="64" spans="1:7">
      <c r="A64" s="285"/>
      <c r="B64" s="285"/>
      <c r="C64" s="285"/>
      <c r="D64" s="286"/>
      <c r="E64" s="285"/>
      <c r="F64" s="285"/>
      <c r="G64" s="285"/>
    </row>
    <row r="65" spans="1:7">
      <c r="A65" s="285"/>
      <c r="B65" s="285"/>
      <c r="C65" s="285"/>
      <c r="D65" s="286"/>
      <c r="E65" s="285"/>
      <c r="F65" s="285"/>
      <c r="G65" s="285"/>
    </row>
    <row r="66" spans="1:7">
      <c r="A66" s="285"/>
      <c r="B66" s="285"/>
      <c r="C66" s="285"/>
      <c r="D66" s="286"/>
      <c r="E66" s="285"/>
      <c r="F66" s="285"/>
      <c r="G66" s="285"/>
    </row>
    <row r="67" spans="1:7" hidden="1">
      <c r="A67" s="285"/>
      <c r="B67" s="285"/>
      <c r="C67" s="285"/>
      <c r="D67" s="286"/>
      <c r="E67" s="285">
        <v>0</v>
      </c>
      <c r="F67" s="285"/>
      <c r="G67" s="285"/>
    </row>
    <row r="68" spans="1:7">
      <c r="A68" s="285"/>
      <c r="B68" s="285"/>
      <c r="C68" s="285"/>
      <c r="D68" s="286"/>
      <c r="E68" s="285"/>
      <c r="F68" s="285"/>
      <c r="G68" s="285"/>
    </row>
    <row r="69" spans="1:7">
      <c r="A69" s="285"/>
      <c r="B69" s="285"/>
      <c r="C69" s="285"/>
      <c r="D69" s="286"/>
      <c r="E69" s="285"/>
      <c r="F69" s="285"/>
      <c r="G69" s="285"/>
    </row>
    <row r="70" spans="1:7">
      <c r="A70" s="285"/>
      <c r="B70" s="285"/>
      <c r="C70" s="285"/>
      <c r="D70" s="286"/>
      <c r="E70" s="285"/>
      <c r="F70" s="285"/>
      <c r="G70" s="285"/>
    </row>
    <row r="71" spans="1:7">
      <c r="A71" s="285"/>
      <c r="B71" s="285"/>
      <c r="C71" s="285"/>
      <c r="D71" s="286"/>
      <c r="E71" s="285"/>
      <c r="F71" s="285"/>
      <c r="G71" s="285"/>
    </row>
    <row r="72" spans="1:7">
      <c r="A72" s="285"/>
      <c r="B72" s="285"/>
      <c r="C72" s="285"/>
      <c r="D72" s="286"/>
      <c r="E72" s="285"/>
      <c r="F72" s="285"/>
      <c r="G72" s="285"/>
    </row>
    <row r="73" spans="1:7" hidden="1">
      <c r="A73" s="285"/>
      <c r="B73" s="285"/>
      <c r="C73" s="285"/>
      <c r="D73" s="286"/>
      <c r="E73" s="285"/>
      <c r="F73" s="285"/>
      <c r="G73" s="285"/>
    </row>
    <row r="74" spans="1:7">
      <c r="A74" s="285"/>
      <c r="B74" s="285"/>
      <c r="C74" s="285"/>
      <c r="D74" s="286"/>
      <c r="E74" s="285"/>
      <c r="F74" s="285"/>
      <c r="G74" s="285"/>
    </row>
    <row r="75" spans="1:7">
      <c r="A75" s="285"/>
      <c r="B75" s="285"/>
      <c r="C75" s="285"/>
      <c r="D75" s="286"/>
      <c r="E75" s="285"/>
      <c r="F75" s="285"/>
      <c r="G75" s="285"/>
    </row>
    <row r="76" spans="1:7">
      <c r="A76" s="285"/>
      <c r="B76" s="285"/>
      <c r="C76" s="285"/>
      <c r="D76" s="286"/>
      <c r="E76" s="285"/>
      <c r="F76" s="285"/>
      <c r="G76" s="285"/>
    </row>
    <row r="77" spans="1:7">
      <c r="A77" s="285"/>
      <c r="B77" s="285"/>
      <c r="C77" s="285"/>
      <c r="D77" s="286"/>
      <c r="E77" s="285"/>
      <c r="F77" s="285"/>
      <c r="G77" s="285"/>
    </row>
    <row r="78" spans="1:7">
      <c r="A78" s="285"/>
      <c r="B78" s="285"/>
      <c r="C78" s="285"/>
      <c r="D78" s="286"/>
      <c r="E78" s="285"/>
      <c r="F78" s="285"/>
      <c r="G78" s="285"/>
    </row>
  </sheetData>
  <mergeCells count="17">
    <mergeCell ref="A1:C1"/>
    <mergeCell ref="B26:C26"/>
    <mergeCell ref="B30:C30"/>
    <mergeCell ref="B23:C23"/>
    <mergeCell ref="B16:C16"/>
    <mergeCell ref="A2:C2"/>
    <mergeCell ref="B19:C19"/>
    <mergeCell ref="H4:H5"/>
    <mergeCell ref="B13:C13"/>
    <mergeCell ref="A6:C6"/>
    <mergeCell ref="G4:G5"/>
    <mergeCell ref="A4:C4"/>
    <mergeCell ref="D4:D5"/>
    <mergeCell ref="E4:E5"/>
    <mergeCell ref="B7:C7"/>
    <mergeCell ref="B10:C10"/>
    <mergeCell ref="F4:F5"/>
  </mergeCells>
  <phoneticPr fontId="2" type="noConversion"/>
  <pageMargins left="0.39" right="0.42" top="0.83" bottom="0.55000000000000004" header="0.54" footer="0.28999999999999998"/>
  <pageSetup paperSize="9" scale="7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81"/>
  <sheetViews>
    <sheetView workbookViewId="0">
      <selection activeCell="A2" sqref="A2:C2"/>
    </sheetView>
  </sheetViews>
  <sheetFormatPr defaultRowHeight="13.5"/>
  <cols>
    <col min="1" max="2" width="10.88671875" style="46" customWidth="1"/>
    <col min="3" max="3" width="11.77734375" style="46" customWidth="1"/>
    <col min="4" max="4" width="12.77734375" style="47" customWidth="1"/>
    <col min="5" max="5" width="12.77734375" style="46" customWidth="1"/>
    <col min="6" max="6" width="6.77734375" style="46" customWidth="1"/>
    <col min="7" max="7" width="12.77734375" style="46" customWidth="1"/>
    <col min="8" max="8" width="36.109375" style="46" customWidth="1"/>
    <col min="9" max="9" width="11.5546875" style="47" customWidth="1"/>
    <col min="10" max="10" width="14.664062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940" t="s">
        <v>944</v>
      </c>
      <c r="B1" s="941"/>
      <c r="C1" s="941"/>
      <c r="D1" s="43"/>
      <c r="E1" s="34"/>
      <c r="F1" s="44"/>
      <c r="G1" s="44"/>
    </row>
    <row r="2" spans="1:10" s="5" customFormat="1" ht="22.5" customHeight="1">
      <c r="A2" s="943" t="s">
        <v>379</v>
      </c>
      <c r="B2" s="943"/>
      <c r="C2" s="943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93" t="s">
        <v>336</v>
      </c>
    </row>
    <row r="4" spans="1:10" s="3" customFormat="1" ht="33.75" customHeight="1">
      <c r="A4" s="950" t="s">
        <v>4</v>
      </c>
      <c r="B4" s="951"/>
      <c r="C4" s="951"/>
      <c r="D4" s="938" t="str">
        <f>'다-1.자부담세입내역'!D4:D5</f>
        <v>2015년도
1차추경
( A )</v>
      </c>
      <c r="E4" s="936" t="str">
        <f>'다-1.자부담세입내역'!E4:E5</f>
        <v>2015년도
2차추경
( B )</v>
      </c>
      <c r="F4" s="948" t="s">
        <v>391</v>
      </c>
      <c r="G4" s="948" t="s">
        <v>46</v>
      </c>
      <c r="H4" s="944" t="s">
        <v>33</v>
      </c>
    </row>
    <row r="5" spans="1:10" s="3" customFormat="1" ht="33.75" customHeight="1" thickBot="1">
      <c r="A5" s="180" t="s">
        <v>1</v>
      </c>
      <c r="B5" s="181" t="s">
        <v>2</v>
      </c>
      <c r="C5" s="181" t="s">
        <v>3</v>
      </c>
      <c r="D5" s="939"/>
      <c r="E5" s="937"/>
      <c r="F5" s="949"/>
      <c r="G5" s="949"/>
      <c r="H5" s="945"/>
    </row>
    <row r="6" spans="1:10" s="3" customFormat="1" ht="29.25" customHeight="1" thickTop="1">
      <c r="A6" s="946" t="s">
        <v>337</v>
      </c>
      <c r="B6" s="947"/>
      <c r="C6" s="947"/>
      <c r="D6" s="298">
        <v>504600000</v>
      </c>
      <c r="E6" s="298">
        <f>E7+E10+E13+E16+E22+E26+E29+E33</f>
        <v>504600000</v>
      </c>
      <c r="F6" s="297">
        <f>F10+F22+F26+F29+F33+F13+F7+F16</f>
        <v>99.999999999999986</v>
      </c>
      <c r="G6" s="298">
        <f>G10+G22+G26+G29+G33+G13+G7+G16</f>
        <v>0</v>
      </c>
      <c r="H6" s="294"/>
      <c r="J6" s="615">
        <f>E6-'라-2.후원금세출내역'!F6</f>
        <v>0</v>
      </c>
    </row>
    <row r="7" spans="1:10" s="1" customFormat="1" ht="29.25" customHeight="1">
      <c r="A7" s="82" t="s">
        <v>338</v>
      </c>
      <c r="B7" s="942" t="s">
        <v>339</v>
      </c>
      <c r="C7" s="942"/>
      <c r="D7" s="269">
        <v>0</v>
      </c>
      <c r="E7" s="269">
        <f>E8</f>
        <v>0</v>
      </c>
      <c r="F7" s="281">
        <f>F8</f>
        <v>0</v>
      </c>
      <c r="G7" s="269">
        <f>G8</f>
        <v>0</v>
      </c>
      <c r="H7" s="289"/>
    </row>
    <row r="8" spans="1:10" s="1" customFormat="1" ht="29.25" customHeight="1">
      <c r="A8" s="205"/>
      <c r="B8" s="83" t="s">
        <v>340</v>
      </c>
      <c r="C8" s="83" t="s">
        <v>341</v>
      </c>
      <c r="D8" s="245">
        <v>0</v>
      </c>
      <c r="E8" s="245">
        <f>E9</f>
        <v>0</v>
      </c>
      <c r="F8" s="281">
        <f>F9</f>
        <v>0</v>
      </c>
      <c r="G8" s="245">
        <f>E8-D8</f>
        <v>0</v>
      </c>
      <c r="H8" s="289"/>
    </row>
    <row r="9" spans="1:10" s="1" customFormat="1" ht="29.25" customHeight="1">
      <c r="A9" s="212"/>
      <c r="B9" s="83"/>
      <c r="C9" s="83" t="s">
        <v>340</v>
      </c>
      <c r="D9" s="245">
        <v>0</v>
      </c>
      <c r="E9" s="245">
        <v>0</v>
      </c>
      <c r="F9" s="281">
        <f>E9/E6*100</f>
        <v>0</v>
      </c>
      <c r="G9" s="245">
        <f>E9-D9</f>
        <v>0</v>
      </c>
      <c r="H9" s="289"/>
    </row>
    <row r="10" spans="1:10" s="1" customFormat="1" ht="29.25" customHeight="1">
      <c r="A10" s="82" t="s">
        <v>342</v>
      </c>
      <c r="B10" s="942" t="s">
        <v>339</v>
      </c>
      <c r="C10" s="942"/>
      <c r="D10" s="269">
        <v>0</v>
      </c>
      <c r="E10" s="269">
        <f t="shared" ref="E10:G11" si="0">E11</f>
        <v>0</v>
      </c>
      <c r="F10" s="281">
        <f t="shared" si="0"/>
        <v>0</v>
      </c>
      <c r="G10" s="269">
        <f t="shared" si="0"/>
        <v>0</v>
      </c>
      <c r="H10" s="289"/>
    </row>
    <row r="11" spans="1:10" s="1" customFormat="1" ht="29.25" customHeight="1">
      <c r="A11" s="205"/>
      <c r="B11" s="83" t="s">
        <v>342</v>
      </c>
      <c r="C11" s="83" t="s">
        <v>341</v>
      </c>
      <c r="D11" s="269">
        <v>0</v>
      </c>
      <c r="E11" s="269">
        <f t="shared" si="0"/>
        <v>0</v>
      </c>
      <c r="F11" s="281">
        <f t="shared" si="0"/>
        <v>0</v>
      </c>
      <c r="G11" s="269">
        <f t="shared" si="0"/>
        <v>0</v>
      </c>
      <c r="H11" s="289"/>
    </row>
    <row r="12" spans="1:10" s="1" customFormat="1" ht="29.25" customHeight="1">
      <c r="A12" s="212"/>
      <c r="B12" s="83"/>
      <c r="C12" s="83" t="s">
        <v>342</v>
      </c>
      <c r="D12" s="269">
        <v>0</v>
      </c>
      <c r="E12" s="269">
        <v>0</v>
      </c>
      <c r="F12" s="281">
        <f>E12/E6*100</f>
        <v>0</v>
      </c>
      <c r="G12" s="269">
        <f>E12-D12</f>
        <v>0</v>
      </c>
      <c r="H12" s="289"/>
    </row>
    <row r="13" spans="1:10" s="1" customFormat="1" ht="29.25" customHeight="1">
      <c r="A13" s="82" t="s">
        <v>343</v>
      </c>
      <c r="B13" s="942" t="s">
        <v>339</v>
      </c>
      <c r="C13" s="942"/>
      <c r="D13" s="269">
        <v>0</v>
      </c>
      <c r="E13" s="269">
        <f t="shared" ref="E13:G14" si="1">E14</f>
        <v>0</v>
      </c>
      <c r="F13" s="281">
        <f t="shared" si="1"/>
        <v>0</v>
      </c>
      <c r="G13" s="269">
        <f t="shared" si="1"/>
        <v>0</v>
      </c>
      <c r="H13" s="289"/>
    </row>
    <row r="14" spans="1:10" s="1" customFormat="1" ht="29.25" customHeight="1">
      <c r="A14" s="205"/>
      <c r="B14" s="83" t="s">
        <v>344</v>
      </c>
      <c r="C14" s="83" t="s">
        <v>341</v>
      </c>
      <c r="D14" s="269">
        <v>0</v>
      </c>
      <c r="E14" s="269">
        <f t="shared" si="1"/>
        <v>0</v>
      </c>
      <c r="F14" s="281">
        <f t="shared" si="1"/>
        <v>0</v>
      </c>
      <c r="G14" s="269">
        <f t="shared" si="1"/>
        <v>0</v>
      </c>
      <c r="H14" s="289"/>
    </row>
    <row r="15" spans="1:10" s="1" customFormat="1" ht="29.25" customHeight="1">
      <c r="A15" s="212"/>
      <c r="B15" s="83"/>
      <c r="C15" s="83" t="s">
        <v>344</v>
      </c>
      <c r="D15" s="269">
        <v>0</v>
      </c>
      <c r="E15" s="269">
        <v>0</v>
      </c>
      <c r="F15" s="281">
        <f>E15/E6*100</f>
        <v>0</v>
      </c>
      <c r="G15" s="269">
        <f t="shared" ref="G15:G21" si="2">E15-D15</f>
        <v>0</v>
      </c>
      <c r="H15" s="289"/>
    </row>
    <row r="16" spans="1:10" s="1" customFormat="1" ht="29.25" customHeight="1">
      <c r="A16" s="212" t="s">
        <v>392</v>
      </c>
      <c r="B16" s="954" t="s">
        <v>187</v>
      </c>
      <c r="C16" s="955"/>
      <c r="D16" s="269">
        <v>317100000</v>
      </c>
      <c r="E16" s="269">
        <f>E17+E20</f>
        <v>317100000</v>
      </c>
      <c r="F16" s="281">
        <f>F17+F20</f>
        <v>62.841854934601656</v>
      </c>
      <c r="G16" s="269">
        <f t="shared" si="2"/>
        <v>0</v>
      </c>
      <c r="H16" s="289"/>
    </row>
    <row r="17" spans="1:8" s="1" customFormat="1" ht="29.25" customHeight="1">
      <c r="A17" s="205"/>
      <c r="B17" s="83" t="s">
        <v>393</v>
      </c>
      <c r="C17" s="83" t="s">
        <v>117</v>
      </c>
      <c r="D17" s="269">
        <v>316100000</v>
      </c>
      <c r="E17" s="269">
        <f>SUM(E18:E19)</f>
        <v>316100000</v>
      </c>
      <c r="F17" s="281">
        <f>SUM(F18:F19)</f>
        <v>62.643678160919535</v>
      </c>
      <c r="G17" s="269">
        <f t="shared" si="2"/>
        <v>0</v>
      </c>
      <c r="H17" s="289"/>
    </row>
    <row r="18" spans="1:8" s="1" customFormat="1" ht="29.25" customHeight="1">
      <c r="A18" s="206"/>
      <c r="B18" s="213"/>
      <c r="C18" s="83" t="s">
        <v>394</v>
      </c>
      <c r="D18" s="269">
        <v>6100000</v>
      </c>
      <c r="E18" s="269">
        <v>6100000</v>
      </c>
      <c r="F18" s="281">
        <f>E18/E6*100</f>
        <v>1.2088783194609591</v>
      </c>
      <c r="G18" s="269">
        <f t="shared" si="2"/>
        <v>0</v>
      </c>
      <c r="H18" s="589" t="s">
        <v>770</v>
      </c>
    </row>
    <row r="19" spans="1:8" s="1" customFormat="1" ht="29.25" customHeight="1">
      <c r="A19" s="206"/>
      <c r="B19" s="214"/>
      <c r="C19" s="83" t="s">
        <v>395</v>
      </c>
      <c r="D19" s="269">
        <v>310000000</v>
      </c>
      <c r="E19" s="269">
        <v>310000000</v>
      </c>
      <c r="F19" s="281">
        <f>E19/E6*100</f>
        <v>61.434799841458577</v>
      </c>
      <c r="G19" s="269">
        <f t="shared" si="2"/>
        <v>0</v>
      </c>
      <c r="H19" s="589"/>
    </row>
    <row r="20" spans="1:8" s="1" customFormat="1" ht="29.25" customHeight="1">
      <c r="A20" s="206"/>
      <c r="B20" s="83" t="s">
        <v>423</v>
      </c>
      <c r="C20" s="83" t="s">
        <v>7</v>
      </c>
      <c r="D20" s="269">
        <v>1000000</v>
      </c>
      <c r="E20" s="269">
        <f>SUM(E21:E22)</f>
        <v>1000000</v>
      </c>
      <c r="F20" s="281">
        <f>SUM(F21:F22)</f>
        <v>0.19817677368212444</v>
      </c>
      <c r="G20" s="269">
        <f t="shared" si="2"/>
        <v>0</v>
      </c>
      <c r="H20" s="289"/>
    </row>
    <row r="21" spans="1:8" s="1" customFormat="1" ht="29.25" customHeight="1">
      <c r="A21" s="206"/>
      <c r="B21" s="213"/>
      <c r="C21" s="83" t="s">
        <v>424</v>
      </c>
      <c r="D21" s="269">
        <v>1000000</v>
      </c>
      <c r="E21" s="269">
        <v>1000000</v>
      </c>
      <c r="F21" s="281">
        <f>E21/E6*100</f>
        <v>0.19817677368212444</v>
      </c>
      <c r="G21" s="269">
        <f t="shared" si="2"/>
        <v>0</v>
      </c>
      <c r="H21" s="289"/>
    </row>
    <row r="22" spans="1:8" s="1" customFormat="1" ht="29.25" customHeight="1">
      <c r="A22" s="82" t="s">
        <v>345</v>
      </c>
      <c r="B22" s="942" t="s">
        <v>339</v>
      </c>
      <c r="C22" s="942"/>
      <c r="D22" s="245">
        <v>0</v>
      </c>
      <c r="E22" s="245">
        <f>E23</f>
        <v>0</v>
      </c>
      <c r="F22" s="304">
        <f>F23</f>
        <v>0</v>
      </c>
      <c r="G22" s="245">
        <f>G23</f>
        <v>0</v>
      </c>
      <c r="H22" s="289"/>
    </row>
    <row r="23" spans="1:8" s="1" customFormat="1" ht="29.25" customHeight="1">
      <c r="A23" s="205"/>
      <c r="B23" s="83" t="s">
        <v>345</v>
      </c>
      <c r="C23" s="83" t="s">
        <v>341</v>
      </c>
      <c r="D23" s="245">
        <v>0</v>
      </c>
      <c r="E23" s="245">
        <f>SUM(E24:E25)</f>
        <v>0</v>
      </c>
      <c r="F23" s="281">
        <f>SUM(F24:F25)</f>
        <v>0</v>
      </c>
      <c r="G23" s="245">
        <f>SUM(G24:G25)</f>
        <v>0</v>
      </c>
      <c r="H23" s="289"/>
    </row>
    <row r="24" spans="1:8" s="1" customFormat="1" ht="29.25" customHeight="1">
      <c r="A24" s="206"/>
      <c r="B24" s="288"/>
      <c r="C24" s="83" t="s">
        <v>346</v>
      </c>
      <c r="D24" s="245">
        <v>0</v>
      </c>
      <c r="E24" s="245">
        <v>0</v>
      </c>
      <c r="F24" s="281">
        <f>E24/E6*100</f>
        <v>0</v>
      </c>
      <c r="G24" s="245">
        <f>E24-D24</f>
        <v>0</v>
      </c>
      <c r="H24" s="289"/>
    </row>
    <row r="25" spans="1:8" s="1" customFormat="1" ht="29.25" customHeight="1">
      <c r="A25" s="206"/>
      <c r="B25" s="250"/>
      <c r="C25" s="83" t="s">
        <v>347</v>
      </c>
      <c r="D25" s="245">
        <v>0</v>
      </c>
      <c r="E25" s="245">
        <v>0</v>
      </c>
      <c r="F25" s="281">
        <f>E25/E6*100</f>
        <v>0</v>
      </c>
      <c r="G25" s="245">
        <f>E25-D25</f>
        <v>0</v>
      </c>
      <c r="H25" s="289"/>
    </row>
    <row r="26" spans="1:8" s="1" customFormat="1" ht="29.25" customHeight="1">
      <c r="A26" s="82" t="s">
        <v>348</v>
      </c>
      <c r="B26" s="952" t="s">
        <v>339</v>
      </c>
      <c r="C26" s="953"/>
      <c r="D26" s="245">
        <v>0</v>
      </c>
      <c r="E26" s="245">
        <f>E27</f>
        <v>0</v>
      </c>
      <c r="F26" s="281">
        <f>F27</f>
        <v>0</v>
      </c>
      <c r="G26" s="245">
        <f>G27</f>
        <v>0</v>
      </c>
      <c r="H26" s="289"/>
    </row>
    <row r="27" spans="1:8" s="1" customFormat="1" ht="29.25" customHeight="1">
      <c r="A27" s="206"/>
      <c r="B27" s="83" t="s">
        <v>348</v>
      </c>
      <c r="C27" s="83" t="s">
        <v>341</v>
      </c>
      <c r="D27" s="245">
        <v>0</v>
      </c>
      <c r="E27" s="245">
        <f>E28</f>
        <v>0</v>
      </c>
      <c r="F27" s="281">
        <f>E27/E6*100</f>
        <v>0</v>
      </c>
      <c r="G27" s="245">
        <f>E27-D27</f>
        <v>0</v>
      </c>
      <c r="H27" s="289"/>
    </row>
    <row r="28" spans="1:8" s="1" customFormat="1" ht="29.25" customHeight="1">
      <c r="A28" s="206"/>
      <c r="B28" s="83"/>
      <c r="C28" s="83" t="s">
        <v>349</v>
      </c>
      <c r="D28" s="245">
        <v>0</v>
      </c>
      <c r="E28" s="245">
        <v>0</v>
      </c>
      <c r="F28" s="281">
        <f>E28/E6*100</f>
        <v>0</v>
      </c>
      <c r="G28" s="245">
        <f>E28-D28</f>
        <v>0</v>
      </c>
      <c r="H28" s="289"/>
    </row>
    <row r="29" spans="1:8" s="1" customFormat="1" ht="29.25" customHeight="1">
      <c r="A29" s="82" t="s">
        <v>350</v>
      </c>
      <c r="B29" s="942" t="s">
        <v>339</v>
      </c>
      <c r="C29" s="942"/>
      <c r="D29" s="245">
        <v>186333104</v>
      </c>
      <c r="E29" s="245">
        <f>E30</f>
        <v>186333104</v>
      </c>
      <c r="F29" s="281">
        <f>F30</f>
        <v>36.926893380895756</v>
      </c>
      <c r="G29" s="245">
        <f>G30</f>
        <v>0</v>
      </c>
      <c r="H29" s="289"/>
    </row>
    <row r="30" spans="1:8" s="1" customFormat="1" ht="29.25" customHeight="1">
      <c r="A30" s="205"/>
      <c r="B30" s="83" t="s">
        <v>350</v>
      </c>
      <c r="C30" s="83" t="s">
        <v>341</v>
      </c>
      <c r="D30" s="245">
        <v>186333104</v>
      </c>
      <c r="E30" s="245">
        <f>SUM(E31:E32)</f>
        <v>186333104</v>
      </c>
      <c r="F30" s="281">
        <f>SUM(F31:F32)</f>
        <v>36.926893380895756</v>
      </c>
      <c r="G30" s="245">
        <f>SUM(G31:G32)</f>
        <v>0</v>
      </c>
      <c r="H30" s="289"/>
    </row>
    <row r="31" spans="1:8" s="1" customFormat="1" ht="49.5" customHeight="1">
      <c r="A31" s="206"/>
      <c r="B31" s="213"/>
      <c r="C31" s="49" t="s">
        <v>351</v>
      </c>
      <c r="D31" s="245">
        <v>186333104</v>
      </c>
      <c r="E31" s="245">
        <v>186333104</v>
      </c>
      <c r="F31" s="281">
        <f>E31/E6*100</f>
        <v>36.926893380895756</v>
      </c>
      <c r="G31" s="245">
        <f>E31-D31</f>
        <v>0</v>
      </c>
      <c r="H31" s="586" t="s">
        <v>795</v>
      </c>
    </row>
    <row r="32" spans="1:8" s="1" customFormat="1" ht="29.25" customHeight="1">
      <c r="A32" s="212"/>
      <c r="B32" s="214"/>
      <c r="C32" s="83" t="s">
        <v>352</v>
      </c>
      <c r="D32" s="245">
        <v>0</v>
      </c>
      <c r="E32" s="245">
        <v>0</v>
      </c>
      <c r="F32" s="281">
        <f>E32/E6*100</f>
        <v>0</v>
      </c>
      <c r="G32" s="245">
        <f>E32-D32</f>
        <v>0</v>
      </c>
      <c r="H32" s="289"/>
    </row>
    <row r="33" spans="1:8" s="4" customFormat="1" ht="29.25" customHeight="1">
      <c r="A33" s="82" t="s">
        <v>353</v>
      </c>
      <c r="B33" s="942" t="s">
        <v>339</v>
      </c>
      <c r="C33" s="942"/>
      <c r="D33" s="245">
        <v>1166896</v>
      </c>
      <c r="E33" s="245">
        <f>E34</f>
        <v>1166896</v>
      </c>
      <c r="F33" s="281">
        <f>F34</f>
        <v>0.2312516845025763</v>
      </c>
      <c r="G33" s="245">
        <f>G34</f>
        <v>0</v>
      </c>
      <c r="H33" s="290"/>
    </row>
    <row r="34" spans="1:8" s="4" customFormat="1" ht="29.25" customHeight="1">
      <c r="A34" s="205"/>
      <c r="B34" s="83" t="s">
        <v>353</v>
      </c>
      <c r="C34" s="83" t="s">
        <v>341</v>
      </c>
      <c r="D34" s="245">
        <v>1166896</v>
      </c>
      <c r="E34" s="245">
        <f>SUM(E35:E37)</f>
        <v>1166896</v>
      </c>
      <c r="F34" s="281">
        <f>SUM(F35:F37)</f>
        <v>0.2312516845025763</v>
      </c>
      <c r="G34" s="245">
        <f>SUM(G35:G37)</f>
        <v>0</v>
      </c>
      <c r="H34" s="290"/>
    </row>
    <row r="35" spans="1:8" s="3" customFormat="1" ht="29.25" customHeight="1">
      <c r="A35" s="206"/>
      <c r="B35" s="213"/>
      <c r="C35" s="49" t="s">
        <v>354</v>
      </c>
      <c r="D35" s="245">
        <v>0</v>
      </c>
      <c r="E35" s="245">
        <v>0</v>
      </c>
      <c r="F35" s="281">
        <f>E35/E6*100</f>
        <v>0</v>
      </c>
      <c r="G35" s="245">
        <f>E35-D35</f>
        <v>0</v>
      </c>
      <c r="H35" s="291"/>
    </row>
    <row r="36" spans="1:8" s="3" customFormat="1" ht="29.25" customHeight="1">
      <c r="A36" s="206"/>
      <c r="B36" s="209"/>
      <c r="C36" s="87" t="s">
        <v>355</v>
      </c>
      <c r="D36" s="245">
        <v>1166896</v>
      </c>
      <c r="E36" s="245">
        <v>1166896</v>
      </c>
      <c r="F36" s="281">
        <f>E36/E6*100</f>
        <v>0.2312516845025763</v>
      </c>
      <c r="G36" s="245">
        <f>E36-D36</f>
        <v>0</v>
      </c>
      <c r="H36" s="291"/>
    </row>
    <row r="37" spans="1:8" s="1" customFormat="1" ht="29.25" customHeight="1">
      <c r="A37" s="215"/>
      <c r="B37" s="216"/>
      <c r="C37" s="246" t="s">
        <v>356</v>
      </c>
      <c r="D37" s="248">
        <v>0</v>
      </c>
      <c r="E37" s="248">
        <v>0</v>
      </c>
      <c r="F37" s="282">
        <f>E37/E6*100</f>
        <v>0</v>
      </c>
      <c r="G37" s="248">
        <f>E37-D37</f>
        <v>0</v>
      </c>
      <c r="H37" s="328"/>
    </row>
    <row r="38" spans="1:8" s="1" customFormat="1" ht="23.25" customHeight="1">
      <c r="A38" s="295"/>
      <c r="B38" s="295"/>
      <c r="C38" s="295"/>
      <c r="D38" s="628"/>
      <c r="E38" s="295"/>
      <c r="F38" s="295"/>
      <c r="G38" s="295"/>
      <c r="H38" s="296"/>
    </row>
    <row r="39" spans="1:8">
      <c r="A39" s="285"/>
      <c r="B39" s="285"/>
      <c r="C39" s="285"/>
      <c r="D39" s="286"/>
      <c r="E39" s="285"/>
      <c r="F39" s="285"/>
      <c r="G39" s="285"/>
    </row>
    <row r="40" spans="1:8">
      <c r="A40" s="285"/>
      <c r="B40" s="285"/>
      <c r="C40" s="285"/>
      <c r="D40" s="286"/>
      <c r="E40" s="285"/>
      <c r="F40" s="285"/>
      <c r="G40" s="285"/>
    </row>
    <row r="41" spans="1:8">
      <c r="A41" s="285"/>
      <c r="B41" s="285"/>
      <c r="C41" s="285"/>
      <c r="D41" s="286"/>
      <c r="E41" s="285"/>
      <c r="F41" s="285"/>
      <c r="G41" s="285"/>
    </row>
    <row r="42" spans="1:8">
      <c r="A42" s="285"/>
      <c r="B42" s="285"/>
      <c r="C42" s="285"/>
      <c r="D42" s="286"/>
      <c r="E42" s="285"/>
      <c r="F42" s="285"/>
      <c r="G42" s="285"/>
    </row>
    <row r="43" spans="1:8">
      <c r="A43" s="285"/>
      <c r="B43" s="285"/>
      <c r="C43" s="285"/>
      <c r="D43" s="286"/>
      <c r="E43" s="285"/>
      <c r="F43" s="285"/>
      <c r="G43" s="285"/>
    </row>
    <row r="44" spans="1:8">
      <c r="A44" s="285"/>
      <c r="B44" s="285"/>
      <c r="C44" s="285"/>
      <c r="D44" s="286"/>
      <c r="E44" s="285"/>
      <c r="F44" s="285"/>
      <c r="G44" s="285"/>
    </row>
    <row r="45" spans="1:8">
      <c r="A45" s="285"/>
      <c r="B45" s="285"/>
      <c r="C45" s="285"/>
      <c r="D45" s="286"/>
      <c r="E45" s="285"/>
      <c r="F45" s="285"/>
      <c r="G45" s="285"/>
    </row>
    <row r="46" spans="1:8">
      <c r="A46" s="285"/>
      <c r="B46" s="285"/>
      <c r="C46" s="285"/>
      <c r="D46" s="286"/>
      <c r="E46" s="285"/>
      <c r="F46" s="285"/>
      <c r="G46" s="285"/>
    </row>
    <row r="47" spans="1:8">
      <c r="A47" s="285"/>
      <c r="B47" s="285"/>
      <c r="C47" s="285"/>
      <c r="D47" s="286"/>
      <c r="E47" s="285"/>
      <c r="F47" s="285"/>
      <c r="G47" s="285"/>
    </row>
    <row r="48" spans="1:8">
      <c r="A48" s="285"/>
      <c r="B48" s="285"/>
      <c r="C48" s="285"/>
      <c r="D48" s="286"/>
      <c r="E48" s="285"/>
      <c r="F48" s="285"/>
      <c r="G48" s="285"/>
    </row>
    <row r="49" spans="1:7">
      <c r="A49" s="285"/>
      <c r="B49" s="285"/>
      <c r="C49" s="285"/>
      <c r="D49" s="286"/>
      <c r="E49" s="285"/>
      <c r="F49" s="285"/>
      <c r="G49" s="285"/>
    </row>
    <row r="50" spans="1:7">
      <c r="A50" s="285"/>
      <c r="B50" s="285"/>
      <c r="C50" s="285"/>
      <c r="D50" s="286"/>
      <c r="E50" s="285"/>
      <c r="F50" s="285"/>
      <c r="G50" s="285"/>
    </row>
    <row r="51" spans="1:7">
      <c r="A51" s="285"/>
      <c r="B51" s="285"/>
      <c r="C51" s="285"/>
      <c r="D51" s="286"/>
      <c r="E51" s="285"/>
      <c r="F51" s="285"/>
      <c r="G51" s="285"/>
    </row>
    <row r="52" spans="1:7">
      <c r="A52" s="285"/>
      <c r="B52" s="285"/>
      <c r="C52" s="285"/>
      <c r="D52" s="286"/>
      <c r="E52" s="285"/>
      <c r="F52" s="285"/>
      <c r="G52" s="285"/>
    </row>
    <row r="53" spans="1:7">
      <c r="A53" s="285"/>
      <c r="B53" s="285"/>
      <c r="C53" s="285"/>
      <c r="D53" s="286"/>
      <c r="E53" s="285"/>
      <c r="F53" s="285"/>
      <c r="G53" s="285"/>
    </row>
    <row r="54" spans="1:7">
      <c r="A54" s="285"/>
      <c r="B54" s="285"/>
      <c r="C54" s="285"/>
      <c r="D54" s="286"/>
      <c r="E54" s="285"/>
      <c r="F54" s="285"/>
      <c r="G54" s="285"/>
    </row>
    <row r="55" spans="1:7">
      <c r="A55" s="285"/>
      <c r="B55" s="285"/>
      <c r="C55" s="285"/>
      <c r="D55" s="286"/>
      <c r="E55" s="285"/>
      <c r="F55" s="285"/>
      <c r="G55" s="285"/>
    </row>
    <row r="56" spans="1:7">
      <c r="A56" s="285"/>
      <c r="B56" s="285"/>
      <c r="C56" s="285"/>
      <c r="D56" s="286"/>
      <c r="E56" s="285"/>
      <c r="F56" s="285"/>
      <c r="G56" s="285"/>
    </row>
    <row r="57" spans="1:7">
      <c r="A57" s="285"/>
      <c r="B57" s="285"/>
      <c r="C57" s="285"/>
      <c r="D57" s="286"/>
      <c r="E57" s="285"/>
      <c r="F57" s="285"/>
      <c r="G57" s="285"/>
    </row>
    <row r="58" spans="1:7">
      <c r="A58" s="285"/>
      <c r="B58" s="285"/>
      <c r="C58" s="285"/>
      <c r="D58" s="286"/>
      <c r="E58" s="285"/>
      <c r="F58" s="285"/>
      <c r="G58" s="285"/>
    </row>
    <row r="59" spans="1:7">
      <c r="A59" s="285"/>
      <c r="B59" s="285"/>
      <c r="C59" s="285"/>
      <c r="D59" s="286"/>
      <c r="E59" s="285"/>
      <c r="F59" s="285"/>
      <c r="G59" s="285"/>
    </row>
    <row r="60" spans="1:7">
      <c r="A60" s="285"/>
      <c r="B60" s="285"/>
      <c r="C60" s="285"/>
      <c r="D60" s="286"/>
      <c r="E60" s="285"/>
      <c r="F60" s="285"/>
      <c r="G60" s="285"/>
    </row>
    <row r="61" spans="1:7">
      <c r="A61" s="285"/>
      <c r="B61" s="285"/>
      <c r="C61" s="285"/>
      <c r="D61" s="286"/>
      <c r="E61" s="285"/>
      <c r="F61" s="285"/>
      <c r="G61" s="285"/>
    </row>
    <row r="62" spans="1:7">
      <c r="A62" s="285"/>
      <c r="B62" s="285"/>
      <c r="C62" s="285"/>
      <c r="D62" s="286"/>
      <c r="E62" s="285"/>
      <c r="F62" s="285"/>
      <c r="G62" s="285"/>
    </row>
    <row r="63" spans="1:7">
      <c r="A63" s="285"/>
      <c r="B63" s="285"/>
      <c r="C63" s="285"/>
      <c r="D63" s="286"/>
      <c r="E63" s="285"/>
      <c r="F63" s="285"/>
      <c r="G63" s="285"/>
    </row>
    <row r="64" spans="1:7">
      <c r="A64" s="285"/>
      <c r="B64" s="285"/>
      <c r="C64" s="285"/>
      <c r="D64" s="286"/>
      <c r="E64" s="285"/>
      <c r="F64" s="285"/>
      <c r="G64" s="285"/>
    </row>
    <row r="65" spans="1:7">
      <c r="A65" s="285"/>
      <c r="B65" s="285"/>
      <c r="C65" s="285"/>
      <c r="D65" s="286"/>
      <c r="E65" s="285"/>
      <c r="F65" s="285"/>
      <c r="G65" s="285"/>
    </row>
    <row r="66" spans="1:7">
      <c r="A66" s="285"/>
      <c r="B66" s="285"/>
      <c r="C66" s="285"/>
      <c r="D66" s="286"/>
      <c r="E66" s="285"/>
      <c r="F66" s="285"/>
      <c r="G66" s="285"/>
    </row>
    <row r="67" spans="1:7" hidden="1">
      <c r="A67" s="285"/>
      <c r="B67" s="285"/>
      <c r="C67" s="285"/>
      <c r="D67" s="286"/>
      <c r="E67" s="285">
        <v>0</v>
      </c>
      <c r="F67" s="285"/>
      <c r="G67" s="285"/>
    </row>
    <row r="68" spans="1:7">
      <c r="A68" s="285"/>
      <c r="B68" s="285"/>
      <c r="C68" s="285"/>
      <c r="D68" s="286"/>
      <c r="E68" s="285"/>
      <c r="F68" s="285"/>
      <c r="G68" s="285"/>
    </row>
    <row r="69" spans="1:7">
      <c r="A69" s="285"/>
      <c r="B69" s="285"/>
      <c r="C69" s="285"/>
      <c r="D69" s="286"/>
      <c r="E69" s="285"/>
      <c r="F69" s="285"/>
      <c r="G69" s="285"/>
    </row>
    <row r="70" spans="1:7">
      <c r="A70" s="285"/>
      <c r="B70" s="285"/>
      <c r="C70" s="285"/>
      <c r="D70" s="286"/>
      <c r="E70" s="285"/>
      <c r="F70" s="285"/>
      <c r="G70" s="285"/>
    </row>
    <row r="71" spans="1:7">
      <c r="A71" s="285"/>
      <c r="B71" s="285"/>
      <c r="C71" s="285"/>
      <c r="D71" s="286"/>
      <c r="E71" s="285"/>
      <c r="F71" s="285"/>
      <c r="G71" s="285"/>
    </row>
    <row r="72" spans="1:7">
      <c r="A72" s="285"/>
      <c r="B72" s="285"/>
      <c r="C72" s="285"/>
      <c r="D72" s="286"/>
      <c r="E72" s="285"/>
      <c r="F72" s="285"/>
      <c r="G72" s="285"/>
    </row>
    <row r="73" spans="1:7" hidden="1">
      <c r="A73" s="285"/>
      <c r="B73" s="285"/>
      <c r="C73" s="285"/>
      <c r="D73" s="286"/>
      <c r="E73" s="285"/>
      <c r="F73" s="285"/>
      <c r="G73" s="285"/>
    </row>
    <row r="74" spans="1:7">
      <c r="A74" s="285"/>
      <c r="B74" s="285"/>
      <c r="C74" s="285"/>
      <c r="D74" s="286"/>
      <c r="E74" s="285"/>
      <c r="F74" s="285"/>
      <c r="G74" s="285"/>
    </row>
    <row r="75" spans="1:7">
      <c r="A75" s="285"/>
      <c r="B75" s="285"/>
      <c r="C75" s="285"/>
      <c r="D75" s="286"/>
      <c r="E75" s="285"/>
      <c r="F75" s="285"/>
      <c r="G75" s="285"/>
    </row>
    <row r="76" spans="1:7">
      <c r="A76" s="285"/>
      <c r="B76" s="285"/>
      <c r="C76" s="285"/>
      <c r="D76" s="286"/>
      <c r="E76" s="285"/>
      <c r="F76" s="285"/>
      <c r="G76" s="285"/>
    </row>
    <row r="77" spans="1:7">
      <c r="A77" s="285"/>
      <c r="B77" s="285"/>
      <c r="C77" s="285"/>
      <c r="D77" s="286"/>
      <c r="E77" s="285"/>
      <c r="F77" s="285"/>
      <c r="G77" s="285"/>
    </row>
    <row r="78" spans="1:7">
      <c r="A78" s="285"/>
      <c r="B78" s="285"/>
      <c r="C78" s="285"/>
      <c r="D78" s="286"/>
      <c r="E78" s="285"/>
      <c r="F78" s="285"/>
      <c r="G78" s="285"/>
    </row>
    <row r="79" spans="1:7">
      <c r="A79" s="285"/>
      <c r="B79" s="285"/>
      <c r="C79" s="285"/>
      <c r="D79" s="286"/>
      <c r="E79" s="285"/>
      <c r="F79" s="285"/>
      <c r="G79" s="285"/>
    </row>
    <row r="80" spans="1:7">
      <c r="A80" s="285"/>
      <c r="B80" s="285"/>
      <c r="C80" s="285"/>
      <c r="D80" s="286"/>
      <c r="E80" s="285"/>
      <c r="F80" s="285"/>
      <c r="G80" s="285"/>
    </row>
    <row r="81" spans="1:7">
      <c r="A81" s="285"/>
      <c r="B81" s="285"/>
      <c r="C81" s="285"/>
      <c r="D81" s="286"/>
      <c r="E81" s="285"/>
      <c r="F81" s="285"/>
      <c r="G81" s="285"/>
    </row>
  </sheetData>
  <mergeCells count="17">
    <mergeCell ref="B29:C29"/>
    <mergeCell ref="B33:C33"/>
    <mergeCell ref="H4:H5"/>
    <mergeCell ref="B10:C10"/>
    <mergeCell ref="A6:C6"/>
    <mergeCell ref="G4:G5"/>
    <mergeCell ref="A4:C4"/>
    <mergeCell ref="D4:D5"/>
    <mergeCell ref="E4:E5"/>
    <mergeCell ref="F4:F5"/>
    <mergeCell ref="A1:C1"/>
    <mergeCell ref="B26:C26"/>
    <mergeCell ref="B13:C13"/>
    <mergeCell ref="A2:C2"/>
    <mergeCell ref="B22:C22"/>
    <mergeCell ref="B7:C7"/>
    <mergeCell ref="B16:C16"/>
  </mergeCells>
  <phoneticPr fontId="2" type="noConversion"/>
  <pageMargins left="0.39" right="0.42" top="0.5" bottom="0.46" header="0.18" footer="0.28999999999999998"/>
  <pageSetup paperSize="9" scale="6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AK295"/>
  <sheetViews>
    <sheetView workbookViewId="0"/>
  </sheetViews>
  <sheetFormatPr defaultRowHeight="13.5"/>
  <cols>
    <col min="1" max="1" width="6.88671875" style="77" customWidth="1"/>
    <col min="2" max="2" width="7" style="46" customWidth="1"/>
    <col min="3" max="3" width="9.21875" style="77" customWidth="1"/>
    <col min="4" max="4" width="8.77734375" style="77" customWidth="1"/>
    <col min="5" max="5" width="11.44140625" style="78" customWidth="1"/>
    <col min="6" max="6" width="11.109375" style="77" customWidth="1"/>
    <col min="7" max="7" width="10.44140625" style="268" customWidth="1"/>
    <col min="8" max="8" width="12.5546875" style="77" hidden="1" customWidth="1"/>
    <col min="9" max="9" width="10.6640625" style="77" bestFit="1" customWidth="1"/>
    <col min="10" max="10" width="1.44140625" style="79" customWidth="1"/>
    <col min="11" max="11" width="2" style="79" customWidth="1"/>
    <col min="12" max="12" width="2.21875" style="79" customWidth="1"/>
    <col min="13" max="13" width="1.44140625" style="79" customWidth="1"/>
    <col min="14" max="14" width="2.5546875" style="79" customWidth="1"/>
    <col min="15" max="16" width="1.6640625" style="79" customWidth="1"/>
    <col min="17" max="17" width="8.21875" style="80" customWidth="1"/>
    <col min="18" max="18" width="6.33203125" style="79" customWidth="1"/>
    <col min="19" max="19" width="8.88671875" style="16"/>
    <col min="20" max="20" width="11.5546875" style="559" customWidth="1"/>
    <col min="21" max="21" width="9.33203125" style="16" customWidth="1"/>
    <col min="22" max="37" width="8.88671875" style="16"/>
  </cols>
  <sheetData>
    <row r="1" spans="1:37" s="5" customFormat="1" ht="22.5" customHeight="1">
      <c r="A1" s="41" t="s">
        <v>945</v>
      </c>
      <c r="B1" s="41"/>
      <c r="C1" s="42"/>
      <c r="D1" s="42"/>
      <c r="E1" s="41"/>
      <c r="F1" s="41"/>
      <c r="G1" s="265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T1" s="554"/>
    </row>
    <row r="2" spans="1:37" s="18" customFormat="1" ht="16.5" customHeight="1">
      <c r="A2" s="1005" t="s">
        <v>69</v>
      </c>
      <c r="B2" s="1005"/>
      <c r="C2" s="1006"/>
      <c r="D2" s="34"/>
      <c r="E2" s="63"/>
      <c r="F2" s="62"/>
      <c r="G2" s="266"/>
      <c r="H2" s="62"/>
      <c r="I2" s="62"/>
      <c r="J2" s="64"/>
      <c r="K2" s="64"/>
      <c r="L2" s="64"/>
      <c r="M2" s="64"/>
      <c r="N2" s="64"/>
      <c r="O2" s="64"/>
      <c r="P2" s="64"/>
      <c r="Q2" s="65"/>
      <c r="R2" s="64"/>
      <c r="S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4" customFormat="1" ht="15" customHeight="1">
      <c r="A3" s="62"/>
      <c r="B3" s="44"/>
      <c r="C3" s="62"/>
      <c r="D3" s="62"/>
      <c r="E3" s="63"/>
      <c r="F3" s="62"/>
      <c r="G3" s="266"/>
      <c r="H3" s="62"/>
      <c r="I3" s="62"/>
      <c r="J3" s="64"/>
      <c r="K3" s="64"/>
      <c r="L3" s="64"/>
      <c r="M3" s="64"/>
      <c r="N3" s="64"/>
      <c r="O3" s="64"/>
      <c r="P3" s="64"/>
      <c r="Q3" s="1007" t="s">
        <v>0</v>
      </c>
      <c r="R3" s="1007"/>
      <c r="S3" s="15"/>
      <c r="T3" s="55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7" customFormat="1" ht="16.5" customHeight="1">
      <c r="A4" s="1010" t="s">
        <v>4</v>
      </c>
      <c r="B4" s="1011"/>
      <c r="C4" s="1011"/>
      <c r="D4" s="1012"/>
      <c r="E4" s="938" t="str">
        <f>'다-2.후원금세입내역 '!D4:D5</f>
        <v>2015년도
1차추경
( A )</v>
      </c>
      <c r="F4" s="936" t="str">
        <f>'다-2.후원금세입내역 '!E4:E5</f>
        <v>2015년도
2차추경
( B )</v>
      </c>
      <c r="G4" s="1013" t="s">
        <v>46</v>
      </c>
      <c r="H4" s="81"/>
      <c r="I4" s="1015" t="s">
        <v>70</v>
      </c>
      <c r="J4" s="1016"/>
      <c r="K4" s="1016"/>
      <c r="L4" s="1016"/>
      <c r="M4" s="1016"/>
      <c r="N4" s="1016"/>
      <c r="O4" s="1016"/>
      <c r="P4" s="1016"/>
      <c r="Q4" s="1016"/>
      <c r="R4" s="1017"/>
      <c r="T4" s="556"/>
    </row>
    <row r="5" spans="1:37" s="17" customFormat="1" ht="22.5" customHeight="1" thickBot="1">
      <c r="A5" s="180" t="s">
        <v>1</v>
      </c>
      <c r="B5" s="179" t="s">
        <v>2</v>
      </c>
      <c r="C5" s="181" t="s">
        <v>3</v>
      </c>
      <c r="D5" s="181" t="s">
        <v>118</v>
      </c>
      <c r="E5" s="939"/>
      <c r="F5" s="937"/>
      <c r="G5" s="1014"/>
      <c r="H5" s="182"/>
      <c r="I5" s="1018"/>
      <c r="J5" s="1019"/>
      <c r="K5" s="1019"/>
      <c r="L5" s="1019"/>
      <c r="M5" s="1019"/>
      <c r="N5" s="1019"/>
      <c r="O5" s="1019"/>
      <c r="P5" s="1019"/>
      <c r="Q5" s="1019"/>
      <c r="R5" s="1020"/>
      <c r="T5" s="580"/>
    </row>
    <row r="6" spans="1:37" s="19" customFormat="1" ht="16.5" customHeight="1" thickTop="1">
      <c r="A6" s="1008" t="s">
        <v>42</v>
      </c>
      <c r="B6" s="1009"/>
      <c r="C6" s="1009"/>
      <c r="D6" s="175"/>
      <c r="E6" s="90">
        <v>2382000000</v>
      </c>
      <c r="F6" s="90">
        <f>F7+F47+F52+F116+F119+F122</f>
        <v>2385190000</v>
      </c>
      <c r="G6" s="91">
        <f>G7+G47+G52+G116+G119+G122</f>
        <v>3190000</v>
      </c>
      <c r="H6" s="92"/>
      <c r="I6" s="994" t="s">
        <v>767</v>
      </c>
      <c r="J6" s="995"/>
      <c r="K6" s="995"/>
      <c r="L6" s="995"/>
      <c r="M6" s="995"/>
      <c r="N6" s="995"/>
      <c r="O6" s="995"/>
      <c r="P6" s="995"/>
      <c r="Q6" s="995"/>
      <c r="R6" s="996"/>
      <c r="T6" s="557">
        <f>Q7</f>
        <v>94150000</v>
      </c>
    </row>
    <row r="7" spans="1:37" s="20" customFormat="1" ht="16.5" customHeight="1">
      <c r="A7" s="82" t="s">
        <v>10</v>
      </c>
      <c r="B7" s="1021" t="s">
        <v>30</v>
      </c>
      <c r="C7" s="1022"/>
      <c r="D7" s="176"/>
      <c r="E7" s="280">
        <v>1945950480</v>
      </c>
      <c r="F7" s="280">
        <f>F8+F33+F37</f>
        <v>1894861560</v>
      </c>
      <c r="G7" s="50">
        <f>F7-E7</f>
        <v>-51088920</v>
      </c>
      <c r="H7" s="84"/>
      <c r="I7" s="992" t="s">
        <v>477</v>
      </c>
      <c r="J7" s="997"/>
      <c r="K7" s="997"/>
      <c r="L7" s="997"/>
      <c r="M7" s="997"/>
      <c r="N7" s="997"/>
      <c r="O7" s="997"/>
      <c r="P7" s="997"/>
      <c r="Q7" s="67">
        <f>T10</f>
        <v>94150000</v>
      </c>
      <c r="R7" s="585" t="s">
        <v>36</v>
      </c>
      <c r="T7" s="552">
        <f>SUM(F38,F39,F40,F42,F43,F44,F45,F48,F66,F67,F88)</f>
        <v>94239000</v>
      </c>
    </row>
    <row r="8" spans="1:37" s="20" customFormat="1" ht="16.5" customHeight="1">
      <c r="A8" s="205"/>
      <c r="B8" s="86" t="s">
        <v>115</v>
      </c>
      <c r="C8" s="83" t="s">
        <v>7</v>
      </c>
      <c r="D8" s="83"/>
      <c r="E8" s="244">
        <v>1887119480</v>
      </c>
      <c r="F8" s="244">
        <f>F9+F10+F15+F16+F27+F32+F26</f>
        <v>1835941560</v>
      </c>
      <c r="G8" s="50">
        <f t="shared" ref="G8:G27" si="0">F8-E8</f>
        <v>-51177920</v>
      </c>
      <c r="H8" s="84"/>
      <c r="I8" s="93"/>
      <c r="J8" s="66"/>
      <c r="K8" s="66"/>
      <c r="L8" s="66"/>
      <c r="M8" s="66"/>
      <c r="N8" s="66"/>
      <c r="O8" s="66"/>
      <c r="P8" s="66"/>
      <c r="Q8" s="67"/>
      <c r="R8" s="94"/>
      <c r="T8" s="552">
        <f>T6-T7</f>
        <v>-89000</v>
      </c>
    </row>
    <row r="9" spans="1:37" s="20" customFormat="1" ht="17.25" customHeight="1">
      <c r="A9" s="206"/>
      <c r="B9" s="208"/>
      <c r="C9" s="83" t="s">
        <v>116</v>
      </c>
      <c r="D9" s="83"/>
      <c r="E9" s="244">
        <v>1158682000</v>
      </c>
      <c r="F9" s="244">
        <f>'인건비총계표(보조금)'!F5</f>
        <v>1141381000</v>
      </c>
      <c r="G9" s="50">
        <f t="shared" si="0"/>
        <v>-17301000</v>
      </c>
      <c r="H9" s="84"/>
      <c r="I9" s="964" t="s">
        <v>65</v>
      </c>
      <c r="J9" s="965"/>
      <c r="K9" s="965"/>
      <c r="L9" s="965"/>
      <c r="M9" s="965"/>
      <c r="N9" s="965"/>
      <c r="O9" s="965"/>
      <c r="P9" s="965"/>
      <c r="Q9" s="965"/>
      <c r="R9" s="99"/>
      <c r="T9" s="552">
        <v>94150000</v>
      </c>
      <c r="U9" s="20" t="s">
        <v>768</v>
      </c>
    </row>
    <row r="10" spans="1:37" s="20" customFormat="1" ht="18.75" hidden="1" customHeight="1">
      <c r="A10" s="203"/>
      <c r="B10" s="204"/>
      <c r="C10" s="86" t="s">
        <v>12</v>
      </c>
      <c r="D10" s="86" t="s">
        <v>310</v>
      </c>
      <c r="E10" s="244">
        <v>0</v>
      </c>
      <c r="F10" s="244">
        <f>SUM(F11:F14)</f>
        <v>0</v>
      </c>
      <c r="G10" s="50">
        <f t="shared" si="0"/>
        <v>0</v>
      </c>
      <c r="H10" s="84"/>
      <c r="I10" s="96"/>
      <c r="J10" s="998"/>
      <c r="K10" s="999"/>
      <c r="L10" s="999"/>
      <c r="M10" s="999"/>
      <c r="N10" s="1000"/>
      <c r="O10" s="1000"/>
      <c r="P10" s="1000"/>
      <c r="Q10" s="67"/>
      <c r="R10" s="94"/>
      <c r="T10" s="581">
        <f>T9-T14</f>
        <v>94150000</v>
      </c>
    </row>
    <row r="11" spans="1:37" s="20" customFormat="1" ht="18.75" hidden="1" customHeight="1">
      <c r="A11" s="203"/>
      <c r="B11" s="204"/>
      <c r="C11" s="208"/>
      <c r="D11" s="86" t="s">
        <v>311</v>
      </c>
      <c r="E11" s="244">
        <v>0</v>
      </c>
      <c r="F11" s="244">
        <f>'인건비총계표(보조금)'!G5</f>
        <v>0</v>
      </c>
      <c r="G11" s="50">
        <f t="shared" si="0"/>
        <v>0</v>
      </c>
      <c r="H11" s="84"/>
      <c r="I11" s="96"/>
      <c r="J11" s="177"/>
      <c r="K11" s="178"/>
      <c r="L11" s="178"/>
      <c r="M11" s="178"/>
      <c r="N11" s="66"/>
      <c r="O11" s="66"/>
      <c r="P11" s="66"/>
      <c r="Q11" s="67"/>
      <c r="R11" s="94"/>
      <c r="T11" s="552"/>
    </row>
    <row r="12" spans="1:37" s="20" customFormat="1" ht="18.75" hidden="1" customHeight="1">
      <c r="A12" s="203"/>
      <c r="B12" s="204"/>
      <c r="C12" s="252"/>
      <c r="D12" s="86" t="s">
        <v>312</v>
      </c>
      <c r="E12" s="244">
        <v>0</v>
      </c>
      <c r="F12" s="244">
        <f>'인건비총계표(보조금)'!H5</f>
        <v>0</v>
      </c>
      <c r="G12" s="50">
        <f t="shared" si="0"/>
        <v>0</v>
      </c>
      <c r="H12" s="84"/>
      <c r="I12" s="96"/>
      <c r="J12" s="177"/>
      <c r="K12" s="178"/>
      <c r="L12" s="178"/>
      <c r="M12" s="178"/>
      <c r="N12" s="66"/>
      <c r="O12" s="66"/>
      <c r="P12" s="66"/>
      <c r="Q12" s="67"/>
      <c r="R12" s="94"/>
      <c r="T12" s="581">
        <f>F37+F47+F65+F88</f>
        <v>94239000</v>
      </c>
      <c r="U12" s="306" t="s">
        <v>480</v>
      </c>
    </row>
    <row r="13" spans="1:37" s="20" customFormat="1" ht="18.75" hidden="1" customHeight="1">
      <c r="A13" s="203"/>
      <c r="B13" s="204"/>
      <c r="C13" s="252"/>
      <c r="D13" s="86" t="s">
        <v>313</v>
      </c>
      <c r="E13" s="244">
        <v>0</v>
      </c>
      <c r="F13" s="244">
        <f>'인건비총계표(보조금)'!I5</f>
        <v>0</v>
      </c>
      <c r="G13" s="50">
        <f t="shared" si="0"/>
        <v>0</v>
      </c>
      <c r="H13" s="84"/>
      <c r="I13" s="96"/>
      <c r="J13" s="177"/>
      <c r="K13" s="178"/>
      <c r="L13" s="178"/>
      <c r="M13" s="178"/>
      <c r="N13" s="66"/>
      <c r="O13" s="66"/>
      <c r="P13" s="66"/>
      <c r="Q13" s="67"/>
      <c r="R13" s="94"/>
      <c r="T13" s="552"/>
    </row>
    <row r="14" spans="1:37" s="20" customFormat="1" ht="18.75" hidden="1" customHeight="1">
      <c r="A14" s="203"/>
      <c r="B14" s="204"/>
      <c r="C14" s="234"/>
      <c r="D14" s="86" t="s">
        <v>314</v>
      </c>
      <c r="E14" s="244">
        <v>0</v>
      </c>
      <c r="F14" s="244">
        <f>'인건비총계표(보조금)'!J5</f>
        <v>0</v>
      </c>
      <c r="G14" s="50">
        <f t="shared" si="0"/>
        <v>0</v>
      </c>
      <c r="H14" s="84"/>
      <c r="I14" s="96"/>
      <c r="J14" s="177"/>
      <c r="K14" s="178"/>
      <c r="L14" s="178"/>
      <c r="M14" s="178"/>
      <c r="N14" s="66"/>
      <c r="O14" s="66"/>
      <c r="P14" s="66"/>
      <c r="Q14" s="67"/>
      <c r="R14" s="94"/>
      <c r="T14" s="552"/>
    </row>
    <row r="15" spans="1:37" s="20" customFormat="1" ht="18.75" hidden="1" customHeight="1">
      <c r="A15" s="203"/>
      <c r="B15" s="204"/>
      <c r="C15" s="86" t="s">
        <v>13</v>
      </c>
      <c r="D15" s="86"/>
      <c r="E15" s="244">
        <v>0</v>
      </c>
      <c r="F15" s="244">
        <v>0</v>
      </c>
      <c r="G15" s="50">
        <f t="shared" si="0"/>
        <v>0</v>
      </c>
      <c r="H15" s="84"/>
      <c r="I15" s="96"/>
      <c r="J15" s="177"/>
      <c r="K15" s="178"/>
      <c r="L15" s="178"/>
      <c r="M15" s="178"/>
      <c r="N15" s="66"/>
      <c r="O15" s="66"/>
      <c r="P15" s="66"/>
      <c r="Q15" s="67"/>
      <c r="R15" s="94"/>
      <c r="T15" s="552"/>
    </row>
    <row r="16" spans="1:37" s="20" customFormat="1" ht="17.25" customHeight="1">
      <c r="A16" s="203"/>
      <c r="B16" s="209"/>
      <c r="C16" s="83" t="s">
        <v>14</v>
      </c>
      <c r="D16" s="83" t="s">
        <v>7</v>
      </c>
      <c r="E16" s="280">
        <v>423979850</v>
      </c>
      <c r="F16" s="280">
        <f>SUM(F17:F25)</f>
        <v>398051500</v>
      </c>
      <c r="G16" s="50">
        <f t="shared" si="0"/>
        <v>-25928350</v>
      </c>
      <c r="H16" s="280">
        <f>SUM(H17:H24)</f>
        <v>0</v>
      </c>
      <c r="I16" s="992"/>
      <c r="J16" s="993"/>
      <c r="K16" s="993"/>
      <c r="L16" s="993"/>
      <c r="M16" s="993"/>
      <c r="N16" s="993"/>
      <c r="O16" s="993"/>
      <c r="P16" s="993"/>
      <c r="Q16" s="993"/>
      <c r="R16" s="95"/>
      <c r="T16" s="552"/>
    </row>
    <row r="17" spans="1:20" s="20" customFormat="1" ht="17.25" hidden="1" customHeight="1">
      <c r="A17" s="203"/>
      <c r="B17" s="204"/>
      <c r="C17" s="204"/>
      <c r="D17" s="49" t="s">
        <v>15</v>
      </c>
      <c r="E17" s="244">
        <v>0</v>
      </c>
      <c r="F17" s="244">
        <f>'인건비총계표(보조금)'!K5</f>
        <v>0</v>
      </c>
      <c r="G17" s="50">
        <f t="shared" si="0"/>
        <v>0</v>
      </c>
      <c r="H17" s="52"/>
      <c r="I17" s="964"/>
      <c r="J17" s="965"/>
      <c r="K17" s="965"/>
      <c r="L17" s="965"/>
      <c r="M17" s="965"/>
      <c r="N17" s="965"/>
      <c r="O17" s="965"/>
      <c r="P17" s="965"/>
      <c r="Q17" s="965"/>
      <c r="R17" s="99"/>
      <c r="T17" s="552"/>
    </row>
    <row r="18" spans="1:20" s="20" customFormat="1" ht="17.25" hidden="1" customHeight="1">
      <c r="A18" s="203"/>
      <c r="B18" s="204"/>
      <c r="C18" s="204"/>
      <c r="D18" s="49" t="s">
        <v>120</v>
      </c>
      <c r="E18" s="244">
        <v>0</v>
      </c>
      <c r="F18" s="244">
        <f>'인건비총계표(보조금)'!L5</f>
        <v>0</v>
      </c>
      <c r="G18" s="50">
        <f t="shared" si="0"/>
        <v>0</v>
      </c>
      <c r="H18" s="52"/>
      <c r="I18" s="964"/>
      <c r="J18" s="965"/>
      <c r="K18" s="965"/>
      <c r="L18" s="965"/>
      <c r="M18" s="965"/>
      <c r="N18" s="965"/>
      <c r="O18" s="965"/>
      <c r="P18" s="965"/>
      <c r="Q18" s="965"/>
      <c r="R18" s="99"/>
      <c r="T18" s="552"/>
    </row>
    <row r="19" spans="1:20" s="20" customFormat="1" ht="17.25" customHeight="1">
      <c r="A19" s="203"/>
      <c r="B19" s="204"/>
      <c r="C19" s="692"/>
      <c r="D19" s="86" t="s">
        <v>31</v>
      </c>
      <c r="E19" s="244">
        <v>111204000</v>
      </c>
      <c r="F19" s="244">
        <f>'인건비총계표(보조금)'!M5</f>
        <v>109854000</v>
      </c>
      <c r="G19" s="50">
        <f t="shared" si="0"/>
        <v>-1350000</v>
      </c>
      <c r="H19" s="52"/>
      <c r="I19" s="964" t="s">
        <v>65</v>
      </c>
      <c r="J19" s="965"/>
      <c r="K19" s="965"/>
      <c r="L19" s="965"/>
      <c r="M19" s="965"/>
      <c r="N19" s="965"/>
      <c r="O19" s="965"/>
      <c r="P19" s="965"/>
      <c r="Q19" s="965"/>
      <c r="R19" s="99"/>
      <c r="T19" s="552"/>
    </row>
    <row r="20" spans="1:20" s="20" customFormat="1" ht="17.25" hidden="1" customHeight="1">
      <c r="A20" s="203"/>
      <c r="B20" s="204"/>
      <c r="C20" s="251"/>
      <c r="D20" s="87" t="s">
        <v>315</v>
      </c>
      <c r="E20" s="244">
        <v>0</v>
      </c>
      <c r="F20" s="244">
        <f>'인건비총계표(보조금)'!N32+'인건비총계표(보조금)'!N45+'인건비총계표(보조금)'!N58+'인건비총계표(보조금)'!N71</f>
        <v>0</v>
      </c>
      <c r="G20" s="50">
        <f t="shared" si="0"/>
        <v>0</v>
      </c>
      <c r="H20" s="52"/>
      <c r="I20" s="964"/>
      <c r="J20" s="965"/>
      <c r="K20" s="965"/>
      <c r="L20" s="965"/>
      <c r="M20" s="965"/>
      <c r="N20" s="965"/>
      <c r="O20" s="965"/>
      <c r="P20" s="965"/>
      <c r="Q20" s="965"/>
      <c r="R20" s="99"/>
      <c r="T20" s="552"/>
    </row>
    <row r="21" spans="1:20" s="20" customFormat="1" ht="17.25" hidden="1" customHeight="1">
      <c r="A21" s="203"/>
      <c r="B21" s="218"/>
      <c r="C21" s="251"/>
      <c r="D21" s="87" t="s">
        <v>316</v>
      </c>
      <c r="E21" s="244">
        <v>0</v>
      </c>
      <c r="F21" s="244">
        <f>SUM('인건비총계표(보조금)'!N84:N591)/2</f>
        <v>0</v>
      </c>
      <c r="G21" s="50">
        <f t="shared" si="0"/>
        <v>0</v>
      </c>
      <c r="H21" s="52"/>
      <c r="I21" s="964"/>
      <c r="J21" s="965"/>
      <c r="K21" s="965"/>
      <c r="L21" s="965"/>
      <c r="M21" s="965"/>
      <c r="N21" s="965"/>
      <c r="O21" s="965"/>
      <c r="P21" s="965"/>
      <c r="Q21" s="965"/>
      <c r="R21" s="99"/>
      <c r="T21" s="552"/>
    </row>
    <row r="22" spans="1:20" s="20" customFormat="1" ht="17.25" hidden="1" customHeight="1">
      <c r="A22" s="203"/>
      <c r="B22" s="204"/>
      <c r="C22" s="250"/>
      <c r="D22" s="49" t="s">
        <v>317</v>
      </c>
      <c r="E22" s="244">
        <v>0</v>
      </c>
      <c r="F22" s="244">
        <f>'인건비총계표(보조금)'!N604+'인건비총계표(보조금)'!N617+'인건비총계표(보조금)'!N630</f>
        <v>0</v>
      </c>
      <c r="G22" s="50">
        <f t="shared" si="0"/>
        <v>0</v>
      </c>
      <c r="H22" s="52"/>
      <c r="I22" s="964" t="s">
        <v>65</v>
      </c>
      <c r="J22" s="965"/>
      <c r="K22" s="965"/>
      <c r="L22" s="965"/>
      <c r="M22" s="965"/>
      <c r="N22" s="965"/>
      <c r="O22" s="965"/>
      <c r="P22" s="965"/>
      <c r="Q22" s="965"/>
      <c r="R22" s="99"/>
      <c r="T22" s="552"/>
    </row>
    <row r="23" spans="1:20" s="20" customFormat="1" ht="16.5" customHeight="1">
      <c r="A23" s="203"/>
      <c r="B23" s="204"/>
      <c r="C23" s="690"/>
      <c r="D23" s="57" t="s">
        <v>43</v>
      </c>
      <c r="E23" s="244">
        <v>295395850</v>
      </c>
      <c r="F23" s="244">
        <f>'인건비총계표(보조금)'!R5</f>
        <v>271637500</v>
      </c>
      <c r="G23" s="50">
        <f t="shared" si="0"/>
        <v>-23758350</v>
      </c>
      <c r="H23" s="52"/>
      <c r="I23" s="964" t="s">
        <v>65</v>
      </c>
      <c r="J23" s="965"/>
      <c r="K23" s="965"/>
      <c r="L23" s="965"/>
      <c r="M23" s="965"/>
      <c r="N23" s="965"/>
      <c r="O23" s="965"/>
      <c r="P23" s="965"/>
      <c r="Q23" s="965"/>
      <c r="R23" s="99"/>
      <c r="T23" s="621" t="s">
        <v>773</v>
      </c>
    </row>
    <row r="24" spans="1:20" s="20" customFormat="1" ht="17.25" customHeight="1">
      <c r="A24" s="203"/>
      <c r="B24" s="204"/>
      <c r="C24" s="209"/>
      <c r="D24" s="83" t="s">
        <v>9</v>
      </c>
      <c r="E24" s="244">
        <v>17380000</v>
      </c>
      <c r="F24" s="244">
        <f>'인건비총계표(보조금)'!O5</f>
        <v>16560000</v>
      </c>
      <c r="G24" s="50">
        <f t="shared" si="0"/>
        <v>-820000</v>
      </c>
      <c r="H24" s="52"/>
      <c r="I24" s="964" t="s">
        <v>65</v>
      </c>
      <c r="J24" s="965"/>
      <c r="K24" s="965"/>
      <c r="L24" s="965"/>
      <c r="M24" s="965"/>
      <c r="N24" s="965"/>
      <c r="O24" s="965"/>
      <c r="P24" s="965"/>
      <c r="Q24" s="965"/>
      <c r="R24" s="99"/>
      <c r="T24" s="552">
        <f>다.보조금세입내역!F6-라.보조금세출내역!F6</f>
        <v>0</v>
      </c>
    </row>
    <row r="25" spans="1:20" s="20" customFormat="1" ht="17.25" customHeight="1">
      <c r="A25" s="203"/>
      <c r="B25" s="204"/>
      <c r="C25" s="209"/>
      <c r="D25" s="652"/>
      <c r="E25" s="244">
        <v>0</v>
      </c>
      <c r="F25" s="244"/>
      <c r="G25" s="50">
        <f t="shared" si="0"/>
        <v>0</v>
      </c>
      <c r="H25" s="52"/>
      <c r="I25" s="93"/>
      <c r="J25" s="277"/>
      <c r="K25" s="277"/>
      <c r="L25" s="277"/>
      <c r="M25" s="277"/>
      <c r="N25" s="277"/>
      <c r="O25" s="277"/>
      <c r="P25" s="277"/>
      <c r="Q25" s="277"/>
      <c r="R25" s="99"/>
      <c r="T25" s="552"/>
    </row>
    <row r="26" spans="1:20" s="20" customFormat="1" ht="17.25" customHeight="1">
      <c r="A26" s="203"/>
      <c r="B26" s="204"/>
      <c r="C26" s="86" t="s">
        <v>41</v>
      </c>
      <c r="D26" s="86"/>
      <c r="E26" s="244">
        <v>143644530</v>
      </c>
      <c r="F26" s="244">
        <f>'인건비총계표(보조금)'!W5</f>
        <v>139887770</v>
      </c>
      <c r="G26" s="50">
        <f t="shared" si="0"/>
        <v>-3756760</v>
      </c>
      <c r="H26" s="84"/>
      <c r="I26" s="93"/>
      <c r="J26" s="66"/>
      <c r="K26" s="98"/>
      <c r="L26" s="98"/>
      <c r="M26" s="97"/>
      <c r="N26" s="97"/>
      <c r="O26" s="97"/>
      <c r="P26" s="66"/>
      <c r="Q26" s="67"/>
      <c r="R26" s="94"/>
      <c r="T26" s="552"/>
    </row>
    <row r="27" spans="1:20" s="20" customFormat="1" ht="16.5" customHeight="1">
      <c r="A27" s="203"/>
      <c r="B27" s="204"/>
      <c r="C27" s="237" t="s">
        <v>135</v>
      </c>
      <c r="D27" s="234" t="s">
        <v>117</v>
      </c>
      <c r="E27" s="284">
        <v>160813100</v>
      </c>
      <c r="F27" s="284">
        <f>SUM(F28:F31)</f>
        <v>156621290</v>
      </c>
      <c r="G27" s="50">
        <f t="shared" si="0"/>
        <v>-4191810</v>
      </c>
      <c r="H27" s="105"/>
      <c r="I27" s="229"/>
      <c r="J27" s="235"/>
      <c r="K27" s="235"/>
      <c r="L27" s="235"/>
      <c r="M27" s="235"/>
      <c r="N27" s="235"/>
      <c r="O27" s="235"/>
      <c r="P27" s="235"/>
      <c r="Q27" s="235"/>
      <c r="R27" s="236"/>
      <c r="T27" s="552"/>
    </row>
    <row r="28" spans="1:20" s="20" customFormat="1" ht="16.5" customHeight="1">
      <c r="A28" s="203"/>
      <c r="B28" s="204"/>
      <c r="C28" s="253"/>
      <c r="D28" s="253" t="s">
        <v>319</v>
      </c>
      <c r="E28" s="272">
        <v>55410810</v>
      </c>
      <c r="F28" s="272">
        <f>'인건비총계표(보조금)'!Y5+'인건비총계표(보조금)'!Z5</f>
        <v>53965750</v>
      </c>
      <c r="G28" s="594">
        <f t="shared" ref="G28:G90" si="1">F28-E28</f>
        <v>-1445060</v>
      </c>
      <c r="H28" s="228" t="e">
        <f>F9+#REF!+#REF!+#REF!+#REF!+#REF!+#REF!+#REF!+#REF!+F10+#REF!+#REF!-#REF!</f>
        <v>#REF!</v>
      </c>
      <c r="I28" s="229" t="s">
        <v>755</v>
      </c>
      <c r="J28" s="230"/>
      <c r="K28" s="980"/>
      <c r="L28" s="980"/>
      <c r="M28" s="231"/>
      <c r="N28" s="231"/>
      <c r="O28" s="231"/>
      <c r="P28" s="230"/>
      <c r="Q28" s="232"/>
      <c r="R28" s="233"/>
      <c r="T28" s="552"/>
    </row>
    <row r="29" spans="1:20" s="20" customFormat="1" ht="15.75" customHeight="1">
      <c r="A29" s="203"/>
      <c r="B29" s="204"/>
      <c r="C29" s="254"/>
      <c r="D29" s="56" t="s">
        <v>5</v>
      </c>
      <c r="E29" s="244">
        <v>77099740</v>
      </c>
      <c r="F29" s="244">
        <f>'인건비총계표(보조금)'!X5</f>
        <v>75089230</v>
      </c>
      <c r="G29" s="50">
        <f t="shared" si="1"/>
        <v>-2010510</v>
      </c>
      <c r="H29" s="84"/>
      <c r="I29" s="595" t="s">
        <v>658</v>
      </c>
      <c r="J29" s="66"/>
      <c r="K29" s="980"/>
      <c r="L29" s="980"/>
      <c r="M29" s="97"/>
      <c r="N29" s="97"/>
      <c r="O29" s="97"/>
      <c r="P29" s="66"/>
      <c r="Q29" s="67"/>
      <c r="R29" s="94"/>
      <c r="T29" s="552"/>
    </row>
    <row r="30" spans="1:20" s="20" customFormat="1" ht="16.5" customHeight="1">
      <c r="A30" s="203"/>
      <c r="B30" s="204"/>
      <c r="C30" s="250"/>
      <c r="D30" s="87" t="s">
        <v>6</v>
      </c>
      <c r="E30" s="244">
        <v>14983900</v>
      </c>
      <c r="F30" s="244">
        <f>'인건비총계표(보조금)'!AA5</f>
        <v>14594080</v>
      </c>
      <c r="G30" s="50">
        <f t="shared" si="1"/>
        <v>-389820</v>
      </c>
      <c r="H30" s="84" t="e">
        <f>H28-#REF!</f>
        <v>#REF!</v>
      </c>
      <c r="I30" s="595" t="s">
        <v>736</v>
      </c>
      <c r="J30" s="66"/>
      <c r="K30" s="980"/>
      <c r="L30" s="980"/>
      <c r="M30" s="97"/>
      <c r="N30" s="97"/>
      <c r="O30" s="97"/>
      <c r="P30" s="66"/>
      <c r="Q30" s="67"/>
      <c r="R30" s="94"/>
      <c r="T30" s="552"/>
    </row>
    <row r="31" spans="1:20" s="20" customFormat="1" ht="16.5" customHeight="1">
      <c r="A31" s="203"/>
      <c r="B31" s="204"/>
      <c r="C31" s="242"/>
      <c r="D31" s="87" t="s">
        <v>40</v>
      </c>
      <c r="E31" s="244">
        <v>13318650</v>
      </c>
      <c r="F31" s="244">
        <f>'인건비총계표(보조금)'!AB5</f>
        <v>12972230</v>
      </c>
      <c r="G31" s="50">
        <f t="shared" si="1"/>
        <v>-346420</v>
      </c>
      <c r="H31" s="84"/>
      <c r="I31" s="595" t="s">
        <v>659</v>
      </c>
      <c r="J31" s="66"/>
      <c r="K31" s="980"/>
      <c r="L31" s="980"/>
      <c r="M31" s="97"/>
      <c r="N31" s="97"/>
      <c r="O31" s="97"/>
      <c r="P31" s="66"/>
      <c r="Q31" s="67"/>
      <c r="R31" s="94"/>
      <c r="T31" s="552"/>
    </row>
    <row r="32" spans="1:20" s="20" customFormat="1" ht="16.5" customHeight="1">
      <c r="A32" s="203"/>
      <c r="B32" s="102"/>
      <c r="C32" s="214" t="s">
        <v>119</v>
      </c>
      <c r="D32" s="242"/>
      <c r="E32" s="284">
        <v>0</v>
      </c>
      <c r="F32" s="284">
        <v>0</v>
      </c>
      <c r="G32" s="50">
        <f t="shared" si="1"/>
        <v>0</v>
      </c>
      <c r="H32" s="228"/>
      <c r="I32" s="1002"/>
      <c r="J32" s="1003"/>
      <c r="K32" s="1003"/>
      <c r="L32" s="1003"/>
      <c r="M32" s="1003"/>
      <c r="N32" s="1003"/>
      <c r="O32" s="1003"/>
      <c r="P32" s="1003"/>
      <c r="Q32" s="1003"/>
      <c r="R32" s="1004"/>
      <c r="T32" s="552"/>
    </row>
    <row r="33" spans="1:21" s="20" customFormat="1" ht="16.5" customHeight="1">
      <c r="A33" s="203"/>
      <c r="B33" s="49" t="s">
        <v>185</v>
      </c>
      <c r="C33" s="83" t="s">
        <v>117</v>
      </c>
      <c r="D33" s="87"/>
      <c r="E33" s="244">
        <v>0</v>
      </c>
      <c r="F33" s="244">
        <f>SUM(F34:F36)</f>
        <v>0</v>
      </c>
      <c r="G33" s="50">
        <f t="shared" si="1"/>
        <v>0</v>
      </c>
      <c r="H33" s="84"/>
      <c r="I33" s="93"/>
      <c r="J33" s="66"/>
      <c r="K33" s="150"/>
      <c r="L33" s="150"/>
      <c r="M33" s="97"/>
      <c r="N33" s="97"/>
      <c r="O33" s="97"/>
      <c r="P33" s="66"/>
      <c r="Q33" s="67"/>
      <c r="R33" s="94"/>
      <c r="T33" s="552"/>
    </row>
    <row r="34" spans="1:21" s="20" customFormat="1" ht="16.5" customHeight="1">
      <c r="A34" s="203"/>
      <c r="B34" s="202"/>
      <c r="C34" s="83" t="s">
        <v>121</v>
      </c>
      <c r="D34" s="87"/>
      <c r="E34" s="244">
        <v>0</v>
      </c>
      <c r="F34" s="244">
        <v>0</v>
      </c>
      <c r="G34" s="50">
        <f t="shared" si="1"/>
        <v>0</v>
      </c>
      <c r="H34" s="84"/>
      <c r="I34" s="93"/>
      <c r="J34" s="66"/>
      <c r="K34" s="150"/>
      <c r="L34" s="150"/>
      <c r="M34" s="97"/>
      <c r="N34" s="97"/>
      <c r="O34" s="97"/>
      <c r="P34" s="66"/>
      <c r="Q34" s="67"/>
      <c r="R34" s="94"/>
      <c r="T34" s="552"/>
    </row>
    <row r="35" spans="1:21" s="20" customFormat="1" ht="16.5" customHeight="1">
      <c r="A35" s="203"/>
      <c r="B35" s="204"/>
      <c r="C35" s="83" t="s">
        <v>122</v>
      </c>
      <c r="D35" s="87"/>
      <c r="E35" s="244">
        <v>0</v>
      </c>
      <c r="F35" s="244">
        <v>0</v>
      </c>
      <c r="G35" s="50">
        <f t="shared" si="1"/>
        <v>0</v>
      </c>
      <c r="H35" s="84"/>
      <c r="I35" s="93"/>
      <c r="J35" s="66"/>
      <c r="K35" s="150"/>
      <c r="L35" s="150"/>
      <c r="M35" s="97"/>
      <c r="N35" s="97"/>
      <c r="O35" s="97"/>
      <c r="P35" s="66"/>
      <c r="Q35" s="67"/>
      <c r="R35" s="94"/>
      <c r="T35" s="552"/>
    </row>
    <row r="36" spans="1:21" s="20" customFormat="1" ht="16.5" customHeight="1">
      <c r="A36" s="203"/>
      <c r="B36" s="102"/>
      <c r="C36" s="83" t="s">
        <v>123</v>
      </c>
      <c r="D36" s="87"/>
      <c r="E36" s="244">
        <v>0</v>
      </c>
      <c r="F36" s="244">
        <v>0</v>
      </c>
      <c r="G36" s="50">
        <f t="shared" si="1"/>
        <v>0</v>
      </c>
      <c r="H36" s="84"/>
      <c r="I36" s="93"/>
      <c r="J36" s="66"/>
      <c r="K36" s="150"/>
      <c r="L36" s="150"/>
      <c r="M36" s="97"/>
      <c r="N36" s="97"/>
      <c r="O36" s="97"/>
      <c r="P36" s="66"/>
      <c r="Q36" s="67"/>
      <c r="R36" s="94"/>
      <c r="T36" s="552"/>
    </row>
    <row r="37" spans="1:21" s="20" customFormat="1" ht="16.5" customHeight="1">
      <c r="A37" s="203"/>
      <c r="B37" s="83" t="s">
        <v>180</v>
      </c>
      <c r="C37" s="83" t="s">
        <v>117</v>
      </c>
      <c r="D37" s="87"/>
      <c r="E37" s="244">
        <v>58831000</v>
      </c>
      <c r="F37" s="244">
        <f>F38+F39+F40+F41+F45+F46</f>
        <v>58920000</v>
      </c>
      <c r="G37" s="50">
        <f>F37-E37</f>
        <v>89000</v>
      </c>
      <c r="H37" s="84"/>
      <c r="I37" s="956"/>
      <c r="J37" s="957"/>
      <c r="K37" s="957"/>
      <c r="L37" s="957"/>
      <c r="M37" s="957"/>
      <c r="N37" s="957"/>
      <c r="O37" s="957"/>
      <c r="P37" s="957"/>
      <c r="Q37" s="957"/>
      <c r="R37" s="958"/>
      <c r="T37" s="552"/>
    </row>
    <row r="38" spans="1:21" s="20" customFormat="1" ht="16.5" customHeight="1">
      <c r="A38" s="203"/>
      <c r="B38" s="202"/>
      <c r="C38" s="83" t="s">
        <v>125</v>
      </c>
      <c r="D38" s="87" t="s">
        <v>188</v>
      </c>
      <c r="E38" s="244">
        <v>0</v>
      </c>
      <c r="F38" s="244">
        <v>0</v>
      </c>
      <c r="G38" s="50">
        <f t="shared" si="1"/>
        <v>0</v>
      </c>
      <c r="H38" s="84"/>
      <c r="I38" s="956"/>
      <c r="J38" s="957"/>
      <c r="K38" s="957"/>
      <c r="L38" s="957"/>
      <c r="M38" s="957"/>
      <c r="N38" s="957"/>
      <c r="O38" s="957"/>
      <c r="P38" s="957"/>
      <c r="Q38" s="957"/>
      <c r="R38" s="958"/>
      <c r="T38" s="552"/>
    </row>
    <row r="39" spans="1:21" s="20" customFormat="1" ht="16.5" customHeight="1">
      <c r="A39" s="203"/>
      <c r="B39" s="204"/>
      <c r="C39" s="49" t="s">
        <v>126</v>
      </c>
      <c r="D39" s="87"/>
      <c r="E39" s="244">
        <v>8700000</v>
      </c>
      <c r="F39" s="244">
        <v>8789000</v>
      </c>
      <c r="G39" s="50">
        <f t="shared" si="1"/>
        <v>89000</v>
      </c>
      <c r="H39" s="84"/>
      <c r="I39" s="956" t="s">
        <v>205</v>
      </c>
      <c r="J39" s="957"/>
      <c r="K39" s="957"/>
      <c r="L39" s="957"/>
      <c r="M39" s="957"/>
      <c r="N39" s="957"/>
      <c r="O39" s="957"/>
      <c r="P39" s="957"/>
      <c r="Q39" s="957"/>
      <c r="R39" s="958"/>
      <c r="T39" s="552"/>
    </row>
    <row r="40" spans="1:21" s="20" customFormat="1" ht="16.5" customHeight="1">
      <c r="A40" s="203"/>
      <c r="B40" s="204"/>
      <c r="C40" s="83" t="s">
        <v>127</v>
      </c>
      <c r="D40" s="87"/>
      <c r="E40" s="244">
        <v>38131000</v>
      </c>
      <c r="F40" s="244">
        <v>38131000</v>
      </c>
      <c r="G40" s="50">
        <f t="shared" si="1"/>
        <v>0</v>
      </c>
      <c r="H40" s="84"/>
      <c r="I40" s="1001" t="s">
        <v>322</v>
      </c>
      <c r="J40" s="957"/>
      <c r="K40" s="957"/>
      <c r="L40" s="957"/>
      <c r="M40" s="957"/>
      <c r="N40" s="957"/>
      <c r="O40" s="957"/>
      <c r="P40" s="957"/>
      <c r="Q40" s="957"/>
      <c r="R40" s="958"/>
      <c r="T40" s="552">
        <v>2931420</v>
      </c>
      <c r="U40" s="552">
        <f>T40*12</f>
        <v>35177040</v>
      </c>
    </row>
    <row r="41" spans="1:21" s="20" customFormat="1" ht="16.5" customHeight="1">
      <c r="A41" s="203"/>
      <c r="B41" s="204"/>
      <c r="C41" s="83" t="s">
        <v>128</v>
      </c>
      <c r="D41" s="83"/>
      <c r="E41" s="244">
        <v>6000000</v>
      </c>
      <c r="F41" s="244">
        <f>SUM(F42:F44)</f>
        <v>6000000</v>
      </c>
      <c r="G41" s="50">
        <f t="shared" si="1"/>
        <v>0</v>
      </c>
      <c r="H41" s="84"/>
      <c r="I41" s="956"/>
      <c r="J41" s="957"/>
      <c r="K41" s="957"/>
      <c r="L41" s="957"/>
      <c r="M41" s="957"/>
      <c r="N41" s="957"/>
      <c r="O41" s="957"/>
      <c r="P41" s="957"/>
      <c r="Q41" s="957"/>
      <c r="R41" s="958"/>
      <c r="T41" s="552">
        <v>43916</v>
      </c>
      <c r="U41" s="552">
        <f>T41*80*12</f>
        <v>42159360</v>
      </c>
    </row>
    <row r="42" spans="1:21" s="20" customFormat="1" ht="16.5" hidden="1" customHeight="1">
      <c r="A42" s="203"/>
      <c r="B42" s="204"/>
      <c r="C42" s="213"/>
      <c r="D42" s="83" t="s">
        <v>200</v>
      </c>
      <c r="E42" s="244"/>
      <c r="F42" s="244"/>
      <c r="G42" s="50">
        <f t="shared" si="1"/>
        <v>0</v>
      </c>
      <c r="H42" s="84"/>
      <c r="I42" s="956" t="s">
        <v>204</v>
      </c>
      <c r="J42" s="957"/>
      <c r="K42" s="957"/>
      <c r="L42" s="957"/>
      <c r="M42" s="957"/>
      <c r="N42" s="957"/>
      <c r="O42" s="957"/>
      <c r="P42" s="957"/>
      <c r="Q42" s="957"/>
      <c r="R42" s="958"/>
      <c r="T42" s="552"/>
      <c r="U42" s="553">
        <f>SUM(U40:U41)</f>
        <v>77336400</v>
      </c>
    </row>
    <row r="43" spans="1:21" s="20" customFormat="1" ht="16.5" hidden="1" customHeight="1">
      <c r="A43" s="203"/>
      <c r="B43" s="204"/>
      <c r="C43" s="209"/>
      <c r="D43" s="83" t="s">
        <v>201</v>
      </c>
      <c r="E43" s="244">
        <v>0</v>
      </c>
      <c r="F43" s="244">
        <v>0</v>
      </c>
      <c r="G43" s="50">
        <f t="shared" si="1"/>
        <v>0</v>
      </c>
      <c r="H43" s="84"/>
      <c r="I43" s="956"/>
      <c r="J43" s="957"/>
      <c r="K43" s="957"/>
      <c r="L43" s="957"/>
      <c r="M43" s="957"/>
      <c r="N43" s="957"/>
      <c r="O43" s="957"/>
      <c r="P43" s="957"/>
      <c r="Q43" s="957"/>
      <c r="R43" s="958"/>
      <c r="T43" s="552"/>
    </row>
    <row r="44" spans="1:21" s="20" customFormat="1" ht="16.5" hidden="1" customHeight="1">
      <c r="A44" s="203"/>
      <c r="B44" s="204"/>
      <c r="C44" s="214"/>
      <c r="D44" s="83" t="s">
        <v>20</v>
      </c>
      <c r="E44" s="244">
        <v>6000000</v>
      </c>
      <c r="F44" s="244">
        <v>6000000</v>
      </c>
      <c r="G44" s="50">
        <f t="shared" si="1"/>
        <v>0</v>
      </c>
      <c r="H44" s="84"/>
      <c r="I44" s="956" t="s">
        <v>748</v>
      </c>
      <c r="J44" s="957"/>
      <c r="K44" s="957"/>
      <c r="L44" s="957"/>
      <c r="M44" s="957"/>
      <c r="N44" s="957"/>
      <c r="O44" s="957"/>
      <c r="P44" s="957"/>
      <c r="Q44" s="957"/>
      <c r="R44" s="958"/>
      <c r="T44" s="552"/>
    </row>
    <row r="45" spans="1:21" s="20" customFormat="1" ht="16.5" customHeight="1">
      <c r="A45" s="203"/>
      <c r="B45" s="204"/>
      <c r="C45" s="83" t="s">
        <v>129</v>
      </c>
      <c r="D45" s="87"/>
      <c r="E45" s="244">
        <v>6000000</v>
      </c>
      <c r="F45" s="244">
        <v>6000000</v>
      </c>
      <c r="G45" s="50">
        <f t="shared" si="1"/>
        <v>0</v>
      </c>
      <c r="H45" s="84"/>
      <c r="I45" s="984" t="s">
        <v>422</v>
      </c>
      <c r="J45" s="985"/>
      <c r="K45" s="985"/>
      <c r="L45" s="985"/>
      <c r="M45" s="985"/>
      <c r="N45" s="985"/>
      <c r="O45" s="985"/>
      <c r="P45" s="985"/>
      <c r="Q45" s="985"/>
      <c r="R45" s="986"/>
      <c r="T45" s="552"/>
    </row>
    <row r="46" spans="1:21" s="20" customFormat="1" ht="16.5" customHeight="1">
      <c r="A46" s="103"/>
      <c r="B46" s="102"/>
      <c r="C46" s="83" t="s">
        <v>130</v>
      </c>
      <c r="D46" s="87"/>
      <c r="E46" s="244">
        <v>0</v>
      </c>
      <c r="F46" s="244">
        <v>0</v>
      </c>
      <c r="G46" s="50">
        <f t="shared" si="1"/>
        <v>0</v>
      </c>
      <c r="H46" s="84"/>
      <c r="I46" s="956"/>
      <c r="J46" s="957"/>
      <c r="K46" s="957"/>
      <c r="L46" s="957"/>
      <c r="M46" s="957"/>
      <c r="N46" s="957"/>
      <c r="O46" s="957"/>
      <c r="P46" s="957"/>
      <c r="Q46" s="957"/>
      <c r="R46" s="958"/>
      <c r="T46" s="552"/>
    </row>
    <row r="47" spans="1:21" s="20" customFormat="1" ht="16.5" customHeight="1">
      <c r="A47" s="103" t="s">
        <v>183</v>
      </c>
      <c r="B47" s="959" t="s">
        <v>187</v>
      </c>
      <c r="C47" s="960"/>
      <c r="D47" s="242"/>
      <c r="E47" s="284">
        <v>9300000</v>
      </c>
      <c r="F47" s="284">
        <f>F48</f>
        <v>9300000</v>
      </c>
      <c r="G47" s="50">
        <f t="shared" si="1"/>
        <v>0</v>
      </c>
      <c r="H47" s="228"/>
      <c r="I47" s="972"/>
      <c r="J47" s="973"/>
      <c r="K47" s="973"/>
      <c r="L47" s="973"/>
      <c r="M47" s="973"/>
      <c r="N47" s="973"/>
      <c r="O47" s="973"/>
      <c r="P47" s="973"/>
      <c r="Q47" s="973"/>
      <c r="R47" s="974"/>
      <c r="T47" s="552"/>
    </row>
    <row r="48" spans="1:21" s="20" customFormat="1" ht="16.5" customHeight="1">
      <c r="A48" s="201"/>
      <c r="B48" s="83" t="s">
        <v>184</v>
      </c>
      <c r="C48" s="83" t="s">
        <v>181</v>
      </c>
      <c r="D48" s="87"/>
      <c r="E48" s="244">
        <v>9300000</v>
      </c>
      <c r="F48" s="244">
        <f>SUM(F49:F51)</f>
        <v>9300000</v>
      </c>
      <c r="G48" s="50">
        <f t="shared" si="1"/>
        <v>0</v>
      </c>
      <c r="H48" s="84"/>
      <c r="I48" s="956"/>
      <c r="J48" s="957"/>
      <c r="K48" s="957"/>
      <c r="L48" s="957"/>
      <c r="M48" s="957"/>
      <c r="N48" s="957"/>
      <c r="O48" s="957"/>
      <c r="P48" s="957"/>
      <c r="Q48" s="957"/>
      <c r="R48" s="958"/>
      <c r="T48" s="552"/>
    </row>
    <row r="49" spans="1:20" s="20" customFormat="1" ht="16.5" customHeight="1">
      <c r="A49" s="259"/>
      <c r="B49" s="202"/>
      <c r="C49" s="83" t="s">
        <v>131</v>
      </c>
      <c r="D49" s="87"/>
      <c r="E49" s="244">
        <v>0</v>
      </c>
      <c r="F49" s="244">
        <v>0</v>
      </c>
      <c r="G49" s="50">
        <f t="shared" si="1"/>
        <v>0</v>
      </c>
      <c r="H49" s="84"/>
      <c r="I49" s="956"/>
      <c r="J49" s="957"/>
      <c r="K49" s="957"/>
      <c r="L49" s="957"/>
      <c r="M49" s="957"/>
      <c r="N49" s="957"/>
      <c r="O49" s="957"/>
      <c r="P49" s="957"/>
      <c r="Q49" s="957"/>
      <c r="R49" s="958"/>
      <c r="T49" s="552"/>
    </row>
    <row r="50" spans="1:20" s="20" customFormat="1" ht="16.5" customHeight="1">
      <c r="A50" s="203"/>
      <c r="B50" s="204"/>
      <c r="C50" s="86" t="s">
        <v>132</v>
      </c>
      <c r="D50" s="56"/>
      <c r="E50" s="244">
        <v>0</v>
      </c>
      <c r="F50" s="244">
        <v>0</v>
      </c>
      <c r="G50" s="50">
        <f t="shared" si="1"/>
        <v>0</v>
      </c>
      <c r="H50" s="52"/>
      <c r="I50" s="956"/>
      <c r="J50" s="957"/>
      <c r="K50" s="957"/>
      <c r="L50" s="957"/>
      <c r="M50" s="957"/>
      <c r="N50" s="957"/>
      <c r="O50" s="957"/>
      <c r="P50" s="957"/>
      <c r="Q50" s="957"/>
      <c r="R50" s="958"/>
      <c r="T50" s="552"/>
    </row>
    <row r="51" spans="1:20" s="20" customFormat="1" ht="16.5" customHeight="1">
      <c r="A51" s="207"/>
      <c r="B51" s="211"/>
      <c r="C51" s="311" t="s">
        <v>133</v>
      </c>
      <c r="D51" s="312" t="s">
        <v>196</v>
      </c>
      <c r="E51" s="247">
        <v>9300000</v>
      </c>
      <c r="F51" s="247">
        <v>9300000</v>
      </c>
      <c r="G51" s="260">
        <f t="shared" si="1"/>
        <v>0</v>
      </c>
      <c r="H51" s="89"/>
      <c r="I51" s="969" t="s">
        <v>197</v>
      </c>
      <c r="J51" s="970"/>
      <c r="K51" s="970"/>
      <c r="L51" s="970"/>
      <c r="M51" s="970"/>
      <c r="N51" s="970"/>
      <c r="O51" s="970"/>
      <c r="P51" s="970"/>
      <c r="Q51" s="970"/>
      <c r="R51" s="971"/>
      <c r="T51" s="552"/>
    </row>
    <row r="52" spans="1:20" s="20" customFormat="1" ht="16.5" customHeight="1">
      <c r="A52" s="307" t="s">
        <v>25</v>
      </c>
      <c r="B52" s="967" t="s">
        <v>187</v>
      </c>
      <c r="C52" s="968"/>
      <c r="D52" s="308"/>
      <c r="E52" s="309">
        <v>400492380</v>
      </c>
      <c r="F52" s="309">
        <f>F53+F75+F86</f>
        <v>454718792</v>
      </c>
      <c r="G52" s="108">
        <f t="shared" si="1"/>
        <v>54226412</v>
      </c>
      <c r="H52" s="310"/>
      <c r="I52" s="981"/>
      <c r="J52" s="982"/>
      <c r="K52" s="982"/>
      <c r="L52" s="982"/>
      <c r="M52" s="982"/>
      <c r="N52" s="982"/>
      <c r="O52" s="982"/>
      <c r="P52" s="982"/>
      <c r="Q52" s="982"/>
      <c r="R52" s="983"/>
      <c r="T52" s="552"/>
    </row>
    <row r="53" spans="1:20" s="20" customFormat="1" ht="16.5" customHeight="1">
      <c r="A53" s="205"/>
      <c r="B53" s="83" t="s">
        <v>124</v>
      </c>
      <c r="C53" s="86" t="s">
        <v>117</v>
      </c>
      <c r="D53" s="86"/>
      <c r="E53" s="244">
        <v>148746360</v>
      </c>
      <c r="F53" s="244">
        <f>F54+F65+F68+F69+F70+F71+F72+F73+F74</f>
        <v>152096472</v>
      </c>
      <c r="G53" s="50">
        <f t="shared" si="1"/>
        <v>3350112</v>
      </c>
      <c r="H53" s="245"/>
      <c r="I53" s="987"/>
      <c r="J53" s="988"/>
      <c r="K53" s="988"/>
      <c r="L53" s="988"/>
      <c r="M53" s="988"/>
      <c r="N53" s="988"/>
      <c r="O53" s="988"/>
      <c r="P53" s="988"/>
      <c r="Q53" s="988"/>
      <c r="R53" s="989"/>
      <c r="S53" s="241"/>
      <c r="T53" s="552"/>
    </row>
    <row r="54" spans="1:20" s="20" customFormat="1" ht="16.5" customHeight="1">
      <c r="A54" s="206"/>
      <c r="B54" s="213"/>
      <c r="C54" s="86" t="s">
        <v>136</v>
      </c>
      <c r="D54" s="86" t="s">
        <v>117</v>
      </c>
      <c r="E54" s="244">
        <v>129927360</v>
      </c>
      <c r="F54" s="244">
        <f>SUM(F55:F64)</f>
        <v>133277472</v>
      </c>
      <c r="G54" s="50">
        <f t="shared" si="1"/>
        <v>3350112</v>
      </c>
      <c r="H54" s="245"/>
      <c r="I54" s="956" t="s">
        <v>390</v>
      </c>
      <c r="J54" s="957"/>
      <c r="K54" s="957"/>
      <c r="L54" s="957"/>
      <c r="M54" s="957"/>
      <c r="N54" s="957"/>
      <c r="O54" s="957"/>
      <c r="P54" s="957"/>
      <c r="Q54" s="957"/>
      <c r="R54" s="958"/>
      <c r="S54" s="241"/>
      <c r="T54" s="552"/>
    </row>
    <row r="55" spans="1:20" s="20" customFormat="1" ht="16.5" customHeight="1">
      <c r="A55" s="206"/>
      <c r="B55" s="209"/>
      <c r="C55" s="208"/>
      <c r="D55" s="208" t="s">
        <v>192</v>
      </c>
      <c r="E55" s="262">
        <v>3060000</v>
      </c>
      <c r="F55" s="262">
        <f>생활보장급여!G8</f>
        <v>3305922</v>
      </c>
      <c r="G55" s="50">
        <f t="shared" si="1"/>
        <v>245922</v>
      </c>
      <c r="H55" s="245"/>
      <c r="I55" s="956" t="s">
        <v>202</v>
      </c>
      <c r="J55" s="957"/>
      <c r="K55" s="957"/>
      <c r="L55" s="957"/>
      <c r="M55" s="957"/>
      <c r="N55" s="957"/>
      <c r="O55" s="957"/>
      <c r="P55" s="957"/>
      <c r="Q55" s="957"/>
      <c r="R55" s="958"/>
      <c r="S55" s="241"/>
      <c r="T55" s="552"/>
    </row>
    <row r="56" spans="1:20" s="20" customFormat="1" ht="16.5" hidden="1" customHeight="1">
      <c r="A56" s="206"/>
      <c r="B56" s="209"/>
      <c r="C56" s="252"/>
      <c r="D56" s="208" t="s">
        <v>59</v>
      </c>
      <c r="E56" s="272">
        <v>0</v>
      </c>
      <c r="F56" s="272">
        <v>0</v>
      </c>
      <c r="G56" s="50">
        <f t="shared" si="1"/>
        <v>0</v>
      </c>
      <c r="H56" s="245"/>
      <c r="I56" s="956" t="s">
        <v>202</v>
      </c>
      <c r="J56" s="957"/>
      <c r="K56" s="957"/>
      <c r="L56" s="957"/>
      <c r="M56" s="957"/>
      <c r="N56" s="957"/>
      <c r="O56" s="957"/>
      <c r="P56" s="957"/>
      <c r="Q56" s="957"/>
      <c r="R56" s="958"/>
      <c r="S56" s="241"/>
      <c r="T56" s="552"/>
    </row>
    <row r="57" spans="1:20" s="20" customFormat="1" ht="16.5" hidden="1" customHeight="1">
      <c r="A57" s="206"/>
      <c r="B57" s="209"/>
      <c r="C57" s="252"/>
      <c r="D57" s="208" t="s">
        <v>137</v>
      </c>
      <c r="E57" s="272">
        <v>0</v>
      </c>
      <c r="F57" s="272">
        <v>0</v>
      </c>
      <c r="G57" s="50">
        <f t="shared" si="1"/>
        <v>0</v>
      </c>
      <c r="H57" s="245"/>
      <c r="I57" s="956" t="s">
        <v>321</v>
      </c>
      <c r="J57" s="957"/>
      <c r="K57" s="957"/>
      <c r="L57" s="957"/>
      <c r="M57" s="957"/>
      <c r="N57" s="957"/>
      <c r="O57" s="957"/>
      <c r="P57" s="957"/>
      <c r="Q57" s="957"/>
      <c r="R57" s="958"/>
      <c r="S57" s="241"/>
      <c r="T57" s="552"/>
    </row>
    <row r="58" spans="1:20" s="20" customFormat="1" ht="16.5" hidden="1" customHeight="1">
      <c r="A58" s="206"/>
      <c r="B58" s="209"/>
      <c r="C58" s="252"/>
      <c r="D58" s="86" t="s">
        <v>138</v>
      </c>
      <c r="E58" s="244">
        <v>0</v>
      </c>
      <c r="F58" s="244">
        <v>0</v>
      </c>
      <c r="G58" s="50">
        <f t="shared" si="1"/>
        <v>0</v>
      </c>
      <c r="H58" s="245"/>
      <c r="I58" s="956" t="s">
        <v>202</v>
      </c>
      <c r="J58" s="957"/>
      <c r="K58" s="957"/>
      <c r="L58" s="957"/>
      <c r="M58" s="957"/>
      <c r="N58" s="957"/>
      <c r="O58" s="957"/>
      <c r="P58" s="957"/>
      <c r="Q58" s="957"/>
      <c r="R58" s="958"/>
      <c r="S58" s="241"/>
      <c r="T58" s="552"/>
    </row>
    <row r="59" spans="1:20" s="20" customFormat="1" ht="16.5" customHeight="1">
      <c r="A59" s="206"/>
      <c r="B59" s="209"/>
      <c r="C59" s="252"/>
      <c r="D59" s="86" t="s">
        <v>34</v>
      </c>
      <c r="E59" s="244">
        <v>119000600</v>
      </c>
      <c r="F59" s="244">
        <f>생활보장급여!G10</f>
        <v>128423900</v>
      </c>
      <c r="G59" s="50">
        <f t="shared" si="1"/>
        <v>9423300</v>
      </c>
      <c r="H59" s="245"/>
      <c r="I59" s="421"/>
      <c r="J59" s="419"/>
      <c r="K59" s="419"/>
      <c r="L59" s="419"/>
      <c r="M59" s="419"/>
      <c r="N59" s="419"/>
      <c r="O59" s="419"/>
      <c r="P59" s="419"/>
      <c r="Q59" s="419"/>
      <c r="R59" s="420"/>
      <c r="S59" s="241"/>
      <c r="T59" s="552"/>
    </row>
    <row r="60" spans="1:20" s="20" customFormat="1" ht="16.5" customHeight="1">
      <c r="A60" s="206"/>
      <c r="B60" s="209"/>
      <c r="C60" s="252"/>
      <c r="D60" s="86" t="s">
        <v>139</v>
      </c>
      <c r="E60" s="244">
        <v>1466760</v>
      </c>
      <c r="F60" s="244">
        <f>생활보장급여!G11</f>
        <v>1547650</v>
      </c>
      <c r="G60" s="50">
        <f t="shared" si="1"/>
        <v>80890</v>
      </c>
      <c r="H60" s="245"/>
      <c r="I60" s="956" t="s">
        <v>202</v>
      </c>
      <c r="J60" s="957"/>
      <c r="K60" s="957"/>
      <c r="L60" s="957"/>
      <c r="M60" s="957"/>
      <c r="N60" s="957"/>
      <c r="O60" s="957"/>
      <c r="P60" s="957"/>
      <c r="Q60" s="957"/>
      <c r="R60" s="958"/>
      <c r="S60" s="241"/>
      <c r="T60" s="552"/>
    </row>
    <row r="61" spans="1:20" s="20" customFormat="1" ht="16.5" hidden="1" customHeight="1">
      <c r="A61" s="206"/>
      <c r="B61" s="209"/>
      <c r="C61" s="252"/>
      <c r="D61" s="86" t="s">
        <v>140</v>
      </c>
      <c r="E61" s="244">
        <v>0</v>
      </c>
      <c r="F61" s="244">
        <v>0</v>
      </c>
      <c r="G61" s="50">
        <f t="shared" si="1"/>
        <v>0</v>
      </c>
      <c r="H61" s="245"/>
      <c r="I61" s="956" t="s">
        <v>202</v>
      </c>
      <c r="J61" s="957"/>
      <c r="K61" s="957"/>
      <c r="L61" s="957"/>
      <c r="M61" s="957"/>
      <c r="N61" s="957"/>
      <c r="O61" s="957"/>
      <c r="P61" s="957"/>
      <c r="Q61" s="957"/>
      <c r="R61" s="958"/>
      <c r="S61" s="241"/>
      <c r="T61" s="552"/>
    </row>
    <row r="62" spans="1:20" s="20" customFormat="1" ht="16.5" hidden="1" customHeight="1">
      <c r="A62" s="206"/>
      <c r="B62" s="209"/>
      <c r="C62" s="252"/>
      <c r="D62" s="86" t="s">
        <v>141</v>
      </c>
      <c r="E62" s="244">
        <v>0</v>
      </c>
      <c r="F62" s="244">
        <v>0</v>
      </c>
      <c r="G62" s="50">
        <f t="shared" si="1"/>
        <v>0</v>
      </c>
      <c r="H62" s="245"/>
      <c r="I62" s="956" t="s">
        <v>202</v>
      </c>
      <c r="J62" s="957"/>
      <c r="K62" s="957"/>
      <c r="L62" s="957"/>
      <c r="M62" s="957"/>
      <c r="N62" s="957"/>
      <c r="O62" s="957"/>
      <c r="P62" s="957"/>
      <c r="Q62" s="957"/>
      <c r="R62" s="958"/>
      <c r="S62" s="241"/>
      <c r="T62" s="552"/>
    </row>
    <row r="63" spans="1:20" s="20" customFormat="1" ht="16.5" customHeight="1">
      <c r="A63" s="206"/>
      <c r="B63" s="209"/>
      <c r="C63" s="252"/>
      <c r="D63" s="86" t="s">
        <v>26</v>
      </c>
      <c r="E63" s="244">
        <v>6400000</v>
      </c>
      <c r="F63" s="244">
        <f>생활보장급여!G13</f>
        <v>0</v>
      </c>
      <c r="G63" s="50">
        <f t="shared" si="1"/>
        <v>-6400000</v>
      </c>
      <c r="H63" s="245"/>
      <c r="I63" s="956" t="s">
        <v>202</v>
      </c>
      <c r="J63" s="957"/>
      <c r="K63" s="957"/>
      <c r="L63" s="957"/>
      <c r="M63" s="957"/>
      <c r="N63" s="957"/>
      <c r="O63" s="957"/>
      <c r="P63" s="957"/>
      <c r="Q63" s="957"/>
      <c r="R63" s="958"/>
      <c r="S63" s="241"/>
      <c r="T63" s="552"/>
    </row>
    <row r="64" spans="1:20" s="20" customFormat="1" ht="17.25" hidden="1" customHeight="1">
      <c r="A64" s="206"/>
      <c r="B64" s="209"/>
      <c r="C64" s="234"/>
      <c r="D64" s="86" t="s">
        <v>142</v>
      </c>
      <c r="E64" s="244">
        <v>0</v>
      </c>
      <c r="F64" s="244">
        <v>0</v>
      </c>
      <c r="G64" s="50">
        <f t="shared" si="1"/>
        <v>0</v>
      </c>
      <c r="H64" s="245"/>
      <c r="I64" s="956" t="s">
        <v>202</v>
      </c>
      <c r="J64" s="957"/>
      <c r="K64" s="957"/>
      <c r="L64" s="957"/>
      <c r="M64" s="957"/>
      <c r="N64" s="957"/>
      <c r="O64" s="957"/>
      <c r="P64" s="957"/>
      <c r="Q64" s="957"/>
      <c r="R64" s="958"/>
      <c r="S64" s="241"/>
      <c r="T64" s="552"/>
    </row>
    <row r="65" spans="1:20" s="20" customFormat="1" ht="15.75" customHeight="1">
      <c r="A65" s="206"/>
      <c r="B65" s="263"/>
      <c r="C65" s="214" t="s">
        <v>144</v>
      </c>
      <c r="D65" s="252" t="s">
        <v>181</v>
      </c>
      <c r="E65" s="273">
        <v>18819000</v>
      </c>
      <c r="F65" s="273">
        <f>SUM(F66:F67)</f>
        <v>18819000</v>
      </c>
      <c r="G65" s="50">
        <f t="shared" si="1"/>
        <v>0</v>
      </c>
      <c r="H65" s="274"/>
      <c r="I65" s="275"/>
      <c r="J65" s="240"/>
      <c r="K65" s="240"/>
      <c r="L65" s="240"/>
      <c r="M65" s="240"/>
      <c r="N65" s="240"/>
      <c r="O65" s="240"/>
      <c r="P65" s="240"/>
      <c r="Q65" s="240"/>
      <c r="R65" s="276"/>
      <c r="S65" s="241"/>
      <c r="T65" s="552"/>
    </row>
    <row r="66" spans="1:20" s="20" customFormat="1" ht="15.75" customHeight="1">
      <c r="A66" s="206"/>
      <c r="B66" s="263"/>
      <c r="C66" s="213"/>
      <c r="D66" s="83" t="s">
        <v>193</v>
      </c>
      <c r="E66" s="244">
        <v>6500000</v>
      </c>
      <c r="F66" s="244">
        <v>6500000</v>
      </c>
      <c r="G66" s="50">
        <f t="shared" si="1"/>
        <v>0</v>
      </c>
      <c r="H66" s="52"/>
      <c r="I66" s="961" t="s">
        <v>71</v>
      </c>
      <c r="J66" s="962"/>
      <c r="K66" s="962"/>
      <c r="L66" s="962"/>
      <c r="M66" s="962"/>
      <c r="N66" s="962"/>
      <c r="O66" s="962"/>
      <c r="P66" s="962"/>
      <c r="Q66" s="962"/>
      <c r="R66" s="963"/>
      <c r="T66" s="552"/>
    </row>
    <row r="67" spans="1:20" s="20" customFormat="1" ht="17.25" customHeight="1">
      <c r="A67" s="206"/>
      <c r="B67" s="263"/>
      <c r="C67" s="214"/>
      <c r="D67" s="83" t="s">
        <v>198</v>
      </c>
      <c r="E67" s="244">
        <v>12319000</v>
      </c>
      <c r="F67" s="244">
        <v>12319000</v>
      </c>
      <c r="G67" s="50">
        <f t="shared" si="1"/>
        <v>0</v>
      </c>
      <c r="H67" s="52"/>
      <c r="I67" s="956" t="s">
        <v>203</v>
      </c>
      <c r="J67" s="957"/>
      <c r="K67" s="957"/>
      <c r="L67" s="957"/>
      <c r="M67" s="957"/>
      <c r="N67" s="957"/>
      <c r="O67" s="957"/>
      <c r="P67" s="957"/>
      <c r="Q67" s="957"/>
      <c r="R67" s="958"/>
      <c r="T67" s="552"/>
    </row>
    <row r="68" spans="1:20" s="20" customFormat="1" ht="17.25" hidden="1" customHeight="1">
      <c r="A68" s="206"/>
      <c r="B68" s="256"/>
      <c r="C68" s="86" t="s">
        <v>146</v>
      </c>
      <c r="D68" s="86"/>
      <c r="E68" s="244">
        <v>0</v>
      </c>
      <c r="F68" s="244">
        <v>0</v>
      </c>
      <c r="G68" s="50">
        <f t="shared" si="1"/>
        <v>0</v>
      </c>
      <c r="H68" s="52"/>
      <c r="I68" s="975"/>
      <c r="J68" s="976"/>
      <c r="K68" s="976"/>
      <c r="L68" s="976"/>
      <c r="M68" s="976"/>
      <c r="N68" s="976"/>
      <c r="O68" s="976"/>
      <c r="P68" s="976"/>
      <c r="Q68" s="976"/>
      <c r="R68" s="249"/>
      <c r="T68" s="552"/>
    </row>
    <row r="69" spans="1:20" s="20" customFormat="1" ht="17.25" hidden="1" customHeight="1">
      <c r="A69" s="206"/>
      <c r="B69" s="256"/>
      <c r="C69" s="86" t="s">
        <v>27</v>
      </c>
      <c r="D69" s="86" t="s">
        <v>44</v>
      </c>
      <c r="E69" s="244">
        <v>0</v>
      </c>
      <c r="F69" s="244">
        <v>0</v>
      </c>
      <c r="G69" s="50">
        <f t="shared" si="1"/>
        <v>0</v>
      </c>
      <c r="H69" s="52"/>
      <c r="I69" s="964"/>
      <c r="J69" s="990"/>
      <c r="K69" s="990"/>
      <c r="L69" s="990"/>
      <c r="M69" s="990"/>
      <c r="N69" s="990"/>
      <c r="O69" s="990"/>
      <c r="P69" s="990"/>
      <c r="Q69" s="990"/>
      <c r="R69" s="991"/>
      <c r="T69" s="552"/>
    </row>
    <row r="70" spans="1:20" s="20" customFormat="1" ht="17.25" hidden="1" customHeight="1">
      <c r="A70" s="206"/>
      <c r="B70" s="256"/>
      <c r="C70" s="86" t="s">
        <v>147</v>
      </c>
      <c r="D70" s="86"/>
      <c r="E70" s="244">
        <v>0</v>
      </c>
      <c r="F70" s="244">
        <v>0</v>
      </c>
      <c r="G70" s="50">
        <f t="shared" si="1"/>
        <v>0</v>
      </c>
      <c r="H70" s="52"/>
      <c r="I70" s="975"/>
      <c r="J70" s="976"/>
      <c r="K70" s="976"/>
      <c r="L70" s="976"/>
      <c r="M70" s="976"/>
      <c r="N70" s="976"/>
      <c r="O70" s="976"/>
      <c r="P70" s="976"/>
      <c r="Q70" s="976"/>
      <c r="R70" s="977"/>
      <c r="T70" s="552"/>
    </row>
    <row r="71" spans="1:20" s="20" customFormat="1" ht="17.25" hidden="1" customHeight="1">
      <c r="A71" s="206"/>
      <c r="B71" s="256"/>
      <c r="C71" s="86" t="s">
        <v>28</v>
      </c>
      <c r="D71" s="86"/>
      <c r="E71" s="244">
        <v>0</v>
      </c>
      <c r="F71" s="244">
        <v>0</v>
      </c>
      <c r="G71" s="50">
        <f t="shared" si="1"/>
        <v>0</v>
      </c>
      <c r="H71" s="52"/>
      <c r="I71" s="975"/>
      <c r="J71" s="976"/>
      <c r="K71" s="976"/>
      <c r="L71" s="976"/>
      <c r="M71" s="976"/>
      <c r="N71" s="976"/>
      <c r="O71" s="976"/>
      <c r="P71" s="976"/>
      <c r="Q71" s="976"/>
      <c r="R71" s="977"/>
      <c r="T71" s="552"/>
    </row>
    <row r="72" spans="1:20" s="20" customFormat="1" ht="17.25" hidden="1" customHeight="1">
      <c r="A72" s="206"/>
      <c r="B72" s="256"/>
      <c r="C72" s="83" t="s">
        <v>148</v>
      </c>
      <c r="D72" s="83"/>
      <c r="E72" s="280">
        <v>0</v>
      </c>
      <c r="F72" s="280">
        <v>0</v>
      </c>
      <c r="G72" s="50">
        <f t="shared" si="1"/>
        <v>0</v>
      </c>
      <c r="H72" s="50"/>
      <c r="I72" s="975"/>
      <c r="J72" s="976"/>
      <c r="K72" s="976"/>
      <c r="L72" s="976"/>
      <c r="M72" s="976"/>
      <c r="N72" s="976"/>
      <c r="O72" s="976"/>
      <c r="P72" s="976"/>
      <c r="Q72" s="976"/>
      <c r="R72" s="977"/>
      <c r="T72" s="552"/>
    </row>
    <row r="73" spans="1:20" s="20" customFormat="1" ht="17.25" hidden="1" customHeight="1">
      <c r="A73" s="206"/>
      <c r="B73" s="258"/>
      <c r="C73" s="83" t="s">
        <v>149</v>
      </c>
      <c r="D73" s="58" t="s">
        <v>318</v>
      </c>
      <c r="E73" s="244"/>
      <c r="F73" s="244"/>
      <c r="G73" s="50">
        <f t="shared" si="1"/>
        <v>0</v>
      </c>
      <c r="H73" s="52"/>
      <c r="I73" s="975"/>
      <c r="J73" s="976"/>
      <c r="K73" s="976"/>
      <c r="L73" s="976"/>
      <c r="M73" s="976"/>
      <c r="N73" s="976"/>
      <c r="O73" s="976"/>
      <c r="P73" s="976"/>
      <c r="Q73" s="976"/>
      <c r="R73" s="977"/>
      <c r="T73" s="552"/>
    </row>
    <row r="74" spans="1:20" s="20" customFormat="1" ht="17.25" hidden="1" customHeight="1">
      <c r="A74" s="206"/>
      <c r="B74" s="258"/>
      <c r="C74" s="83" t="s">
        <v>150</v>
      </c>
      <c r="D74" s="83"/>
      <c r="E74" s="244">
        <v>0</v>
      </c>
      <c r="F74" s="244">
        <v>0</v>
      </c>
      <c r="G74" s="50">
        <f t="shared" si="1"/>
        <v>0</v>
      </c>
      <c r="H74" s="52"/>
      <c r="I74" s="956"/>
      <c r="J74" s="957"/>
      <c r="K74" s="957"/>
      <c r="L74" s="957"/>
      <c r="M74" s="957"/>
      <c r="N74" s="957"/>
      <c r="O74" s="957"/>
      <c r="P74" s="957"/>
      <c r="Q74" s="957"/>
      <c r="R74" s="958"/>
      <c r="T74" s="552"/>
    </row>
    <row r="75" spans="1:20" s="20" customFormat="1" ht="17.25" hidden="1" customHeight="1">
      <c r="A75" s="206"/>
      <c r="B75" s="86" t="s">
        <v>151</v>
      </c>
      <c r="C75" s="83" t="s">
        <v>117</v>
      </c>
      <c r="D75" s="83"/>
      <c r="E75" s="244">
        <v>0</v>
      </c>
      <c r="F75" s="244">
        <f>SUM(F76:F85)</f>
        <v>0</v>
      </c>
      <c r="G75" s="50">
        <f t="shared" si="1"/>
        <v>0</v>
      </c>
      <c r="H75" s="52"/>
      <c r="I75" s="956"/>
      <c r="J75" s="957"/>
      <c r="K75" s="957"/>
      <c r="L75" s="957"/>
      <c r="M75" s="957"/>
      <c r="N75" s="957"/>
      <c r="O75" s="957"/>
      <c r="P75" s="957"/>
      <c r="Q75" s="957"/>
      <c r="R75" s="958"/>
      <c r="T75" s="552"/>
    </row>
    <row r="76" spans="1:20" s="20" customFormat="1" ht="17.25" hidden="1" customHeight="1">
      <c r="A76" s="206"/>
      <c r="B76" s="252"/>
      <c r="C76" s="83" t="s">
        <v>152</v>
      </c>
      <c r="D76" s="83"/>
      <c r="E76" s="244">
        <v>0</v>
      </c>
      <c r="F76" s="244">
        <v>0</v>
      </c>
      <c r="G76" s="50">
        <f t="shared" si="1"/>
        <v>0</v>
      </c>
      <c r="H76" s="52"/>
      <c r="I76" s="956"/>
      <c r="J76" s="957"/>
      <c r="K76" s="957"/>
      <c r="L76" s="957"/>
      <c r="M76" s="957"/>
      <c r="N76" s="957"/>
      <c r="O76" s="957"/>
      <c r="P76" s="957"/>
      <c r="Q76" s="957"/>
      <c r="R76" s="958"/>
      <c r="T76" s="552"/>
    </row>
    <row r="77" spans="1:20" s="20" customFormat="1" ht="17.25" hidden="1" customHeight="1">
      <c r="A77" s="206"/>
      <c r="B77" s="252"/>
      <c r="C77" s="83" t="s">
        <v>153</v>
      </c>
      <c r="D77" s="83"/>
      <c r="E77" s="244">
        <v>0</v>
      </c>
      <c r="F77" s="244">
        <v>0</v>
      </c>
      <c r="G77" s="50">
        <f t="shared" si="1"/>
        <v>0</v>
      </c>
      <c r="H77" s="52"/>
      <c r="I77" s="956"/>
      <c r="J77" s="957"/>
      <c r="K77" s="957"/>
      <c r="L77" s="957"/>
      <c r="M77" s="957"/>
      <c r="N77" s="957"/>
      <c r="O77" s="957"/>
      <c r="P77" s="957"/>
      <c r="Q77" s="957"/>
      <c r="R77" s="958"/>
      <c r="T77" s="552"/>
    </row>
    <row r="78" spans="1:20" s="20" customFormat="1" ht="17.25" hidden="1" customHeight="1">
      <c r="A78" s="206"/>
      <c r="B78" s="209"/>
      <c r="C78" s="83" t="s">
        <v>154</v>
      </c>
      <c r="D78" s="83"/>
      <c r="E78" s="244">
        <v>0</v>
      </c>
      <c r="F78" s="244">
        <v>0</v>
      </c>
      <c r="G78" s="50">
        <f t="shared" si="1"/>
        <v>0</v>
      </c>
      <c r="H78" s="52"/>
      <c r="I78" s="975"/>
      <c r="J78" s="976"/>
      <c r="K78" s="976"/>
      <c r="L78" s="976"/>
      <c r="M78" s="976"/>
      <c r="N78" s="976"/>
      <c r="O78" s="976"/>
      <c r="P78" s="976"/>
      <c r="Q78" s="976"/>
      <c r="R78" s="977"/>
      <c r="T78" s="552"/>
    </row>
    <row r="79" spans="1:20" s="20" customFormat="1" ht="17.25" hidden="1" customHeight="1">
      <c r="A79" s="206"/>
      <c r="B79" s="209"/>
      <c r="C79" s="83" t="s">
        <v>155</v>
      </c>
      <c r="D79" s="257"/>
      <c r="E79" s="244">
        <v>0</v>
      </c>
      <c r="F79" s="244">
        <v>0</v>
      </c>
      <c r="G79" s="50">
        <f t="shared" si="1"/>
        <v>0</v>
      </c>
      <c r="H79" s="52"/>
      <c r="I79" s="975"/>
      <c r="J79" s="976"/>
      <c r="K79" s="976"/>
      <c r="L79" s="976"/>
      <c r="M79" s="976"/>
      <c r="N79" s="976"/>
      <c r="O79" s="976"/>
      <c r="P79" s="976"/>
      <c r="Q79" s="976"/>
      <c r="R79" s="977"/>
      <c r="T79" s="552"/>
    </row>
    <row r="80" spans="1:20" s="20" customFormat="1" ht="17.25" hidden="1" customHeight="1">
      <c r="A80" s="206"/>
      <c r="B80" s="209"/>
      <c r="C80" s="83" t="s">
        <v>156</v>
      </c>
      <c r="D80" s="83"/>
      <c r="E80" s="244">
        <v>0</v>
      </c>
      <c r="F80" s="244">
        <v>0</v>
      </c>
      <c r="G80" s="50">
        <f t="shared" si="1"/>
        <v>0</v>
      </c>
      <c r="H80" s="52"/>
      <c r="I80" s="975"/>
      <c r="J80" s="976"/>
      <c r="K80" s="976"/>
      <c r="L80" s="976"/>
      <c r="M80" s="976"/>
      <c r="N80" s="976"/>
      <c r="O80" s="976"/>
      <c r="P80" s="976"/>
      <c r="Q80" s="976"/>
      <c r="R80" s="977"/>
      <c r="T80" s="552"/>
    </row>
    <row r="81" spans="1:20" s="20" customFormat="1" ht="17.25" hidden="1" customHeight="1">
      <c r="A81" s="206"/>
      <c r="B81" s="209"/>
      <c r="C81" s="83" t="s">
        <v>157</v>
      </c>
      <c r="D81" s="83"/>
      <c r="E81" s="244">
        <v>0</v>
      </c>
      <c r="F81" s="244">
        <v>0</v>
      </c>
      <c r="G81" s="50">
        <f t="shared" si="1"/>
        <v>0</v>
      </c>
      <c r="H81" s="52"/>
      <c r="I81" s="975"/>
      <c r="J81" s="976"/>
      <c r="K81" s="976"/>
      <c r="L81" s="976"/>
      <c r="M81" s="976"/>
      <c r="N81" s="976"/>
      <c r="O81" s="976"/>
      <c r="P81" s="976"/>
      <c r="Q81" s="976"/>
      <c r="R81" s="977"/>
      <c r="T81" s="552"/>
    </row>
    <row r="82" spans="1:20" s="20" customFormat="1" ht="17.25" hidden="1" customHeight="1">
      <c r="A82" s="206"/>
      <c r="B82" s="209"/>
      <c r="C82" s="83" t="s">
        <v>158</v>
      </c>
      <c r="D82" s="83"/>
      <c r="E82" s="244">
        <v>0</v>
      </c>
      <c r="F82" s="244">
        <v>0</v>
      </c>
      <c r="G82" s="50">
        <f t="shared" si="1"/>
        <v>0</v>
      </c>
      <c r="H82" s="52"/>
      <c r="I82" s="975"/>
      <c r="J82" s="976"/>
      <c r="K82" s="976"/>
      <c r="L82" s="976"/>
      <c r="M82" s="976"/>
      <c r="N82" s="976"/>
      <c r="O82" s="976"/>
      <c r="P82" s="976"/>
      <c r="Q82" s="976"/>
      <c r="R82" s="977"/>
      <c r="T82" s="552"/>
    </row>
    <row r="83" spans="1:20" s="20" customFormat="1" ht="17.25" hidden="1" customHeight="1">
      <c r="A83" s="206"/>
      <c r="B83" s="209"/>
      <c r="C83" s="83" t="s">
        <v>159</v>
      </c>
      <c r="D83" s="83"/>
      <c r="E83" s="244">
        <v>0</v>
      </c>
      <c r="F83" s="244">
        <v>0</v>
      </c>
      <c r="G83" s="50">
        <f t="shared" si="1"/>
        <v>0</v>
      </c>
      <c r="H83" s="52"/>
      <c r="I83" s="975"/>
      <c r="J83" s="976"/>
      <c r="K83" s="976"/>
      <c r="L83" s="976"/>
      <c r="M83" s="976"/>
      <c r="N83" s="976"/>
      <c r="O83" s="976"/>
      <c r="P83" s="976"/>
      <c r="Q83" s="976"/>
      <c r="R83" s="977"/>
      <c r="T83" s="552"/>
    </row>
    <row r="84" spans="1:20" s="20" customFormat="1" ht="17.25" hidden="1" customHeight="1">
      <c r="A84" s="206"/>
      <c r="B84" s="209"/>
      <c r="C84" s="83" t="s">
        <v>160</v>
      </c>
      <c r="D84" s="100"/>
      <c r="E84" s="244">
        <v>0</v>
      </c>
      <c r="F84" s="244">
        <v>0</v>
      </c>
      <c r="G84" s="50">
        <f t="shared" si="1"/>
        <v>0</v>
      </c>
      <c r="H84" s="52"/>
      <c r="I84" s="975"/>
      <c r="J84" s="976"/>
      <c r="K84" s="976"/>
      <c r="L84" s="976"/>
      <c r="M84" s="976"/>
      <c r="N84" s="976"/>
      <c r="O84" s="976"/>
      <c r="P84" s="976"/>
      <c r="Q84" s="976"/>
      <c r="R84" s="977"/>
      <c r="T84" s="552"/>
    </row>
    <row r="85" spans="1:20" s="20" customFormat="1" ht="17.25" hidden="1" customHeight="1">
      <c r="A85" s="206"/>
      <c r="B85" s="214"/>
      <c r="C85" s="86" t="s">
        <v>161</v>
      </c>
      <c r="D85" s="86"/>
      <c r="E85" s="244">
        <v>0</v>
      </c>
      <c r="F85" s="244">
        <v>0</v>
      </c>
      <c r="G85" s="50">
        <f t="shared" si="1"/>
        <v>0</v>
      </c>
      <c r="H85" s="52"/>
      <c r="I85" s="964"/>
      <c r="J85" s="965"/>
      <c r="K85" s="965"/>
      <c r="L85" s="965"/>
      <c r="M85" s="965"/>
      <c r="N85" s="965"/>
      <c r="O85" s="965"/>
      <c r="P85" s="965"/>
      <c r="Q85" s="965"/>
      <c r="R85" s="966"/>
      <c r="T85" s="552"/>
    </row>
    <row r="86" spans="1:20" s="20" customFormat="1" ht="17.25" customHeight="1">
      <c r="A86" s="206"/>
      <c r="B86" s="83" t="s">
        <v>134</v>
      </c>
      <c r="C86" s="86" t="s">
        <v>117</v>
      </c>
      <c r="D86" s="86"/>
      <c r="E86" s="244">
        <v>251746020</v>
      </c>
      <c r="F86" s="244">
        <f>F87+F88+F89+F92+F93+F99+F107+F109+F113+F111</f>
        <v>302622320</v>
      </c>
      <c r="G86" s="50">
        <f t="shared" si="1"/>
        <v>50876300</v>
      </c>
      <c r="H86" s="55">
        <f>H87+H88+H90+H92+H93+H99+H107+H109</f>
        <v>0</v>
      </c>
      <c r="I86" s="964"/>
      <c r="J86" s="965"/>
      <c r="K86" s="965"/>
      <c r="L86" s="965"/>
      <c r="M86" s="965"/>
      <c r="N86" s="965"/>
      <c r="O86" s="965"/>
      <c r="P86" s="965"/>
      <c r="Q86" s="965"/>
      <c r="R86" s="966"/>
      <c r="T86" s="552"/>
    </row>
    <row r="87" spans="1:20" s="20" customFormat="1" ht="17.25" hidden="1" customHeight="1">
      <c r="A87" s="206"/>
      <c r="B87" s="264"/>
      <c r="C87" s="57" t="s">
        <v>162</v>
      </c>
      <c r="D87" s="86"/>
      <c r="E87" s="244">
        <v>0</v>
      </c>
      <c r="F87" s="244">
        <v>0</v>
      </c>
      <c r="G87" s="50">
        <f t="shared" si="1"/>
        <v>0</v>
      </c>
      <c r="H87" s="52"/>
      <c r="I87" s="1031"/>
      <c r="J87" s="1032"/>
      <c r="K87" s="1032"/>
      <c r="L87" s="1032"/>
      <c r="M87" s="1032"/>
      <c r="N87" s="1032"/>
      <c r="O87" s="1032"/>
      <c r="P87" s="1032"/>
      <c r="Q87" s="1032"/>
      <c r="R87" s="1033"/>
      <c r="T87" s="552"/>
    </row>
    <row r="88" spans="1:20" s="20" customFormat="1" ht="22.5" customHeight="1">
      <c r="A88" s="206"/>
      <c r="B88" s="209"/>
      <c r="C88" s="86" t="s">
        <v>182</v>
      </c>
      <c r="D88" s="86" t="s">
        <v>189</v>
      </c>
      <c r="E88" s="244">
        <v>7200000</v>
      </c>
      <c r="F88" s="244">
        <v>7200000</v>
      </c>
      <c r="G88" s="50">
        <f t="shared" si="1"/>
        <v>0</v>
      </c>
      <c r="H88" s="52"/>
      <c r="I88" s="1034" t="s">
        <v>479</v>
      </c>
      <c r="J88" s="965"/>
      <c r="K88" s="965"/>
      <c r="L88" s="965"/>
      <c r="M88" s="965"/>
      <c r="N88" s="965"/>
      <c r="O88" s="965"/>
      <c r="P88" s="965"/>
      <c r="Q88" s="965"/>
      <c r="R88" s="966"/>
      <c r="T88" s="552"/>
    </row>
    <row r="89" spans="1:20" s="20" customFormat="1" ht="22.5" hidden="1" customHeight="1">
      <c r="A89" s="206"/>
      <c r="B89" s="209"/>
      <c r="C89" s="57" t="s">
        <v>163</v>
      </c>
      <c r="D89" s="57" t="s">
        <v>7</v>
      </c>
      <c r="E89" s="244">
        <v>0</v>
      </c>
      <c r="F89" s="244">
        <f>F90+F91</f>
        <v>0</v>
      </c>
      <c r="G89" s="50">
        <f t="shared" si="1"/>
        <v>0</v>
      </c>
      <c r="H89" s="52"/>
      <c r="I89" s="517"/>
      <c r="J89" s="277"/>
      <c r="K89" s="277"/>
      <c r="L89" s="277"/>
      <c r="M89" s="277"/>
      <c r="N89" s="277"/>
      <c r="O89" s="277"/>
      <c r="P89" s="277"/>
      <c r="Q89" s="277"/>
      <c r="R89" s="516"/>
      <c r="T89" s="552"/>
    </row>
    <row r="90" spans="1:20" s="20" customFormat="1" ht="17.25" hidden="1" customHeight="1">
      <c r="A90" s="206"/>
      <c r="B90" s="209"/>
      <c r="C90" s="57"/>
      <c r="D90" s="85" t="s">
        <v>190</v>
      </c>
      <c r="E90" s="244">
        <v>0</v>
      </c>
      <c r="F90" s="244">
        <v>0</v>
      </c>
      <c r="G90" s="50">
        <f t="shared" si="1"/>
        <v>0</v>
      </c>
      <c r="H90" s="52"/>
      <c r="I90" s="964"/>
      <c r="J90" s="965"/>
      <c r="K90" s="965"/>
      <c r="L90" s="965"/>
      <c r="M90" s="965"/>
      <c r="N90" s="965"/>
      <c r="O90" s="965"/>
      <c r="P90" s="965"/>
      <c r="Q90" s="965"/>
      <c r="R90" s="966"/>
      <c r="T90" s="552"/>
    </row>
    <row r="91" spans="1:20" s="20" customFormat="1" ht="17.25" hidden="1" customHeight="1">
      <c r="A91" s="206"/>
      <c r="B91" s="209"/>
      <c r="C91" s="57"/>
      <c r="D91" s="85"/>
      <c r="E91" s="244">
        <v>0</v>
      </c>
      <c r="F91" s="244">
        <v>0</v>
      </c>
      <c r="G91" s="50">
        <f t="shared" ref="G91:G123" si="2">F91-E91</f>
        <v>0</v>
      </c>
      <c r="H91" s="52"/>
      <c r="I91" s="987"/>
      <c r="J91" s="988"/>
      <c r="K91" s="988"/>
      <c r="L91" s="988"/>
      <c r="M91" s="988"/>
      <c r="N91" s="988"/>
      <c r="O91" s="988"/>
      <c r="P91" s="988"/>
      <c r="Q91" s="988"/>
      <c r="R91" s="989"/>
      <c r="T91" s="552"/>
    </row>
    <row r="92" spans="1:20" s="20" customFormat="1" ht="19.5" hidden="1" customHeight="1">
      <c r="A92" s="206"/>
      <c r="B92" s="209"/>
      <c r="C92" s="57" t="s">
        <v>164</v>
      </c>
      <c r="D92" s="86" t="s">
        <v>191</v>
      </c>
      <c r="E92" s="244"/>
      <c r="F92" s="244"/>
      <c r="G92" s="50">
        <f t="shared" si="2"/>
        <v>0</v>
      </c>
      <c r="H92" s="52"/>
      <c r="I92" s="1034"/>
      <c r="J92" s="965"/>
      <c r="K92" s="965"/>
      <c r="L92" s="965"/>
      <c r="M92" s="965"/>
      <c r="N92" s="965"/>
      <c r="O92" s="965"/>
      <c r="P92" s="965"/>
      <c r="Q92" s="965"/>
      <c r="R92" s="966"/>
      <c r="T92" s="552"/>
    </row>
    <row r="93" spans="1:20" s="20" customFormat="1" ht="22.5" customHeight="1">
      <c r="A93" s="206"/>
      <c r="B93" s="209"/>
      <c r="C93" s="86" t="s">
        <v>171</v>
      </c>
      <c r="D93" s="57" t="s">
        <v>117</v>
      </c>
      <c r="E93" s="244">
        <v>32840000</v>
      </c>
      <c r="F93" s="244">
        <f>SUM(F94:F98)</f>
        <v>32840000</v>
      </c>
      <c r="G93" s="50">
        <f t="shared" si="2"/>
        <v>0</v>
      </c>
      <c r="H93" s="52"/>
      <c r="I93" s="1025"/>
      <c r="J93" s="1026"/>
      <c r="K93" s="1026"/>
      <c r="L93" s="1026"/>
      <c r="M93" s="1026"/>
      <c r="N93" s="1026"/>
      <c r="O93" s="1026"/>
      <c r="P93" s="1026"/>
      <c r="Q93" s="1026"/>
      <c r="R93" s="1027"/>
      <c r="T93" s="552"/>
    </row>
    <row r="94" spans="1:20" s="20" customFormat="1" ht="21.75" customHeight="1">
      <c r="A94" s="206"/>
      <c r="B94" s="209"/>
      <c r="C94" s="208"/>
      <c r="D94" s="57" t="s">
        <v>45</v>
      </c>
      <c r="E94" s="244">
        <v>14600000</v>
      </c>
      <c r="F94" s="244">
        <f>'4종'!O5</f>
        <v>14600000</v>
      </c>
      <c r="G94" s="50">
        <f t="shared" si="2"/>
        <v>0</v>
      </c>
      <c r="H94" s="52"/>
      <c r="I94" s="956" t="s">
        <v>194</v>
      </c>
      <c r="J94" s="957"/>
      <c r="K94" s="957"/>
      <c r="L94" s="957"/>
      <c r="M94" s="957"/>
      <c r="N94" s="957"/>
      <c r="O94" s="957"/>
      <c r="P94" s="957"/>
      <c r="Q94" s="957"/>
      <c r="R94" s="958"/>
      <c r="T94" s="552"/>
    </row>
    <row r="95" spans="1:20" s="20" customFormat="1" ht="21.75" customHeight="1">
      <c r="A95" s="206"/>
      <c r="B95" s="209"/>
      <c r="C95" s="252"/>
      <c r="D95" s="57" t="s">
        <v>170</v>
      </c>
      <c r="E95" s="244">
        <v>4800000</v>
      </c>
      <c r="F95" s="244">
        <f>'4종'!O19</f>
        <v>4800000</v>
      </c>
      <c r="G95" s="50">
        <f t="shared" si="2"/>
        <v>0</v>
      </c>
      <c r="H95" s="52"/>
      <c r="I95" s="956" t="s">
        <v>195</v>
      </c>
      <c r="J95" s="957"/>
      <c r="K95" s="957"/>
      <c r="L95" s="957"/>
      <c r="M95" s="957"/>
      <c r="N95" s="957"/>
      <c r="O95" s="957"/>
      <c r="P95" s="957"/>
      <c r="Q95" s="957"/>
      <c r="R95" s="958"/>
      <c r="T95" s="552"/>
    </row>
    <row r="96" spans="1:20" s="20" customFormat="1" ht="22.5" customHeight="1">
      <c r="A96" s="206"/>
      <c r="B96" s="209"/>
      <c r="C96" s="252"/>
      <c r="D96" s="57" t="s">
        <v>740</v>
      </c>
      <c r="E96" s="244">
        <v>6400000</v>
      </c>
      <c r="F96" s="244">
        <f>'4종'!O34</f>
        <v>6400000</v>
      </c>
      <c r="G96" s="50">
        <f t="shared" si="2"/>
        <v>0</v>
      </c>
      <c r="H96" s="52"/>
      <c r="I96" s="956" t="s">
        <v>195</v>
      </c>
      <c r="J96" s="957"/>
      <c r="K96" s="957"/>
      <c r="L96" s="957"/>
      <c r="M96" s="957"/>
      <c r="N96" s="957"/>
      <c r="O96" s="957"/>
      <c r="P96" s="957"/>
      <c r="Q96" s="957"/>
      <c r="R96" s="958"/>
      <c r="T96" s="552"/>
    </row>
    <row r="97" spans="1:20" s="20" customFormat="1" ht="22.5" customHeight="1">
      <c r="A97" s="206"/>
      <c r="B97" s="209"/>
      <c r="C97" s="252"/>
      <c r="D97" s="57" t="s">
        <v>741</v>
      </c>
      <c r="E97" s="244">
        <v>3840000</v>
      </c>
      <c r="F97" s="244">
        <f>'4종'!O35</f>
        <v>3840000</v>
      </c>
      <c r="G97" s="50"/>
      <c r="H97" s="52"/>
      <c r="I97" s="956" t="s">
        <v>195</v>
      </c>
      <c r="J97" s="957"/>
      <c r="K97" s="957"/>
      <c r="L97" s="957"/>
      <c r="M97" s="957"/>
      <c r="N97" s="957"/>
      <c r="O97" s="957"/>
      <c r="P97" s="957"/>
      <c r="Q97" s="957"/>
      <c r="R97" s="958"/>
      <c r="T97" s="552"/>
    </row>
    <row r="98" spans="1:20" s="20" customFormat="1" ht="21.75" customHeight="1">
      <c r="A98" s="206"/>
      <c r="B98" s="209"/>
      <c r="C98" s="234"/>
      <c r="D98" s="57" t="s">
        <v>742</v>
      </c>
      <c r="E98" s="244">
        <v>3200000</v>
      </c>
      <c r="F98" s="244">
        <f>'4종'!O40</f>
        <v>3200000</v>
      </c>
      <c r="G98" s="50">
        <f t="shared" si="2"/>
        <v>0</v>
      </c>
      <c r="H98" s="52"/>
      <c r="I98" s="956" t="s">
        <v>195</v>
      </c>
      <c r="J98" s="957"/>
      <c r="K98" s="957"/>
      <c r="L98" s="957"/>
      <c r="M98" s="957"/>
      <c r="N98" s="957"/>
      <c r="O98" s="957"/>
      <c r="P98" s="957"/>
      <c r="Q98" s="957"/>
      <c r="R98" s="958"/>
      <c r="T98" s="552"/>
    </row>
    <row r="99" spans="1:20" s="20" customFormat="1" ht="22.5" customHeight="1">
      <c r="A99" s="206"/>
      <c r="B99" s="209"/>
      <c r="C99" s="234" t="s">
        <v>172</v>
      </c>
      <c r="D99" s="234" t="s">
        <v>117</v>
      </c>
      <c r="E99" s="284">
        <v>206416020</v>
      </c>
      <c r="F99" s="284">
        <f>SUM(F100:F106)</f>
        <v>237019070</v>
      </c>
      <c r="G99" s="50">
        <f t="shared" si="2"/>
        <v>30603050</v>
      </c>
      <c r="H99" s="104">
        <f>SUM(H100:H106)</f>
        <v>0</v>
      </c>
      <c r="I99" s="1025"/>
      <c r="J99" s="1026"/>
      <c r="K99" s="1026"/>
      <c r="L99" s="1026"/>
      <c r="M99" s="1026"/>
      <c r="N99" s="1026"/>
      <c r="O99" s="1026"/>
      <c r="P99" s="1026"/>
      <c r="Q99" s="1026"/>
      <c r="R99" s="1027"/>
      <c r="T99" s="552"/>
    </row>
    <row r="100" spans="1:20" s="20" customFormat="1" ht="22.5" customHeight="1">
      <c r="A100" s="215"/>
      <c r="B100" s="216"/>
      <c r="C100" s="312"/>
      <c r="D100" s="311" t="s">
        <v>173</v>
      </c>
      <c r="E100" s="247">
        <v>135650000</v>
      </c>
      <c r="F100" s="247">
        <f>'인건비총계표(보조금)'!T5+'인건비총계표(보조금)'!T659+'인건비총계표(보조금)'!T676</f>
        <v>134200000</v>
      </c>
      <c r="G100" s="260">
        <f t="shared" si="2"/>
        <v>-1450000</v>
      </c>
      <c r="H100" s="89"/>
      <c r="I100" s="1028" t="s">
        <v>65</v>
      </c>
      <c r="J100" s="1029"/>
      <c r="K100" s="1029"/>
      <c r="L100" s="1029"/>
      <c r="M100" s="1029"/>
      <c r="N100" s="1029"/>
      <c r="O100" s="1029"/>
      <c r="P100" s="1029"/>
      <c r="Q100" s="1029"/>
      <c r="R100" s="1030"/>
      <c r="T100" s="552"/>
    </row>
    <row r="101" spans="1:20" s="20" customFormat="1" ht="17.25" customHeight="1">
      <c r="A101" s="206"/>
      <c r="B101" s="209"/>
      <c r="C101" s="252"/>
      <c r="D101" s="237" t="s">
        <v>174</v>
      </c>
      <c r="E101" s="284">
        <v>22060570</v>
      </c>
      <c r="F101" s="691">
        <f>'인건비총계표(보조금)'!U677-'인건비총계표(보조금)'!T677+'인건비총계표(보조금)'!AC676</f>
        <v>24060570</v>
      </c>
      <c r="G101" s="108">
        <f t="shared" si="2"/>
        <v>2000000</v>
      </c>
      <c r="H101" s="105"/>
      <c r="I101" s="1035" t="s">
        <v>65</v>
      </c>
      <c r="J101" s="1036"/>
      <c r="K101" s="1036"/>
      <c r="L101" s="1036"/>
      <c r="M101" s="1036"/>
      <c r="N101" s="1036"/>
      <c r="O101" s="1036"/>
      <c r="P101" s="1036"/>
      <c r="Q101" s="1036"/>
      <c r="R101" s="1037"/>
      <c r="T101" s="552"/>
    </row>
    <row r="102" spans="1:20" s="20" customFormat="1" ht="17.25" customHeight="1">
      <c r="A102" s="206"/>
      <c r="B102" s="209"/>
      <c r="C102" s="252"/>
      <c r="D102" s="57" t="s">
        <v>175</v>
      </c>
      <c r="E102" s="244">
        <v>35105450</v>
      </c>
      <c r="F102" s="244">
        <f>'인건비총계표(보조금)'!U660-'인건비총계표(보조금)'!T660+'인건비총계표(보조금)'!AC660</f>
        <v>36958320</v>
      </c>
      <c r="G102" s="50">
        <f t="shared" si="2"/>
        <v>1852870</v>
      </c>
      <c r="H102" s="52"/>
      <c r="I102" s="987" t="s">
        <v>65</v>
      </c>
      <c r="J102" s="988"/>
      <c r="K102" s="988"/>
      <c r="L102" s="988"/>
      <c r="M102" s="988"/>
      <c r="N102" s="988"/>
      <c r="O102" s="988"/>
      <c r="P102" s="988"/>
      <c r="Q102" s="988"/>
      <c r="R102" s="989"/>
      <c r="T102" s="552"/>
    </row>
    <row r="103" spans="1:20" s="20" customFormat="1" ht="17.25" customHeight="1">
      <c r="A103" s="206"/>
      <c r="B103" s="209"/>
      <c r="C103" s="252"/>
      <c r="D103" s="57" t="str">
        <f>'인건비총계표(보조금)'!B708</f>
        <v>생활재활교사</v>
      </c>
      <c r="E103" s="244"/>
      <c r="F103" s="691">
        <f>'인건비총계표(보조금)'!U707-'인건비총계표(보조금)'!T707+'인건비총계표(보조금)'!AC707</f>
        <v>28200180</v>
      </c>
      <c r="G103" s="50">
        <f t="shared" si="2"/>
        <v>28200180</v>
      </c>
      <c r="H103" s="52"/>
      <c r="I103" s="956" t="s">
        <v>847</v>
      </c>
      <c r="J103" s="957"/>
      <c r="K103" s="957"/>
      <c r="L103" s="957"/>
      <c r="M103" s="957"/>
      <c r="N103" s="957"/>
      <c r="O103" s="957"/>
      <c r="P103" s="957"/>
      <c r="Q103" s="957"/>
      <c r="R103" s="958"/>
      <c r="T103" s="552"/>
    </row>
    <row r="104" spans="1:20" s="20" customFormat="1" ht="22.5" customHeight="1">
      <c r="A104" s="206"/>
      <c r="B104" s="209"/>
      <c r="C104" s="252"/>
      <c r="D104" s="651" t="s">
        <v>176</v>
      </c>
      <c r="E104" s="691">
        <v>3600000</v>
      </c>
      <c r="F104" s="691">
        <v>3600000</v>
      </c>
      <c r="G104" s="648">
        <f t="shared" ref="G104:G106" si="3">F104-E104</f>
        <v>0</v>
      </c>
      <c r="H104" s="649"/>
      <c r="I104" s="956" t="s">
        <v>847</v>
      </c>
      <c r="J104" s="957"/>
      <c r="K104" s="957"/>
      <c r="L104" s="957"/>
      <c r="M104" s="957"/>
      <c r="N104" s="957"/>
      <c r="O104" s="957"/>
      <c r="P104" s="957"/>
      <c r="Q104" s="957"/>
      <c r="R104" s="958"/>
      <c r="T104" s="552"/>
    </row>
    <row r="105" spans="1:20" s="20" customFormat="1" ht="26.25" customHeight="1">
      <c r="A105" s="206"/>
      <c r="B105" s="209"/>
      <c r="C105" s="252"/>
      <c r="D105" s="651" t="s">
        <v>177</v>
      </c>
      <c r="E105" s="691">
        <v>7000000</v>
      </c>
      <c r="F105" s="691">
        <v>7000000</v>
      </c>
      <c r="G105" s="648">
        <f t="shared" si="3"/>
        <v>0</v>
      </c>
      <c r="H105" s="649"/>
      <c r="I105" s="718" t="s">
        <v>72</v>
      </c>
      <c r="J105" s="716"/>
      <c r="K105" s="716"/>
      <c r="L105" s="716"/>
      <c r="M105" s="716"/>
      <c r="N105" s="716"/>
      <c r="O105" s="716"/>
      <c r="P105" s="716"/>
      <c r="Q105" s="716"/>
      <c r="R105" s="717"/>
      <c r="T105" s="552"/>
    </row>
    <row r="106" spans="1:20" s="20" customFormat="1" ht="17.25" customHeight="1">
      <c r="A106" s="206"/>
      <c r="B106" s="209"/>
      <c r="C106" s="234"/>
      <c r="D106" s="653" t="s">
        <v>178</v>
      </c>
      <c r="E106" s="691">
        <v>3000000</v>
      </c>
      <c r="F106" s="691">
        <v>3000000</v>
      </c>
      <c r="G106" s="648">
        <f t="shared" si="3"/>
        <v>0</v>
      </c>
      <c r="H106" s="649"/>
      <c r="I106" s="718"/>
      <c r="J106" s="716"/>
      <c r="K106" s="716"/>
      <c r="L106" s="716"/>
      <c r="M106" s="716"/>
      <c r="N106" s="716"/>
      <c r="O106" s="716"/>
      <c r="P106" s="716"/>
      <c r="Q106" s="716"/>
      <c r="R106" s="717"/>
      <c r="T106" s="552"/>
    </row>
    <row r="107" spans="1:20" s="20" customFormat="1" ht="17.25" customHeight="1">
      <c r="A107" s="206"/>
      <c r="B107" s="209"/>
      <c r="C107" s="651" t="s">
        <v>804</v>
      </c>
      <c r="D107" s="86" t="s">
        <v>117</v>
      </c>
      <c r="E107" s="244">
        <v>0</v>
      </c>
      <c r="F107" s="244">
        <f>F108</f>
        <v>20273250</v>
      </c>
      <c r="G107" s="50">
        <f t="shared" si="2"/>
        <v>20273250</v>
      </c>
      <c r="H107" s="52"/>
      <c r="I107" s="956"/>
      <c r="J107" s="957"/>
      <c r="K107" s="957"/>
      <c r="L107" s="957"/>
      <c r="M107" s="957"/>
      <c r="N107" s="957"/>
      <c r="O107" s="957"/>
      <c r="P107" s="957"/>
      <c r="Q107" s="957"/>
      <c r="R107" s="958"/>
      <c r="T107" s="552"/>
    </row>
    <row r="108" spans="1:20" s="20" customFormat="1" ht="17.25" customHeight="1">
      <c r="A108" s="206"/>
      <c r="B108" s="209"/>
      <c r="C108" s="86"/>
      <c r="D108" s="650" t="s">
        <v>845</v>
      </c>
      <c r="E108" s="244"/>
      <c r="F108" s="244">
        <f>'인건비총계표(보조금)'!S5+'인건비총계표(보조금)'!S659+'인건비총계표(보조금)'!S707</f>
        <v>20273250</v>
      </c>
      <c r="G108" s="50">
        <f t="shared" si="2"/>
        <v>20273250</v>
      </c>
      <c r="H108" s="52"/>
      <c r="I108" s="956"/>
      <c r="J108" s="957"/>
      <c r="K108" s="957"/>
      <c r="L108" s="957"/>
      <c r="M108" s="957"/>
      <c r="N108" s="957"/>
      <c r="O108" s="957"/>
      <c r="P108" s="957"/>
      <c r="Q108" s="957"/>
      <c r="R108" s="958"/>
      <c r="T108" s="552"/>
    </row>
    <row r="109" spans="1:20" s="20" customFormat="1" ht="17.25" customHeight="1">
      <c r="A109" s="206"/>
      <c r="B109" s="209"/>
      <c r="C109" s="85" t="s">
        <v>179</v>
      </c>
      <c r="D109" s="57" t="s">
        <v>7</v>
      </c>
      <c r="E109" s="244">
        <v>5290000</v>
      </c>
      <c r="F109" s="244">
        <f>F110</f>
        <v>5290000</v>
      </c>
      <c r="G109" s="50">
        <f t="shared" si="2"/>
        <v>0</v>
      </c>
      <c r="H109" s="52"/>
      <c r="I109" s="956"/>
      <c r="J109" s="957"/>
      <c r="K109" s="957"/>
      <c r="L109" s="957"/>
      <c r="M109" s="957"/>
      <c r="N109" s="957"/>
      <c r="O109" s="957"/>
      <c r="P109" s="957"/>
      <c r="Q109" s="957"/>
      <c r="R109" s="958"/>
      <c r="T109" s="552"/>
    </row>
    <row r="110" spans="1:20" s="20" customFormat="1" ht="17.25" customHeight="1">
      <c r="A110" s="206"/>
      <c r="B110" s="209"/>
      <c r="C110" s="86"/>
      <c r="D110" s="85" t="s">
        <v>179</v>
      </c>
      <c r="E110" s="244">
        <v>5290000</v>
      </c>
      <c r="F110" s="244">
        <v>5290000</v>
      </c>
      <c r="G110" s="50">
        <f t="shared" si="2"/>
        <v>0</v>
      </c>
      <c r="H110" s="52"/>
      <c r="I110" s="956" t="s">
        <v>769</v>
      </c>
      <c r="J110" s="957"/>
      <c r="K110" s="957"/>
      <c r="L110" s="957"/>
      <c r="M110" s="957"/>
      <c r="N110" s="957"/>
      <c r="O110" s="957"/>
      <c r="P110" s="957"/>
      <c r="Q110" s="957"/>
      <c r="R110" s="958"/>
      <c r="T110" s="552"/>
    </row>
    <row r="111" spans="1:20" s="20" customFormat="1" ht="17.25" hidden="1" customHeight="1">
      <c r="A111" s="206"/>
      <c r="B111" s="209"/>
      <c r="C111" s="85"/>
      <c r="D111" s="57" t="s">
        <v>7</v>
      </c>
      <c r="E111" s="244">
        <v>0</v>
      </c>
      <c r="F111" s="244">
        <f>F112</f>
        <v>0</v>
      </c>
      <c r="G111" s="50">
        <f t="shared" si="2"/>
        <v>0</v>
      </c>
      <c r="H111" s="52"/>
      <c r="I111" s="956"/>
      <c r="J111" s="957"/>
      <c r="K111" s="957"/>
      <c r="L111" s="957"/>
      <c r="M111" s="957"/>
      <c r="N111" s="957"/>
      <c r="O111" s="957"/>
      <c r="P111" s="957"/>
      <c r="Q111" s="957"/>
      <c r="R111" s="958"/>
      <c r="T111" s="552"/>
    </row>
    <row r="112" spans="1:20" s="20" customFormat="1" ht="17.25" hidden="1" customHeight="1">
      <c r="A112" s="206"/>
      <c r="B112" s="209"/>
      <c r="C112" s="86"/>
      <c r="D112" s="85"/>
      <c r="E112" s="244"/>
      <c r="F112" s="244"/>
      <c r="G112" s="50">
        <f t="shared" si="2"/>
        <v>0</v>
      </c>
      <c r="H112" s="52"/>
      <c r="I112" s="956"/>
      <c r="J112" s="957"/>
      <c r="K112" s="957"/>
      <c r="L112" s="957"/>
      <c r="M112" s="957"/>
      <c r="N112" s="957"/>
      <c r="O112" s="957"/>
      <c r="P112" s="957"/>
      <c r="Q112" s="957"/>
      <c r="R112" s="958"/>
      <c r="T112" s="552"/>
    </row>
    <row r="113" spans="1:20" s="20" customFormat="1" ht="17.25" hidden="1" customHeight="1">
      <c r="A113" s="206"/>
      <c r="B113" s="209"/>
      <c r="C113" s="85" t="s">
        <v>415</v>
      </c>
      <c r="D113" s="57" t="s">
        <v>7</v>
      </c>
      <c r="E113" s="244">
        <v>0</v>
      </c>
      <c r="F113" s="244">
        <f>F114+F115</f>
        <v>0</v>
      </c>
      <c r="G113" s="50">
        <f t="shared" si="2"/>
        <v>0</v>
      </c>
      <c r="H113" s="52"/>
      <c r="I113" s="956"/>
      <c r="J113" s="957"/>
      <c r="K113" s="957"/>
      <c r="L113" s="957"/>
      <c r="M113" s="957"/>
      <c r="N113" s="957"/>
      <c r="O113" s="957"/>
      <c r="P113" s="957"/>
      <c r="Q113" s="957"/>
      <c r="R113" s="958"/>
      <c r="T113" s="552"/>
    </row>
    <row r="114" spans="1:20" s="20" customFormat="1" ht="17.25" hidden="1" customHeight="1">
      <c r="A114" s="206"/>
      <c r="B114" s="209"/>
      <c r="C114" s="208"/>
      <c r="D114" s="85" t="s">
        <v>415</v>
      </c>
      <c r="E114" s="244"/>
      <c r="F114" s="244"/>
      <c r="G114" s="50">
        <f t="shared" si="2"/>
        <v>0</v>
      </c>
      <c r="H114" s="52"/>
      <c r="I114" s="956"/>
      <c r="J114" s="957"/>
      <c r="K114" s="957"/>
      <c r="L114" s="957"/>
      <c r="M114" s="957"/>
      <c r="N114" s="957"/>
      <c r="O114" s="957"/>
      <c r="P114" s="957"/>
      <c r="Q114" s="957"/>
      <c r="R114" s="958"/>
      <c r="T114" s="552"/>
    </row>
    <row r="115" spans="1:20" s="20" customFormat="1" ht="17.25" hidden="1" customHeight="1">
      <c r="A115" s="206"/>
      <c r="B115" s="214"/>
      <c r="C115" s="234"/>
      <c r="D115" s="85" t="s">
        <v>438</v>
      </c>
      <c r="E115" s="244"/>
      <c r="F115" s="244"/>
      <c r="G115" s="50">
        <f t="shared" si="2"/>
        <v>0</v>
      </c>
      <c r="H115" s="52"/>
      <c r="I115" s="956"/>
      <c r="J115" s="957"/>
      <c r="K115" s="957"/>
      <c r="L115" s="957"/>
      <c r="M115" s="957"/>
      <c r="N115" s="957"/>
      <c r="O115" s="957"/>
      <c r="P115" s="957"/>
      <c r="Q115" s="957"/>
      <c r="R115" s="958"/>
      <c r="T115" s="552"/>
    </row>
    <row r="116" spans="1:20" s="20" customFormat="1" ht="17.25" hidden="1" customHeight="1">
      <c r="A116" s="243" t="s">
        <v>165</v>
      </c>
      <c r="B116" s="952" t="s">
        <v>187</v>
      </c>
      <c r="C116" s="953"/>
      <c r="D116" s="57"/>
      <c r="E116" s="244">
        <v>0</v>
      </c>
      <c r="F116" s="244">
        <f>F117</f>
        <v>0</v>
      </c>
      <c r="G116" s="50">
        <f t="shared" si="2"/>
        <v>0</v>
      </c>
      <c r="H116" s="52"/>
      <c r="I116" s="956"/>
      <c r="J116" s="957"/>
      <c r="K116" s="957"/>
      <c r="L116" s="957"/>
      <c r="M116" s="957"/>
      <c r="N116" s="957"/>
      <c r="O116" s="957"/>
      <c r="P116" s="957"/>
      <c r="Q116" s="957"/>
      <c r="R116" s="958"/>
      <c r="T116" s="552"/>
    </row>
    <row r="117" spans="1:20" s="20" customFormat="1" ht="17.25" hidden="1" customHeight="1">
      <c r="A117" s="261"/>
      <c r="B117" s="49" t="s">
        <v>165</v>
      </c>
      <c r="C117" s="86" t="s">
        <v>145</v>
      </c>
      <c r="D117" s="86"/>
      <c r="E117" s="244">
        <v>0</v>
      </c>
      <c r="F117" s="244">
        <f>SUM(F118)</f>
        <v>0</v>
      </c>
      <c r="G117" s="50">
        <f t="shared" si="2"/>
        <v>0</v>
      </c>
      <c r="H117" s="52"/>
      <c r="I117" s="975"/>
      <c r="J117" s="976"/>
      <c r="K117" s="976"/>
      <c r="L117" s="976"/>
      <c r="M117" s="976"/>
      <c r="N117" s="976"/>
      <c r="O117" s="976"/>
      <c r="P117" s="976"/>
      <c r="Q117" s="976"/>
      <c r="R117" s="977"/>
      <c r="T117" s="552"/>
    </row>
    <row r="118" spans="1:20" s="20" customFormat="1" ht="17.25" hidden="1" customHeight="1">
      <c r="A118" s="206"/>
      <c r="B118" s="213"/>
      <c r="C118" s="86" t="s">
        <v>166</v>
      </c>
      <c r="D118" s="86"/>
      <c r="E118" s="244">
        <v>0</v>
      </c>
      <c r="F118" s="244">
        <v>0</v>
      </c>
      <c r="G118" s="50">
        <f t="shared" si="2"/>
        <v>0</v>
      </c>
      <c r="H118" s="52"/>
      <c r="I118" s="975"/>
      <c r="J118" s="976"/>
      <c r="K118" s="976"/>
      <c r="L118" s="976"/>
      <c r="M118" s="976"/>
      <c r="N118" s="976"/>
      <c r="O118" s="976"/>
      <c r="P118" s="976"/>
      <c r="Q118" s="976"/>
      <c r="R118" s="977"/>
      <c r="T118" s="552"/>
    </row>
    <row r="119" spans="1:20" s="20" customFormat="1" ht="17.25" customHeight="1">
      <c r="A119" s="82" t="s">
        <v>167</v>
      </c>
      <c r="B119" s="952" t="s">
        <v>187</v>
      </c>
      <c r="C119" s="953"/>
      <c r="D119" s="86"/>
      <c r="E119" s="244">
        <v>639735</v>
      </c>
      <c r="F119" s="244">
        <f>F120</f>
        <v>692243</v>
      </c>
      <c r="G119" s="50">
        <f t="shared" si="2"/>
        <v>52508</v>
      </c>
      <c r="H119" s="52"/>
      <c r="I119" s="975"/>
      <c r="J119" s="976"/>
      <c r="K119" s="976"/>
      <c r="L119" s="976"/>
      <c r="M119" s="976"/>
      <c r="N119" s="976"/>
      <c r="O119" s="976"/>
      <c r="P119" s="976"/>
      <c r="Q119" s="976"/>
      <c r="R119" s="977"/>
      <c r="T119" s="552"/>
    </row>
    <row r="120" spans="1:20" s="20" customFormat="1" ht="17.25" customHeight="1">
      <c r="A120" s="205"/>
      <c r="B120" s="83" t="s">
        <v>167</v>
      </c>
      <c r="C120" s="83" t="s">
        <v>145</v>
      </c>
      <c r="D120" s="83"/>
      <c r="E120" s="280">
        <v>639735</v>
      </c>
      <c r="F120" s="280">
        <f>F121</f>
        <v>692243</v>
      </c>
      <c r="G120" s="50">
        <f t="shared" si="2"/>
        <v>52508</v>
      </c>
      <c r="H120" s="50"/>
      <c r="I120" s="956"/>
      <c r="J120" s="957"/>
      <c r="K120" s="957"/>
      <c r="L120" s="957"/>
      <c r="M120" s="957"/>
      <c r="N120" s="957"/>
      <c r="O120" s="957"/>
      <c r="P120" s="957"/>
      <c r="Q120" s="957"/>
      <c r="R120" s="958"/>
      <c r="T120" s="552"/>
    </row>
    <row r="121" spans="1:20" s="20" customFormat="1" ht="17.25" customHeight="1">
      <c r="A121" s="212"/>
      <c r="B121" s="83"/>
      <c r="C121" s="83" t="s">
        <v>167</v>
      </c>
      <c r="D121" s="83"/>
      <c r="E121" s="245">
        <v>639735</v>
      </c>
      <c r="F121" s="245">
        <v>692243</v>
      </c>
      <c r="G121" s="50">
        <f t="shared" si="2"/>
        <v>52508</v>
      </c>
      <c r="H121" s="50"/>
      <c r="I121" s="956"/>
      <c r="J121" s="978"/>
      <c r="K121" s="978"/>
      <c r="L121" s="978"/>
      <c r="M121" s="978"/>
      <c r="N121" s="978"/>
      <c r="O121" s="978"/>
      <c r="P121" s="978"/>
      <c r="Q121" s="978"/>
      <c r="R121" s="979"/>
      <c r="T121" s="552"/>
    </row>
    <row r="122" spans="1:20" s="20" customFormat="1" ht="17.25" customHeight="1">
      <c r="A122" s="243" t="s">
        <v>722</v>
      </c>
      <c r="B122" s="952" t="s">
        <v>187</v>
      </c>
      <c r="C122" s="953"/>
      <c r="D122" s="83"/>
      <c r="E122" s="280">
        <v>25617405</v>
      </c>
      <c r="F122" s="280">
        <f>F123</f>
        <v>25617405</v>
      </c>
      <c r="G122" s="50">
        <f t="shared" si="2"/>
        <v>0</v>
      </c>
      <c r="H122" s="51">
        <f>H123</f>
        <v>0</v>
      </c>
      <c r="I122" s="956"/>
      <c r="J122" s="978"/>
      <c r="K122" s="978"/>
      <c r="L122" s="978"/>
      <c r="M122" s="978"/>
      <c r="N122" s="978"/>
      <c r="O122" s="978"/>
      <c r="P122" s="978"/>
      <c r="Q122" s="978"/>
      <c r="R122" s="979"/>
      <c r="T122" s="552"/>
    </row>
    <row r="123" spans="1:20" s="20" customFormat="1" ht="17.25" customHeight="1">
      <c r="A123" s="261"/>
      <c r="B123" s="57" t="s">
        <v>169</v>
      </c>
      <c r="C123" s="83" t="s">
        <v>117</v>
      </c>
      <c r="D123" s="83"/>
      <c r="E123" s="244">
        <v>25617405</v>
      </c>
      <c r="F123" s="244">
        <f>F124</f>
        <v>25617405</v>
      </c>
      <c r="G123" s="50">
        <f t="shared" si="2"/>
        <v>0</v>
      </c>
      <c r="H123" s="52"/>
      <c r="I123" s="956"/>
      <c r="J123" s="978"/>
      <c r="K123" s="978"/>
      <c r="L123" s="978"/>
      <c r="M123" s="978"/>
      <c r="N123" s="978"/>
      <c r="O123" s="978"/>
      <c r="P123" s="978"/>
      <c r="Q123" s="978"/>
      <c r="R123" s="979"/>
      <c r="T123" s="552"/>
    </row>
    <row r="124" spans="1:20" s="20" customFormat="1" ht="17.25" customHeight="1">
      <c r="A124" s="215"/>
      <c r="B124" s="216"/>
      <c r="C124" s="246" t="s">
        <v>168</v>
      </c>
      <c r="D124" s="246"/>
      <c r="E124" s="247">
        <v>25617405</v>
      </c>
      <c r="F124" s="247">
        <f>다.보조금세입내역!F37</f>
        <v>25617405</v>
      </c>
      <c r="G124" s="260">
        <f>F124-E124</f>
        <v>0</v>
      </c>
      <c r="H124" s="89"/>
      <c r="I124" s="969"/>
      <c r="J124" s="1023"/>
      <c r="K124" s="1023"/>
      <c r="L124" s="1023"/>
      <c r="M124" s="1023"/>
      <c r="N124" s="1023"/>
      <c r="O124" s="1023"/>
      <c r="P124" s="1023"/>
      <c r="Q124" s="1023"/>
      <c r="R124" s="1024"/>
      <c r="T124" s="552"/>
    </row>
    <row r="125" spans="1:20" s="20" customFormat="1" ht="16.5" customHeight="1">
      <c r="A125" s="68"/>
      <c r="B125" s="68"/>
      <c r="C125" s="239"/>
      <c r="D125" s="239"/>
      <c r="E125" s="69">
        <f>E7+E47+E52+E116+E119+E122</f>
        <v>2382000000</v>
      </c>
      <c r="F125" s="69"/>
      <c r="G125" s="238"/>
      <c r="H125" s="70"/>
      <c r="I125" s="219"/>
      <c r="J125" s="255"/>
      <c r="K125" s="255"/>
      <c r="L125" s="255"/>
      <c r="M125" s="255"/>
      <c r="N125" s="255"/>
      <c r="O125" s="255"/>
      <c r="P125" s="255"/>
      <c r="Q125" s="255"/>
      <c r="R125" s="255"/>
      <c r="T125" s="552"/>
    </row>
    <row r="126" spans="1:20" s="21" customFormat="1" ht="12" customHeight="1">
      <c r="A126" s="46"/>
      <c r="B126" s="46"/>
      <c r="C126" s="46"/>
      <c r="D126" s="46"/>
      <c r="E126" s="76"/>
      <c r="F126" s="46"/>
      <c r="G126" s="270"/>
      <c r="H126" s="46"/>
      <c r="I126" s="46"/>
      <c r="J126" s="73"/>
      <c r="K126" s="73"/>
      <c r="L126" s="73"/>
      <c r="M126" s="73"/>
      <c r="N126" s="73"/>
      <c r="O126" s="73"/>
      <c r="P126" s="73"/>
      <c r="Q126" s="75"/>
      <c r="R126" s="73"/>
      <c r="T126" s="558"/>
    </row>
    <row r="127" spans="1:20" s="21" customFormat="1" ht="12" customHeight="1">
      <c r="A127" s="46"/>
      <c r="B127" s="46"/>
      <c r="C127" s="46"/>
      <c r="D127" s="46"/>
      <c r="E127" s="76"/>
      <c r="F127" s="46"/>
      <c r="G127" s="270"/>
      <c r="H127" s="46"/>
      <c r="I127" s="46"/>
      <c r="J127" s="73"/>
      <c r="K127" s="73"/>
      <c r="L127" s="73"/>
      <c r="M127" s="73"/>
      <c r="N127" s="73"/>
      <c r="O127" s="73"/>
      <c r="P127" s="73"/>
      <c r="Q127" s="75"/>
      <c r="R127" s="73"/>
      <c r="T127" s="558"/>
    </row>
    <row r="128" spans="1:20" s="21" customFormat="1" ht="12" customHeight="1">
      <c r="A128" s="46"/>
      <c r="B128" s="46"/>
      <c r="C128" s="46"/>
      <c r="D128" s="46"/>
      <c r="E128" s="76"/>
      <c r="F128" s="46"/>
      <c r="G128" s="270"/>
      <c r="H128" s="46"/>
      <c r="I128" s="46"/>
      <c r="J128" s="73"/>
      <c r="K128" s="73"/>
      <c r="L128" s="73"/>
      <c r="M128" s="73"/>
      <c r="N128" s="73"/>
      <c r="O128" s="73"/>
      <c r="P128" s="73"/>
      <c r="Q128" s="75"/>
      <c r="R128" s="73"/>
      <c r="T128" s="558"/>
    </row>
    <row r="129" spans="1:20" s="21" customFormat="1" ht="12" customHeight="1">
      <c r="A129" s="46"/>
      <c r="B129" s="46"/>
      <c r="C129" s="46"/>
      <c r="D129" s="46"/>
      <c r="E129" s="76"/>
      <c r="F129" s="46"/>
      <c r="G129" s="270"/>
      <c r="H129" s="46"/>
      <c r="I129" s="46"/>
      <c r="J129" s="73"/>
      <c r="K129" s="73"/>
      <c r="L129" s="73"/>
      <c r="M129" s="73"/>
      <c r="N129" s="73"/>
      <c r="O129" s="73"/>
      <c r="P129" s="73"/>
      <c r="Q129" s="75"/>
      <c r="R129" s="73"/>
      <c r="T129" s="558"/>
    </row>
    <row r="130" spans="1:20" s="21" customFormat="1" ht="12" customHeight="1">
      <c r="A130" s="46"/>
      <c r="B130" s="46"/>
      <c r="C130" s="46"/>
      <c r="D130" s="46"/>
      <c r="E130" s="76"/>
      <c r="F130" s="46"/>
      <c r="G130" s="270"/>
      <c r="H130" s="46"/>
      <c r="I130" s="46"/>
      <c r="J130" s="73"/>
      <c r="K130" s="73"/>
      <c r="L130" s="73"/>
      <c r="M130" s="73"/>
      <c r="N130" s="73"/>
      <c r="O130" s="73"/>
      <c r="P130" s="73"/>
      <c r="Q130" s="75"/>
      <c r="R130" s="73"/>
      <c r="T130" s="558"/>
    </row>
    <row r="131" spans="1:20" s="21" customFormat="1" ht="12" customHeight="1">
      <c r="A131" s="46"/>
      <c r="B131" s="46"/>
      <c r="C131" s="46"/>
      <c r="D131" s="46"/>
      <c r="E131" s="76"/>
      <c r="F131" s="46"/>
      <c r="G131" s="270"/>
      <c r="H131" s="46"/>
      <c r="I131" s="46"/>
      <c r="J131" s="73"/>
      <c r="K131" s="73"/>
      <c r="L131" s="73"/>
      <c r="M131" s="73"/>
      <c r="N131" s="73"/>
      <c r="O131" s="73"/>
      <c r="P131" s="73"/>
      <c r="Q131" s="75"/>
      <c r="R131" s="73"/>
      <c r="T131" s="558"/>
    </row>
    <row r="132" spans="1:20" s="21" customFormat="1" ht="12" customHeight="1">
      <c r="A132" s="46"/>
      <c r="B132" s="46"/>
      <c r="C132" s="46"/>
      <c r="D132" s="46"/>
      <c r="E132" s="76"/>
      <c r="F132" s="46"/>
      <c r="G132" s="270"/>
      <c r="H132" s="46"/>
      <c r="I132" s="46"/>
      <c r="J132" s="73"/>
      <c r="K132" s="73"/>
      <c r="L132" s="73"/>
      <c r="M132" s="73"/>
      <c r="N132" s="73"/>
      <c r="O132" s="73"/>
      <c r="P132" s="73"/>
      <c r="Q132" s="75"/>
      <c r="R132" s="73"/>
      <c r="T132" s="558"/>
    </row>
    <row r="133" spans="1:20" s="21" customFormat="1" ht="12" customHeight="1">
      <c r="A133" s="46"/>
      <c r="B133" s="46"/>
      <c r="C133" s="46"/>
      <c r="D133" s="46"/>
      <c r="E133" s="76"/>
      <c r="F133" s="46"/>
      <c r="G133" s="267"/>
      <c r="H133" s="46"/>
      <c r="I133" s="46"/>
      <c r="J133" s="73"/>
      <c r="K133" s="73"/>
      <c r="L133" s="73"/>
      <c r="M133" s="73"/>
      <c r="N133" s="73"/>
      <c r="O133" s="73"/>
      <c r="P133" s="73"/>
      <c r="Q133" s="75"/>
      <c r="R133" s="73"/>
      <c r="T133" s="558"/>
    </row>
    <row r="134" spans="1:20" s="21" customFormat="1" ht="12" customHeight="1">
      <c r="A134" s="46"/>
      <c r="B134" s="46"/>
      <c r="C134" s="46"/>
      <c r="D134" s="46"/>
      <c r="E134" s="76"/>
      <c r="F134" s="46"/>
      <c r="G134" s="267"/>
      <c r="H134" s="46"/>
      <c r="I134" s="46"/>
      <c r="J134" s="73"/>
      <c r="K134" s="73"/>
      <c r="L134" s="73"/>
      <c r="M134" s="73"/>
      <c r="N134" s="73"/>
      <c r="O134" s="73"/>
      <c r="P134" s="73"/>
      <c r="Q134" s="75"/>
      <c r="R134" s="73"/>
      <c r="T134" s="558"/>
    </row>
    <row r="135" spans="1:20" s="21" customFormat="1" ht="12" customHeight="1">
      <c r="A135" s="46"/>
      <c r="B135" s="46"/>
      <c r="C135" s="46"/>
      <c r="D135" s="46"/>
      <c r="E135" s="76"/>
      <c r="F135" s="46"/>
      <c r="G135" s="267"/>
      <c r="H135" s="46"/>
      <c r="I135" s="46"/>
      <c r="J135" s="73"/>
      <c r="K135" s="73"/>
      <c r="L135" s="73"/>
      <c r="M135" s="73"/>
      <c r="N135" s="73"/>
      <c r="O135" s="73"/>
      <c r="P135" s="73"/>
      <c r="Q135" s="75"/>
      <c r="R135" s="73"/>
      <c r="T135" s="558"/>
    </row>
    <row r="136" spans="1:20" s="21" customFormat="1" ht="12" customHeight="1">
      <c r="A136" s="46"/>
      <c r="B136" s="46"/>
      <c r="C136" s="46"/>
      <c r="D136" s="46"/>
      <c r="E136" s="76"/>
      <c r="F136" s="46"/>
      <c r="G136" s="267"/>
      <c r="H136" s="46"/>
      <c r="I136" s="46"/>
      <c r="J136" s="73"/>
      <c r="K136" s="73"/>
      <c r="L136" s="73"/>
      <c r="M136" s="73"/>
      <c r="N136" s="73"/>
      <c r="O136" s="73"/>
      <c r="P136" s="73"/>
      <c r="Q136" s="75"/>
      <c r="R136" s="73"/>
      <c r="T136" s="558"/>
    </row>
    <row r="137" spans="1:20" s="21" customFormat="1" ht="12" customHeight="1">
      <c r="A137" s="46"/>
      <c r="B137" s="46"/>
      <c r="C137" s="46"/>
      <c r="D137" s="46"/>
      <c r="E137" s="76"/>
      <c r="F137" s="46"/>
      <c r="G137" s="267"/>
      <c r="H137" s="46"/>
      <c r="I137" s="46"/>
      <c r="J137" s="73"/>
      <c r="K137" s="73"/>
      <c r="L137" s="73"/>
      <c r="M137" s="73"/>
      <c r="N137" s="73"/>
      <c r="O137" s="73"/>
      <c r="P137" s="73"/>
      <c r="Q137" s="75"/>
      <c r="R137" s="73"/>
      <c r="T137" s="558"/>
    </row>
    <row r="138" spans="1:20" s="21" customFormat="1" ht="12" customHeight="1">
      <c r="A138" s="46"/>
      <c r="B138" s="46"/>
      <c r="C138" s="46"/>
      <c r="D138" s="46"/>
      <c r="E138" s="76"/>
      <c r="F138" s="46"/>
      <c r="G138" s="267"/>
      <c r="H138" s="46"/>
      <c r="I138" s="46"/>
      <c r="J138" s="73"/>
      <c r="K138" s="73"/>
      <c r="L138" s="73"/>
      <c r="M138" s="73"/>
      <c r="N138" s="73"/>
      <c r="O138" s="73"/>
      <c r="P138" s="73"/>
      <c r="Q138" s="75"/>
      <c r="R138" s="73"/>
      <c r="T138" s="558"/>
    </row>
    <row r="139" spans="1:20" s="21" customFormat="1" ht="12" customHeight="1">
      <c r="A139" s="46"/>
      <c r="B139" s="46"/>
      <c r="C139" s="46"/>
      <c r="D139" s="46"/>
      <c r="E139" s="76"/>
      <c r="F139" s="46"/>
      <c r="G139" s="267"/>
      <c r="H139" s="46"/>
      <c r="I139" s="46"/>
      <c r="J139" s="73"/>
      <c r="K139" s="73"/>
      <c r="L139" s="73"/>
      <c r="M139" s="73"/>
      <c r="N139" s="73"/>
      <c r="O139" s="73"/>
      <c r="P139" s="73"/>
      <c r="Q139" s="75"/>
      <c r="R139" s="73"/>
      <c r="T139" s="558"/>
    </row>
    <row r="140" spans="1:20" s="21" customFormat="1" ht="12" customHeight="1">
      <c r="A140" s="46"/>
      <c r="B140" s="46"/>
      <c r="C140" s="46"/>
      <c r="D140" s="46"/>
      <c r="E140" s="76"/>
      <c r="F140" s="46"/>
      <c r="G140" s="267"/>
      <c r="H140" s="46"/>
      <c r="I140" s="46"/>
      <c r="J140" s="73"/>
      <c r="K140" s="73"/>
      <c r="L140" s="73"/>
      <c r="M140" s="73"/>
      <c r="N140" s="73"/>
      <c r="O140" s="73"/>
      <c r="P140" s="73"/>
      <c r="Q140" s="75"/>
      <c r="R140" s="73"/>
      <c r="T140" s="558"/>
    </row>
    <row r="141" spans="1:20" s="21" customFormat="1" ht="12" customHeight="1">
      <c r="A141" s="46"/>
      <c r="B141" s="46"/>
      <c r="C141" s="46"/>
      <c r="D141" s="46"/>
      <c r="E141" s="76"/>
      <c r="F141" s="46"/>
      <c r="G141" s="267"/>
      <c r="H141" s="46"/>
      <c r="I141" s="46"/>
      <c r="J141" s="73"/>
      <c r="K141" s="73"/>
      <c r="L141" s="73"/>
      <c r="M141" s="73"/>
      <c r="N141" s="73"/>
      <c r="O141" s="73"/>
      <c r="P141" s="73"/>
      <c r="Q141" s="75"/>
      <c r="R141" s="73"/>
      <c r="T141" s="558"/>
    </row>
    <row r="142" spans="1:20" s="21" customFormat="1" ht="12" customHeight="1">
      <c r="A142" s="46"/>
      <c r="B142" s="46"/>
      <c r="C142" s="46"/>
      <c r="D142" s="46"/>
      <c r="E142" s="76"/>
      <c r="F142" s="46"/>
      <c r="G142" s="267"/>
      <c r="H142" s="46"/>
      <c r="I142" s="46"/>
      <c r="J142" s="73"/>
      <c r="K142" s="73"/>
      <c r="L142" s="73"/>
      <c r="M142" s="73"/>
      <c r="N142" s="73"/>
      <c r="O142" s="73"/>
      <c r="P142" s="73"/>
      <c r="Q142" s="75"/>
      <c r="R142" s="73"/>
      <c r="T142" s="558"/>
    </row>
    <row r="143" spans="1:20" s="21" customFormat="1" ht="12" customHeight="1">
      <c r="A143" s="46"/>
      <c r="B143" s="46"/>
      <c r="C143" s="46"/>
      <c r="D143" s="46"/>
      <c r="E143" s="76"/>
      <c r="F143" s="46"/>
      <c r="G143" s="267"/>
      <c r="H143" s="46"/>
      <c r="I143" s="46"/>
      <c r="J143" s="73"/>
      <c r="K143" s="73"/>
      <c r="L143" s="73"/>
      <c r="M143" s="73"/>
      <c r="N143" s="73"/>
      <c r="O143" s="73"/>
      <c r="P143" s="73"/>
      <c r="Q143" s="75"/>
      <c r="R143" s="73"/>
      <c r="T143" s="558"/>
    </row>
    <row r="144" spans="1:20" s="21" customFormat="1" ht="12" customHeight="1">
      <c r="A144" s="46"/>
      <c r="B144" s="46"/>
      <c r="C144" s="46"/>
      <c r="D144" s="46"/>
      <c r="E144" s="76"/>
      <c r="F144" s="46"/>
      <c r="G144" s="267"/>
      <c r="H144" s="46"/>
      <c r="I144" s="46"/>
      <c r="J144" s="73"/>
      <c r="K144" s="73"/>
      <c r="L144" s="73"/>
      <c r="M144" s="73"/>
      <c r="N144" s="73"/>
      <c r="O144" s="73"/>
      <c r="P144" s="73"/>
      <c r="Q144" s="75"/>
      <c r="R144" s="73"/>
      <c r="T144" s="558"/>
    </row>
    <row r="145" spans="1:20" s="21" customFormat="1" ht="12" customHeight="1">
      <c r="A145" s="46"/>
      <c r="B145" s="46"/>
      <c r="C145" s="46"/>
      <c r="D145" s="46"/>
      <c r="E145" s="76"/>
      <c r="F145" s="46"/>
      <c r="G145" s="267"/>
      <c r="H145" s="46"/>
      <c r="I145" s="46"/>
      <c r="J145" s="73"/>
      <c r="K145" s="73"/>
      <c r="L145" s="73"/>
      <c r="M145" s="73"/>
      <c r="N145" s="73"/>
      <c r="O145" s="73"/>
      <c r="P145" s="73"/>
      <c r="Q145" s="75"/>
      <c r="R145" s="73"/>
      <c r="T145" s="558"/>
    </row>
    <row r="146" spans="1:20" s="21" customFormat="1" ht="12" customHeight="1">
      <c r="A146" s="46"/>
      <c r="B146" s="46"/>
      <c r="C146" s="46"/>
      <c r="D146" s="46"/>
      <c r="E146" s="76"/>
      <c r="F146" s="46"/>
      <c r="G146" s="267"/>
      <c r="H146" s="46"/>
      <c r="I146" s="46"/>
      <c r="J146" s="73"/>
      <c r="K146" s="73"/>
      <c r="L146" s="73"/>
      <c r="M146" s="73"/>
      <c r="N146" s="73"/>
      <c r="O146" s="73"/>
      <c r="P146" s="73"/>
      <c r="Q146" s="75"/>
      <c r="R146" s="73"/>
      <c r="T146" s="558"/>
    </row>
    <row r="147" spans="1:20" s="21" customFormat="1" ht="12" customHeight="1">
      <c r="A147" s="46"/>
      <c r="B147" s="46"/>
      <c r="C147" s="46"/>
      <c r="D147" s="46"/>
      <c r="E147" s="76"/>
      <c r="F147" s="46"/>
      <c r="G147" s="267"/>
      <c r="H147" s="46"/>
      <c r="I147" s="46"/>
      <c r="J147" s="73"/>
      <c r="K147" s="73"/>
      <c r="L147" s="73"/>
      <c r="M147" s="73"/>
      <c r="N147" s="73"/>
      <c r="O147" s="73"/>
      <c r="P147" s="73"/>
      <c r="Q147" s="75"/>
      <c r="R147" s="73"/>
      <c r="T147" s="558"/>
    </row>
    <row r="148" spans="1:20" s="21" customFormat="1" ht="12" customHeight="1">
      <c r="A148" s="46"/>
      <c r="B148" s="46"/>
      <c r="C148" s="46"/>
      <c r="D148" s="46"/>
      <c r="E148" s="76"/>
      <c r="F148" s="46"/>
      <c r="G148" s="267"/>
      <c r="H148" s="46"/>
      <c r="I148" s="46"/>
      <c r="J148" s="73"/>
      <c r="K148" s="73"/>
      <c r="L148" s="73"/>
      <c r="M148" s="73"/>
      <c r="N148" s="73"/>
      <c r="O148" s="73"/>
      <c r="P148" s="73"/>
      <c r="Q148" s="75"/>
      <c r="R148" s="73"/>
      <c r="T148" s="558"/>
    </row>
    <row r="149" spans="1:20" s="21" customFormat="1" ht="12" customHeight="1">
      <c r="A149" s="46"/>
      <c r="B149" s="46"/>
      <c r="C149" s="46"/>
      <c r="D149" s="46"/>
      <c r="E149" s="76"/>
      <c r="F149" s="46"/>
      <c r="G149" s="267"/>
      <c r="H149" s="46"/>
      <c r="I149" s="46"/>
      <c r="J149" s="73"/>
      <c r="K149" s="73"/>
      <c r="L149" s="73"/>
      <c r="M149" s="73"/>
      <c r="N149" s="73"/>
      <c r="O149" s="73"/>
      <c r="P149" s="73"/>
      <c r="Q149" s="75"/>
      <c r="R149" s="73"/>
      <c r="T149" s="558"/>
    </row>
    <row r="150" spans="1:20" s="21" customFormat="1" ht="12" customHeight="1">
      <c r="A150" s="46"/>
      <c r="B150" s="46"/>
      <c r="C150" s="46"/>
      <c r="D150" s="46"/>
      <c r="E150" s="76"/>
      <c r="F150" s="46"/>
      <c r="G150" s="267"/>
      <c r="H150" s="46"/>
      <c r="I150" s="46"/>
      <c r="J150" s="73"/>
      <c r="K150" s="73"/>
      <c r="L150" s="73"/>
      <c r="M150" s="73"/>
      <c r="N150" s="73"/>
      <c r="O150" s="73"/>
      <c r="P150" s="73"/>
      <c r="Q150" s="75"/>
      <c r="R150" s="73"/>
      <c r="T150" s="558"/>
    </row>
    <row r="151" spans="1:20" s="21" customFormat="1" ht="12" customHeight="1">
      <c r="A151" s="46"/>
      <c r="B151" s="46"/>
      <c r="C151" s="46"/>
      <c r="D151" s="46"/>
      <c r="E151" s="76"/>
      <c r="F151" s="46"/>
      <c r="G151" s="267"/>
      <c r="H151" s="46"/>
      <c r="I151" s="46"/>
      <c r="J151" s="73"/>
      <c r="K151" s="73"/>
      <c r="L151" s="73"/>
      <c r="M151" s="73"/>
      <c r="N151" s="73"/>
      <c r="O151" s="73"/>
      <c r="P151" s="73"/>
      <c r="Q151" s="75"/>
      <c r="R151" s="73"/>
      <c r="T151" s="558"/>
    </row>
    <row r="152" spans="1:20" s="21" customFormat="1" ht="12" customHeight="1">
      <c r="A152" s="46"/>
      <c r="B152" s="46"/>
      <c r="C152" s="46"/>
      <c r="D152" s="46"/>
      <c r="E152" s="76"/>
      <c r="F152" s="46"/>
      <c r="G152" s="267"/>
      <c r="H152" s="46"/>
      <c r="I152" s="46"/>
      <c r="J152" s="73"/>
      <c r="K152" s="73"/>
      <c r="L152" s="73"/>
      <c r="M152" s="73"/>
      <c r="N152" s="73"/>
      <c r="O152" s="73"/>
      <c r="P152" s="73"/>
      <c r="Q152" s="75"/>
      <c r="R152" s="73"/>
      <c r="T152" s="558"/>
    </row>
    <row r="153" spans="1:20" s="21" customFormat="1" ht="12" customHeight="1">
      <c r="A153" s="46"/>
      <c r="B153" s="46"/>
      <c r="C153" s="46"/>
      <c r="D153" s="46"/>
      <c r="E153" s="76"/>
      <c r="F153" s="46"/>
      <c r="G153" s="267"/>
      <c r="H153" s="46"/>
      <c r="I153" s="46"/>
      <c r="J153" s="73"/>
      <c r="K153" s="73"/>
      <c r="L153" s="73"/>
      <c r="M153" s="73"/>
      <c r="N153" s="73"/>
      <c r="O153" s="73"/>
      <c r="P153" s="73"/>
      <c r="Q153" s="75"/>
      <c r="R153" s="73"/>
      <c r="T153" s="558"/>
    </row>
    <row r="154" spans="1:20" s="21" customFormat="1" ht="12" customHeight="1">
      <c r="A154" s="46"/>
      <c r="B154" s="46"/>
      <c r="C154" s="46"/>
      <c r="D154" s="46"/>
      <c r="E154" s="76"/>
      <c r="F154" s="46"/>
      <c r="G154" s="267"/>
      <c r="H154" s="46"/>
      <c r="I154" s="46"/>
      <c r="J154" s="73"/>
      <c r="K154" s="73"/>
      <c r="L154" s="73"/>
      <c r="M154" s="73"/>
      <c r="N154" s="73"/>
      <c r="O154" s="73"/>
      <c r="P154" s="73"/>
      <c r="Q154" s="75"/>
      <c r="R154" s="73"/>
      <c r="T154" s="558"/>
    </row>
    <row r="155" spans="1:20" s="21" customFormat="1" ht="12" customHeight="1">
      <c r="A155" s="46"/>
      <c r="B155" s="46"/>
      <c r="C155" s="46"/>
      <c r="D155" s="46"/>
      <c r="E155" s="76"/>
      <c r="F155" s="46"/>
      <c r="G155" s="267"/>
      <c r="H155" s="46"/>
      <c r="I155" s="46"/>
      <c r="J155" s="73"/>
      <c r="K155" s="73"/>
      <c r="L155" s="73"/>
      <c r="M155" s="73"/>
      <c r="N155" s="73"/>
      <c r="O155" s="73"/>
      <c r="P155" s="73"/>
      <c r="Q155" s="75"/>
      <c r="R155" s="73"/>
      <c r="T155" s="558"/>
    </row>
    <row r="156" spans="1:20" s="21" customFormat="1" ht="12" customHeight="1">
      <c r="A156" s="46"/>
      <c r="B156" s="46"/>
      <c r="C156" s="46"/>
      <c r="D156" s="46"/>
      <c r="E156" s="76"/>
      <c r="F156" s="46"/>
      <c r="G156" s="267"/>
      <c r="H156" s="46"/>
      <c r="I156" s="46"/>
      <c r="J156" s="73"/>
      <c r="K156" s="73"/>
      <c r="L156" s="73"/>
      <c r="M156" s="73"/>
      <c r="N156" s="73"/>
      <c r="O156" s="73"/>
      <c r="P156" s="73"/>
      <c r="Q156" s="75"/>
      <c r="R156" s="73"/>
      <c r="T156" s="558"/>
    </row>
    <row r="157" spans="1:20" s="21" customFormat="1" ht="12" customHeight="1">
      <c r="A157" s="46"/>
      <c r="B157" s="46"/>
      <c r="C157" s="46"/>
      <c r="D157" s="46"/>
      <c r="E157" s="76"/>
      <c r="F157" s="46"/>
      <c r="G157" s="267"/>
      <c r="H157" s="46"/>
      <c r="I157" s="46"/>
      <c r="J157" s="73"/>
      <c r="K157" s="73"/>
      <c r="L157" s="73"/>
      <c r="M157" s="73"/>
      <c r="N157" s="73"/>
      <c r="O157" s="73"/>
      <c r="P157" s="73"/>
      <c r="Q157" s="75"/>
      <c r="R157" s="73"/>
      <c r="T157" s="558"/>
    </row>
    <row r="158" spans="1:20" s="21" customFormat="1" ht="12" customHeight="1">
      <c r="A158" s="46"/>
      <c r="B158" s="46"/>
      <c r="C158" s="46"/>
      <c r="D158" s="46"/>
      <c r="E158" s="76"/>
      <c r="F158" s="46"/>
      <c r="G158" s="267"/>
      <c r="H158" s="46"/>
      <c r="I158" s="46"/>
      <c r="J158" s="73"/>
      <c r="K158" s="73"/>
      <c r="L158" s="73"/>
      <c r="M158" s="73"/>
      <c r="N158" s="73"/>
      <c r="O158" s="73"/>
      <c r="P158" s="73"/>
      <c r="Q158" s="75"/>
      <c r="R158" s="73"/>
      <c r="T158" s="558"/>
    </row>
    <row r="159" spans="1:20" s="21" customFormat="1" ht="12" customHeight="1">
      <c r="A159" s="46"/>
      <c r="B159" s="46"/>
      <c r="C159" s="46"/>
      <c r="D159" s="46"/>
      <c r="E159" s="76"/>
      <c r="F159" s="46"/>
      <c r="G159" s="267"/>
      <c r="H159" s="46"/>
      <c r="I159" s="46"/>
      <c r="J159" s="73"/>
      <c r="K159" s="73"/>
      <c r="L159" s="73"/>
      <c r="M159" s="73"/>
      <c r="N159" s="73"/>
      <c r="O159" s="73"/>
      <c r="P159" s="73"/>
      <c r="Q159" s="75"/>
      <c r="R159" s="73"/>
      <c r="T159" s="558"/>
    </row>
    <row r="160" spans="1:20" s="21" customFormat="1" ht="12" customHeight="1">
      <c r="A160" s="46"/>
      <c r="B160" s="46"/>
      <c r="C160" s="46"/>
      <c r="D160" s="46"/>
      <c r="E160" s="76"/>
      <c r="F160" s="46"/>
      <c r="G160" s="267"/>
      <c r="H160" s="46"/>
      <c r="I160" s="46"/>
      <c r="J160" s="73"/>
      <c r="K160" s="73"/>
      <c r="L160" s="73"/>
      <c r="M160" s="73"/>
      <c r="N160" s="73"/>
      <c r="O160" s="73"/>
      <c r="P160" s="73"/>
      <c r="Q160" s="75"/>
      <c r="R160" s="73"/>
      <c r="T160" s="558"/>
    </row>
    <row r="161" spans="1:20" s="21" customFormat="1" ht="12" customHeight="1">
      <c r="A161" s="46"/>
      <c r="B161" s="46"/>
      <c r="C161" s="46"/>
      <c r="D161" s="46"/>
      <c r="E161" s="76"/>
      <c r="F161" s="46"/>
      <c r="G161" s="267"/>
      <c r="H161" s="46"/>
      <c r="I161" s="46"/>
      <c r="J161" s="73"/>
      <c r="K161" s="73"/>
      <c r="L161" s="73"/>
      <c r="M161" s="73"/>
      <c r="N161" s="73"/>
      <c r="O161" s="73"/>
      <c r="P161" s="73"/>
      <c r="Q161" s="75"/>
      <c r="R161" s="73"/>
      <c r="T161" s="558"/>
    </row>
    <row r="162" spans="1:20" s="21" customFormat="1" ht="12" customHeight="1">
      <c r="A162" s="46"/>
      <c r="B162" s="46"/>
      <c r="C162" s="46"/>
      <c r="D162" s="46"/>
      <c r="E162" s="76"/>
      <c r="F162" s="46"/>
      <c r="G162" s="267"/>
      <c r="H162" s="46"/>
      <c r="I162" s="46"/>
      <c r="J162" s="73"/>
      <c r="K162" s="73"/>
      <c r="L162" s="73"/>
      <c r="M162" s="73"/>
      <c r="N162" s="73"/>
      <c r="O162" s="73"/>
      <c r="P162" s="73"/>
      <c r="Q162" s="75"/>
      <c r="R162" s="73"/>
      <c r="T162" s="558"/>
    </row>
    <row r="163" spans="1:20" s="21" customFormat="1" ht="12" customHeight="1">
      <c r="A163" s="46"/>
      <c r="B163" s="46"/>
      <c r="C163" s="46"/>
      <c r="D163" s="46"/>
      <c r="E163" s="76"/>
      <c r="F163" s="46"/>
      <c r="G163" s="267"/>
      <c r="H163" s="46"/>
      <c r="I163" s="46"/>
      <c r="J163" s="73"/>
      <c r="K163" s="73"/>
      <c r="L163" s="73"/>
      <c r="M163" s="73"/>
      <c r="N163" s="73"/>
      <c r="O163" s="73"/>
      <c r="P163" s="73"/>
      <c r="Q163" s="75"/>
      <c r="R163" s="73"/>
      <c r="T163" s="558"/>
    </row>
    <row r="164" spans="1:20" s="21" customFormat="1" ht="12" customHeight="1">
      <c r="A164" s="46"/>
      <c r="B164" s="46"/>
      <c r="C164" s="46"/>
      <c r="D164" s="46"/>
      <c r="E164" s="76"/>
      <c r="F164" s="46"/>
      <c r="G164" s="267"/>
      <c r="H164" s="46"/>
      <c r="I164" s="46"/>
      <c r="J164" s="73"/>
      <c r="K164" s="73"/>
      <c r="L164" s="73"/>
      <c r="M164" s="73"/>
      <c r="N164" s="73"/>
      <c r="O164" s="73"/>
      <c r="P164" s="73"/>
      <c r="Q164" s="75"/>
      <c r="R164" s="73"/>
      <c r="T164" s="558"/>
    </row>
    <row r="165" spans="1:20" s="21" customFormat="1" ht="12" customHeight="1">
      <c r="A165" s="46"/>
      <c r="B165" s="46"/>
      <c r="C165" s="46"/>
      <c r="D165" s="46"/>
      <c r="E165" s="76"/>
      <c r="F165" s="46"/>
      <c r="G165" s="267"/>
      <c r="H165" s="46"/>
      <c r="I165" s="46"/>
      <c r="J165" s="73"/>
      <c r="K165" s="73"/>
      <c r="L165" s="73"/>
      <c r="M165" s="73"/>
      <c r="N165" s="73"/>
      <c r="O165" s="73"/>
      <c r="P165" s="73"/>
      <c r="Q165" s="75"/>
      <c r="R165" s="73"/>
      <c r="T165" s="558"/>
    </row>
    <row r="166" spans="1:20" s="21" customFormat="1" ht="12" customHeight="1">
      <c r="A166" s="46"/>
      <c r="B166" s="46"/>
      <c r="C166" s="46"/>
      <c r="D166" s="46"/>
      <c r="E166" s="76"/>
      <c r="F166" s="46"/>
      <c r="G166" s="267"/>
      <c r="H166" s="46"/>
      <c r="I166" s="46"/>
      <c r="J166" s="73"/>
      <c r="K166" s="73"/>
      <c r="L166" s="73"/>
      <c r="M166" s="73"/>
      <c r="N166" s="73"/>
      <c r="O166" s="73"/>
      <c r="P166" s="73"/>
      <c r="Q166" s="75"/>
      <c r="R166" s="73"/>
      <c r="T166" s="558"/>
    </row>
    <row r="167" spans="1:20" s="21" customFormat="1" ht="12" customHeight="1">
      <c r="A167" s="46"/>
      <c r="B167" s="46"/>
      <c r="C167" s="46"/>
      <c r="D167" s="46"/>
      <c r="E167" s="76"/>
      <c r="F167" s="46"/>
      <c r="G167" s="267"/>
      <c r="H167" s="46"/>
      <c r="I167" s="46"/>
      <c r="J167" s="73"/>
      <c r="K167" s="73"/>
      <c r="L167" s="73"/>
      <c r="M167" s="73"/>
      <c r="N167" s="73"/>
      <c r="O167" s="73"/>
      <c r="P167" s="73"/>
      <c r="Q167" s="75"/>
      <c r="R167" s="73"/>
      <c r="T167" s="558"/>
    </row>
    <row r="168" spans="1:20" s="21" customFormat="1" ht="12" customHeight="1">
      <c r="A168" s="46"/>
      <c r="B168" s="46"/>
      <c r="C168" s="46"/>
      <c r="D168" s="46"/>
      <c r="E168" s="76"/>
      <c r="F168" s="46"/>
      <c r="G168" s="267"/>
      <c r="H168" s="46"/>
      <c r="I168" s="46"/>
      <c r="J168" s="73"/>
      <c r="K168" s="73"/>
      <c r="L168" s="73"/>
      <c r="M168" s="73"/>
      <c r="N168" s="73"/>
      <c r="O168" s="73"/>
      <c r="P168" s="73"/>
      <c r="Q168" s="75"/>
      <c r="R168" s="73"/>
      <c r="T168" s="558"/>
    </row>
    <row r="169" spans="1:20" s="21" customFormat="1" ht="12" customHeight="1">
      <c r="A169" s="46"/>
      <c r="B169" s="46"/>
      <c r="C169" s="46"/>
      <c r="D169" s="46"/>
      <c r="E169" s="76"/>
      <c r="F169" s="46"/>
      <c r="G169" s="267"/>
      <c r="H169" s="46"/>
      <c r="I169" s="46"/>
      <c r="J169" s="73"/>
      <c r="K169" s="73"/>
      <c r="L169" s="73"/>
      <c r="M169" s="73"/>
      <c r="N169" s="73"/>
      <c r="O169" s="73"/>
      <c r="P169" s="73"/>
      <c r="Q169" s="75"/>
      <c r="R169" s="73"/>
      <c r="T169" s="558"/>
    </row>
    <row r="170" spans="1:20" s="21" customFormat="1" ht="12" customHeight="1">
      <c r="A170" s="46"/>
      <c r="B170" s="46"/>
      <c r="C170" s="46"/>
      <c r="D170" s="46"/>
      <c r="E170" s="76"/>
      <c r="F170" s="46"/>
      <c r="G170" s="267"/>
      <c r="H170" s="46"/>
      <c r="I170" s="46"/>
      <c r="J170" s="73"/>
      <c r="K170" s="73"/>
      <c r="L170" s="73"/>
      <c r="M170" s="73"/>
      <c r="N170" s="73"/>
      <c r="O170" s="73"/>
      <c r="P170" s="73"/>
      <c r="Q170" s="75"/>
      <c r="R170" s="73"/>
      <c r="T170" s="558"/>
    </row>
    <row r="171" spans="1:20" s="21" customFormat="1" ht="12" customHeight="1">
      <c r="A171" s="46"/>
      <c r="B171" s="46"/>
      <c r="C171" s="46"/>
      <c r="D171" s="46"/>
      <c r="E171" s="76"/>
      <c r="F171" s="46"/>
      <c r="G171" s="267"/>
      <c r="H171" s="46"/>
      <c r="I171" s="46"/>
      <c r="J171" s="73"/>
      <c r="K171" s="73"/>
      <c r="L171" s="73"/>
      <c r="M171" s="73"/>
      <c r="N171" s="73"/>
      <c r="O171" s="73"/>
      <c r="P171" s="73"/>
      <c r="Q171" s="75"/>
      <c r="R171" s="73"/>
      <c r="T171" s="558"/>
    </row>
    <row r="172" spans="1:20" s="21" customFormat="1" ht="12" customHeight="1">
      <c r="A172" s="46"/>
      <c r="B172" s="46"/>
      <c r="C172" s="46"/>
      <c r="D172" s="46"/>
      <c r="E172" s="76"/>
      <c r="F172" s="46"/>
      <c r="G172" s="267"/>
      <c r="H172" s="46"/>
      <c r="I172" s="46"/>
      <c r="J172" s="73"/>
      <c r="K172" s="73"/>
      <c r="L172" s="73"/>
      <c r="M172" s="73"/>
      <c r="N172" s="73"/>
      <c r="O172" s="73"/>
      <c r="P172" s="73"/>
      <c r="Q172" s="75"/>
      <c r="R172" s="73"/>
      <c r="T172" s="558"/>
    </row>
    <row r="173" spans="1:20" s="21" customFormat="1" ht="12" customHeight="1">
      <c r="A173" s="46"/>
      <c r="B173" s="46"/>
      <c r="C173" s="46"/>
      <c r="D173" s="46"/>
      <c r="E173" s="76"/>
      <c r="F173" s="46"/>
      <c r="G173" s="267"/>
      <c r="H173" s="46"/>
      <c r="I173" s="46"/>
      <c r="J173" s="73"/>
      <c r="K173" s="73"/>
      <c r="L173" s="73"/>
      <c r="M173" s="73"/>
      <c r="N173" s="73"/>
      <c r="O173" s="73"/>
      <c r="P173" s="73"/>
      <c r="Q173" s="75"/>
      <c r="R173" s="73"/>
      <c r="T173" s="558"/>
    </row>
    <row r="174" spans="1:20" s="21" customFormat="1" ht="12" customHeight="1">
      <c r="A174" s="46"/>
      <c r="B174" s="46"/>
      <c r="C174" s="46"/>
      <c r="D174" s="46"/>
      <c r="E174" s="76"/>
      <c r="F174" s="46"/>
      <c r="G174" s="267"/>
      <c r="H174" s="46"/>
      <c r="I174" s="46"/>
      <c r="J174" s="73"/>
      <c r="K174" s="73"/>
      <c r="L174" s="73"/>
      <c r="M174" s="73"/>
      <c r="N174" s="73"/>
      <c r="O174" s="73"/>
      <c r="P174" s="73"/>
      <c r="Q174" s="75"/>
      <c r="R174" s="73"/>
      <c r="T174" s="558"/>
    </row>
    <row r="175" spans="1:20" s="21" customFormat="1" ht="12" customHeight="1">
      <c r="A175" s="46"/>
      <c r="B175" s="46"/>
      <c r="C175" s="46"/>
      <c r="D175" s="46"/>
      <c r="E175" s="76"/>
      <c r="F175" s="46"/>
      <c r="G175" s="267"/>
      <c r="H175" s="46"/>
      <c r="I175" s="46"/>
      <c r="J175" s="73"/>
      <c r="K175" s="73"/>
      <c r="L175" s="73"/>
      <c r="M175" s="73"/>
      <c r="N175" s="73"/>
      <c r="O175" s="73"/>
      <c r="P175" s="73"/>
      <c r="Q175" s="75"/>
      <c r="R175" s="73"/>
      <c r="T175" s="558"/>
    </row>
    <row r="176" spans="1:20" s="21" customFormat="1" ht="12" customHeight="1">
      <c r="A176" s="46"/>
      <c r="B176" s="46"/>
      <c r="C176" s="46"/>
      <c r="D176" s="46"/>
      <c r="E176" s="76"/>
      <c r="F176" s="46"/>
      <c r="G176" s="267"/>
      <c r="H176" s="46"/>
      <c r="I176" s="46"/>
      <c r="J176" s="73"/>
      <c r="K176" s="73"/>
      <c r="L176" s="73"/>
      <c r="M176" s="73"/>
      <c r="N176" s="73"/>
      <c r="O176" s="73"/>
      <c r="P176" s="73"/>
      <c r="Q176" s="75"/>
      <c r="R176" s="73"/>
      <c r="T176" s="558"/>
    </row>
    <row r="177" spans="1:20" s="21" customFormat="1" ht="12" customHeight="1">
      <c r="A177" s="46"/>
      <c r="B177" s="46"/>
      <c r="C177" s="46"/>
      <c r="D177" s="46"/>
      <c r="E177" s="76"/>
      <c r="F177" s="46"/>
      <c r="G177" s="267"/>
      <c r="H177" s="46"/>
      <c r="I177" s="46"/>
      <c r="J177" s="73"/>
      <c r="K177" s="73"/>
      <c r="L177" s="73"/>
      <c r="M177" s="73"/>
      <c r="N177" s="73"/>
      <c r="O177" s="73"/>
      <c r="P177" s="73"/>
      <c r="Q177" s="75"/>
      <c r="R177" s="73"/>
      <c r="T177" s="558"/>
    </row>
    <row r="178" spans="1:20" s="21" customFormat="1" ht="12" customHeight="1">
      <c r="A178" s="46"/>
      <c r="B178" s="46"/>
      <c r="C178" s="46"/>
      <c r="D178" s="46"/>
      <c r="E178" s="76"/>
      <c r="F178" s="46"/>
      <c r="G178" s="267"/>
      <c r="H178" s="46"/>
      <c r="I178" s="46"/>
      <c r="J178" s="73"/>
      <c r="K178" s="73"/>
      <c r="L178" s="73"/>
      <c r="M178" s="73"/>
      <c r="N178" s="73"/>
      <c r="O178" s="73"/>
      <c r="P178" s="73"/>
      <c r="Q178" s="75"/>
      <c r="R178" s="73"/>
      <c r="T178" s="558"/>
    </row>
    <row r="179" spans="1:20" s="21" customFormat="1" ht="12" customHeight="1">
      <c r="A179" s="46"/>
      <c r="B179" s="46"/>
      <c r="C179" s="46"/>
      <c r="D179" s="46"/>
      <c r="E179" s="76"/>
      <c r="F179" s="46"/>
      <c r="G179" s="267"/>
      <c r="H179" s="46"/>
      <c r="I179" s="46"/>
      <c r="J179" s="73"/>
      <c r="K179" s="73"/>
      <c r="L179" s="73"/>
      <c r="M179" s="73"/>
      <c r="N179" s="73"/>
      <c r="O179" s="73"/>
      <c r="P179" s="73"/>
      <c r="Q179" s="75"/>
      <c r="R179" s="73"/>
      <c r="T179" s="558"/>
    </row>
    <row r="180" spans="1:20" s="21" customFormat="1" ht="12" customHeight="1">
      <c r="A180" s="46"/>
      <c r="B180" s="46"/>
      <c r="C180" s="46"/>
      <c r="D180" s="46"/>
      <c r="E180" s="76"/>
      <c r="F180" s="46"/>
      <c r="G180" s="267"/>
      <c r="H180" s="46"/>
      <c r="I180" s="46"/>
      <c r="J180" s="73"/>
      <c r="K180" s="73"/>
      <c r="L180" s="73"/>
      <c r="M180" s="73"/>
      <c r="N180" s="73"/>
      <c r="O180" s="73"/>
      <c r="P180" s="73"/>
      <c r="Q180" s="75"/>
      <c r="R180" s="73"/>
      <c r="T180" s="558"/>
    </row>
    <row r="181" spans="1:20" s="21" customFormat="1" ht="12" customHeight="1">
      <c r="A181" s="46"/>
      <c r="B181" s="46"/>
      <c r="C181" s="46"/>
      <c r="D181" s="46"/>
      <c r="E181" s="76"/>
      <c r="F181" s="46"/>
      <c r="G181" s="267"/>
      <c r="H181" s="46"/>
      <c r="I181" s="46"/>
      <c r="J181" s="73"/>
      <c r="K181" s="73"/>
      <c r="L181" s="73"/>
      <c r="M181" s="73"/>
      <c r="N181" s="73"/>
      <c r="O181" s="73"/>
      <c r="P181" s="73"/>
      <c r="Q181" s="75"/>
      <c r="R181" s="73"/>
      <c r="T181" s="558"/>
    </row>
    <row r="182" spans="1:20" s="21" customFormat="1" ht="12" customHeight="1">
      <c r="A182" s="46"/>
      <c r="B182" s="46"/>
      <c r="C182" s="46"/>
      <c r="D182" s="46"/>
      <c r="E182" s="76"/>
      <c r="F182" s="46"/>
      <c r="G182" s="267"/>
      <c r="H182" s="46"/>
      <c r="I182" s="46"/>
      <c r="J182" s="73"/>
      <c r="K182" s="73"/>
      <c r="L182" s="73"/>
      <c r="M182" s="73"/>
      <c r="N182" s="73"/>
      <c r="O182" s="73"/>
      <c r="P182" s="73"/>
      <c r="Q182" s="75"/>
      <c r="R182" s="73"/>
      <c r="T182" s="558"/>
    </row>
    <row r="183" spans="1:20" s="21" customFormat="1" ht="12" customHeight="1">
      <c r="A183" s="46"/>
      <c r="B183" s="46"/>
      <c r="C183" s="46"/>
      <c r="D183" s="46"/>
      <c r="E183" s="76"/>
      <c r="F183" s="46"/>
      <c r="G183" s="267"/>
      <c r="H183" s="46"/>
      <c r="I183" s="46"/>
      <c r="J183" s="73"/>
      <c r="K183" s="73"/>
      <c r="L183" s="73"/>
      <c r="M183" s="73"/>
      <c r="N183" s="73"/>
      <c r="O183" s="73"/>
      <c r="P183" s="73"/>
      <c r="Q183" s="75"/>
      <c r="R183" s="73"/>
      <c r="T183" s="558"/>
    </row>
    <row r="184" spans="1:20" s="21" customFormat="1" ht="12" customHeight="1">
      <c r="A184" s="46"/>
      <c r="B184" s="46"/>
      <c r="C184" s="46"/>
      <c r="D184" s="46"/>
      <c r="E184" s="76"/>
      <c r="F184" s="46"/>
      <c r="G184" s="267"/>
      <c r="H184" s="46"/>
      <c r="I184" s="46"/>
      <c r="J184" s="73"/>
      <c r="K184" s="73"/>
      <c r="L184" s="73"/>
      <c r="M184" s="73"/>
      <c r="N184" s="73"/>
      <c r="O184" s="73"/>
      <c r="P184" s="73"/>
      <c r="Q184" s="75"/>
      <c r="R184" s="73"/>
      <c r="T184" s="558"/>
    </row>
    <row r="185" spans="1:20" s="21" customFormat="1" ht="12" customHeight="1">
      <c r="A185" s="46"/>
      <c r="B185" s="46"/>
      <c r="C185" s="46"/>
      <c r="D185" s="46"/>
      <c r="E185" s="76"/>
      <c r="F185" s="46"/>
      <c r="G185" s="267"/>
      <c r="H185" s="46"/>
      <c r="I185" s="46"/>
      <c r="J185" s="73"/>
      <c r="K185" s="73"/>
      <c r="L185" s="73"/>
      <c r="M185" s="73"/>
      <c r="N185" s="73"/>
      <c r="O185" s="73"/>
      <c r="P185" s="73"/>
      <c r="Q185" s="75"/>
      <c r="R185" s="73"/>
      <c r="T185" s="558"/>
    </row>
    <row r="186" spans="1:20" s="21" customFormat="1" ht="12" customHeight="1">
      <c r="A186" s="46"/>
      <c r="B186" s="46"/>
      <c r="C186" s="46"/>
      <c r="D186" s="46"/>
      <c r="E186" s="76"/>
      <c r="F186" s="46"/>
      <c r="G186" s="267"/>
      <c r="H186" s="46"/>
      <c r="I186" s="46"/>
      <c r="J186" s="73"/>
      <c r="K186" s="73"/>
      <c r="L186" s="73"/>
      <c r="M186" s="73"/>
      <c r="N186" s="73"/>
      <c r="O186" s="73"/>
      <c r="P186" s="73"/>
      <c r="Q186" s="75"/>
      <c r="R186" s="73"/>
      <c r="T186" s="558"/>
    </row>
    <row r="187" spans="1:20" s="21" customFormat="1" ht="12" customHeight="1">
      <c r="A187" s="46"/>
      <c r="B187" s="46"/>
      <c r="C187" s="46"/>
      <c r="D187" s="46"/>
      <c r="E187" s="76"/>
      <c r="F187" s="46"/>
      <c r="G187" s="267"/>
      <c r="H187" s="46"/>
      <c r="I187" s="46"/>
      <c r="J187" s="73"/>
      <c r="K187" s="73"/>
      <c r="L187" s="73"/>
      <c r="M187" s="73"/>
      <c r="N187" s="73"/>
      <c r="O187" s="73"/>
      <c r="P187" s="73"/>
      <c r="Q187" s="75"/>
      <c r="R187" s="73"/>
      <c r="T187" s="558"/>
    </row>
    <row r="188" spans="1:20" s="21" customFormat="1" ht="12" customHeight="1">
      <c r="A188" s="46"/>
      <c r="B188" s="46"/>
      <c r="C188" s="46"/>
      <c r="D188" s="46"/>
      <c r="E188" s="76"/>
      <c r="F188" s="46"/>
      <c r="G188" s="267"/>
      <c r="H188" s="46"/>
      <c r="I188" s="46"/>
      <c r="J188" s="73"/>
      <c r="K188" s="73"/>
      <c r="L188" s="73"/>
      <c r="M188" s="73"/>
      <c r="N188" s="73"/>
      <c r="O188" s="73"/>
      <c r="P188" s="73"/>
      <c r="Q188" s="75"/>
      <c r="R188" s="73"/>
      <c r="T188" s="558"/>
    </row>
    <row r="189" spans="1:20" s="21" customFormat="1" ht="12" customHeight="1">
      <c r="A189" s="46"/>
      <c r="B189" s="46"/>
      <c r="C189" s="46"/>
      <c r="D189" s="46"/>
      <c r="E189" s="76"/>
      <c r="F189" s="46"/>
      <c r="G189" s="267"/>
      <c r="H189" s="46"/>
      <c r="I189" s="46"/>
      <c r="J189" s="73"/>
      <c r="K189" s="73"/>
      <c r="L189" s="73"/>
      <c r="M189" s="73"/>
      <c r="N189" s="73"/>
      <c r="O189" s="73"/>
      <c r="P189" s="73"/>
      <c r="Q189" s="75"/>
      <c r="R189" s="73"/>
      <c r="T189" s="558"/>
    </row>
    <row r="190" spans="1:20" s="21" customFormat="1" ht="12" customHeight="1">
      <c r="A190" s="46"/>
      <c r="B190" s="46"/>
      <c r="C190" s="46"/>
      <c r="D190" s="46"/>
      <c r="E190" s="76"/>
      <c r="F190" s="46"/>
      <c r="G190" s="267"/>
      <c r="H190" s="46"/>
      <c r="I190" s="46"/>
      <c r="J190" s="73"/>
      <c r="K190" s="73"/>
      <c r="L190" s="73"/>
      <c r="M190" s="73"/>
      <c r="N190" s="73"/>
      <c r="O190" s="73"/>
      <c r="P190" s="73"/>
      <c r="Q190" s="75"/>
      <c r="R190" s="73"/>
      <c r="T190" s="558"/>
    </row>
    <row r="191" spans="1:20" s="21" customFormat="1" ht="12" customHeight="1">
      <c r="A191" s="46"/>
      <c r="B191" s="46"/>
      <c r="C191" s="46"/>
      <c r="D191" s="46"/>
      <c r="E191" s="76"/>
      <c r="F191" s="46"/>
      <c r="G191" s="267"/>
      <c r="H191" s="46"/>
      <c r="I191" s="46"/>
      <c r="J191" s="73"/>
      <c r="K191" s="73"/>
      <c r="L191" s="73"/>
      <c r="M191" s="73"/>
      <c r="N191" s="73"/>
      <c r="O191" s="73"/>
      <c r="P191" s="73"/>
      <c r="Q191" s="75"/>
      <c r="R191" s="73"/>
      <c r="T191" s="558"/>
    </row>
    <row r="192" spans="1:20" s="21" customFormat="1" ht="12" customHeight="1">
      <c r="A192" s="46"/>
      <c r="B192" s="46"/>
      <c r="C192" s="46"/>
      <c r="D192" s="46"/>
      <c r="E192" s="76"/>
      <c r="F192" s="46"/>
      <c r="G192" s="267"/>
      <c r="H192" s="46"/>
      <c r="I192" s="46"/>
      <c r="J192" s="73"/>
      <c r="K192" s="73"/>
      <c r="L192" s="73"/>
      <c r="M192" s="73"/>
      <c r="N192" s="73"/>
      <c r="O192" s="73"/>
      <c r="P192" s="73"/>
      <c r="Q192" s="75"/>
      <c r="R192" s="73"/>
      <c r="T192" s="558"/>
    </row>
    <row r="193" spans="1:20" s="21" customFormat="1" ht="12" customHeight="1">
      <c r="A193" s="46"/>
      <c r="B193" s="46"/>
      <c r="C193" s="46"/>
      <c r="D193" s="46"/>
      <c r="E193" s="76"/>
      <c r="F193" s="46"/>
      <c r="G193" s="267"/>
      <c r="H193" s="46"/>
      <c r="I193" s="46"/>
      <c r="J193" s="73"/>
      <c r="K193" s="73"/>
      <c r="L193" s="73"/>
      <c r="M193" s="73"/>
      <c r="N193" s="73"/>
      <c r="O193" s="73"/>
      <c r="P193" s="73"/>
      <c r="Q193" s="75"/>
      <c r="R193" s="73"/>
      <c r="T193" s="558"/>
    </row>
    <row r="194" spans="1:20" s="21" customFormat="1" ht="12" customHeight="1">
      <c r="A194" s="46"/>
      <c r="B194" s="46"/>
      <c r="C194" s="46"/>
      <c r="D194" s="46"/>
      <c r="E194" s="76"/>
      <c r="F194" s="46"/>
      <c r="G194" s="267"/>
      <c r="H194" s="46"/>
      <c r="I194" s="46"/>
      <c r="J194" s="73"/>
      <c r="K194" s="73"/>
      <c r="L194" s="73"/>
      <c r="M194" s="73"/>
      <c r="N194" s="73"/>
      <c r="O194" s="73"/>
      <c r="P194" s="73"/>
      <c r="Q194" s="75"/>
      <c r="R194" s="73"/>
      <c r="T194" s="558"/>
    </row>
    <row r="195" spans="1:20" s="21" customFormat="1" ht="12" customHeight="1">
      <c r="A195" s="46"/>
      <c r="B195" s="46"/>
      <c r="C195" s="46"/>
      <c r="D195" s="46"/>
      <c r="E195" s="76"/>
      <c r="F195" s="46"/>
      <c r="G195" s="267"/>
      <c r="H195" s="46"/>
      <c r="I195" s="46"/>
      <c r="J195" s="73"/>
      <c r="K195" s="73"/>
      <c r="L195" s="73"/>
      <c r="M195" s="73"/>
      <c r="N195" s="73"/>
      <c r="O195" s="73"/>
      <c r="P195" s="73"/>
      <c r="Q195" s="75"/>
      <c r="R195" s="73"/>
      <c r="T195" s="558"/>
    </row>
    <row r="196" spans="1:20" s="21" customFormat="1" ht="12" customHeight="1">
      <c r="A196" s="46"/>
      <c r="B196" s="46"/>
      <c r="C196" s="46"/>
      <c r="D196" s="46"/>
      <c r="E196" s="76"/>
      <c r="F196" s="46"/>
      <c r="G196" s="267"/>
      <c r="H196" s="46"/>
      <c r="I196" s="46"/>
      <c r="J196" s="73"/>
      <c r="K196" s="73"/>
      <c r="L196" s="73"/>
      <c r="M196" s="73"/>
      <c r="N196" s="73"/>
      <c r="O196" s="73"/>
      <c r="P196" s="73"/>
      <c r="Q196" s="75"/>
      <c r="R196" s="73"/>
      <c r="T196" s="558"/>
    </row>
    <row r="197" spans="1:20" s="21" customFormat="1" ht="12" customHeight="1">
      <c r="A197" s="46"/>
      <c r="B197" s="46"/>
      <c r="C197" s="46"/>
      <c r="D197" s="46"/>
      <c r="E197" s="76"/>
      <c r="F197" s="46"/>
      <c r="G197" s="267"/>
      <c r="H197" s="46"/>
      <c r="I197" s="46"/>
      <c r="J197" s="73"/>
      <c r="K197" s="73"/>
      <c r="L197" s="73"/>
      <c r="M197" s="73"/>
      <c r="N197" s="73"/>
      <c r="O197" s="73"/>
      <c r="P197" s="73"/>
      <c r="Q197" s="75"/>
      <c r="R197" s="73"/>
      <c r="T197" s="558"/>
    </row>
    <row r="198" spans="1:20" s="21" customFormat="1" ht="12" customHeight="1">
      <c r="A198" s="46"/>
      <c r="B198" s="46"/>
      <c r="C198" s="46"/>
      <c r="D198" s="46"/>
      <c r="E198" s="76"/>
      <c r="F198" s="46"/>
      <c r="G198" s="267"/>
      <c r="H198" s="46"/>
      <c r="I198" s="46"/>
      <c r="J198" s="73"/>
      <c r="K198" s="73"/>
      <c r="L198" s="73"/>
      <c r="M198" s="73"/>
      <c r="N198" s="73"/>
      <c r="O198" s="73"/>
      <c r="P198" s="73"/>
      <c r="Q198" s="75"/>
      <c r="R198" s="73"/>
      <c r="T198" s="558"/>
    </row>
    <row r="199" spans="1:20" s="21" customFormat="1" ht="12" customHeight="1">
      <c r="A199" s="46"/>
      <c r="B199" s="46"/>
      <c r="C199" s="46"/>
      <c r="D199" s="46"/>
      <c r="E199" s="76"/>
      <c r="F199" s="46"/>
      <c r="G199" s="267"/>
      <c r="H199" s="46"/>
      <c r="I199" s="46"/>
      <c r="J199" s="73"/>
      <c r="K199" s="73"/>
      <c r="L199" s="73"/>
      <c r="M199" s="73"/>
      <c r="N199" s="73"/>
      <c r="O199" s="73"/>
      <c r="P199" s="73"/>
      <c r="Q199" s="75"/>
      <c r="R199" s="73"/>
      <c r="T199" s="558"/>
    </row>
    <row r="200" spans="1:20" s="21" customFormat="1" ht="12" customHeight="1">
      <c r="A200" s="46"/>
      <c r="B200" s="46"/>
      <c r="C200" s="46"/>
      <c r="D200" s="46"/>
      <c r="E200" s="76"/>
      <c r="F200" s="46"/>
      <c r="G200" s="267"/>
      <c r="H200" s="46"/>
      <c r="I200" s="46"/>
      <c r="J200" s="73"/>
      <c r="K200" s="73"/>
      <c r="L200" s="73"/>
      <c r="M200" s="73"/>
      <c r="N200" s="73"/>
      <c r="O200" s="73"/>
      <c r="P200" s="73"/>
      <c r="Q200" s="75"/>
      <c r="R200" s="73"/>
      <c r="T200" s="558"/>
    </row>
    <row r="201" spans="1:20" s="21" customFormat="1" ht="12" customHeight="1">
      <c r="A201" s="46"/>
      <c r="B201" s="46"/>
      <c r="C201" s="46"/>
      <c r="D201" s="46"/>
      <c r="E201" s="76"/>
      <c r="F201" s="46"/>
      <c r="G201" s="267"/>
      <c r="H201" s="46"/>
      <c r="I201" s="46"/>
      <c r="J201" s="73"/>
      <c r="K201" s="73"/>
      <c r="L201" s="73"/>
      <c r="M201" s="73"/>
      <c r="N201" s="73"/>
      <c r="O201" s="73"/>
      <c r="P201" s="73"/>
      <c r="Q201" s="75"/>
      <c r="R201" s="73"/>
      <c r="T201" s="558"/>
    </row>
    <row r="202" spans="1:20" s="21" customFormat="1" ht="12" customHeight="1">
      <c r="A202" s="46"/>
      <c r="B202" s="46"/>
      <c r="C202" s="46"/>
      <c r="D202" s="46"/>
      <c r="E202" s="76"/>
      <c r="F202" s="46"/>
      <c r="G202" s="267"/>
      <c r="H202" s="46"/>
      <c r="I202" s="46"/>
      <c r="J202" s="73"/>
      <c r="K202" s="73"/>
      <c r="L202" s="73"/>
      <c r="M202" s="73"/>
      <c r="N202" s="73"/>
      <c r="O202" s="73"/>
      <c r="P202" s="73"/>
      <c r="Q202" s="75"/>
      <c r="R202" s="73"/>
      <c r="T202" s="558"/>
    </row>
    <row r="203" spans="1:20" s="21" customFormat="1" ht="12" customHeight="1">
      <c r="A203" s="46"/>
      <c r="B203" s="46"/>
      <c r="C203" s="46"/>
      <c r="D203" s="46"/>
      <c r="E203" s="76"/>
      <c r="F203" s="46"/>
      <c r="G203" s="267"/>
      <c r="H203" s="46"/>
      <c r="I203" s="46"/>
      <c r="J203" s="73"/>
      <c r="K203" s="73"/>
      <c r="L203" s="73"/>
      <c r="M203" s="73"/>
      <c r="N203" s="73"/>
      <c r="O203" s="73"/>
      <c r="P203" s="73"/>
      <c r="Q203" s="75"/>
      <c r="R203" s="73"/>
      <c r="T203" s="558"/>
    </row>
    <row r="204" spans="1:20" s="21" customFormat="1" ht="12" customHeight="1">
      <c r="A204" s="46"/>
      <c r="B204" s="46"/>
      <c r="C204" s="46"/>
      <c r="D204" s="46"/>
      <c r="E204" s="76"/>
      <c r="F204" s="46"/>
      <c r="G204" s="267"/>
      <c r="H204" s="46"/>
      <c r="I204" s="46"/>
      <c r="J204" s="73"/>
      <c r="K204" s="73"/>
      <c r="L204" s="73"/>
      <c r="M204" s="73"/>
      <c r="N204" s="73"/>
      <c r="O204" s="73"/>
      <c r="P204" s="73"/>
      <c r="Q204" s="75"/>
      <c r="R204" s="73"/>
      <c r="T204" s="558"/>
    </row>
    <row r="205" spans="1:20" s="21" customFormat="1" ht="12" customHeight="1">
      <c r="A205" s="46"/>
      <c r="B205" s="46"/>
      <c r="C205" s="46"/>
      <c r="D205" s="46"/>
      <c r="E205" s="76"/>
      <c r="F205" s="46"/>
      <c r="G205" s="267"/>
      <c r="H205" s="46"/>
      <c r="I205" s="46"/>
      <c r="J205" s="73"/>
      <c r="K205" s="73"/>
      <c r="L205" s="73"/>
      <c r="M205" s="73"/>
      <c r="N205" s="73"/>
      <c r="O205" s="73"/>
      <c r="P205" s="73"/>
      <c r="Q205" s="75"/>
      <c r="R205" s="73"/>
      <c r="T205" s="558"/>
    </row>
    <row r="206" spans="1:20" s="21" customFormat="1" ht="12" customHeight="1">
      <c r="A206" s="46"/>
      <c r="B206" s="46"/>
      <c r="C206" s="46"/>
      <c r="D206" s="46"/>
      <c r="E206" s="76"/>
      <c r="F206" s="46"/>
      <c r="G206" s="267"/>
      <c r="H206" s="46"/>
      <c r="I206" s="46"/>
      <c r="J206" s="73"/>
      <c r="K206" s="73"/>
      <c r="L206" s="73"/>
      <c r="M206" s="73"/>
      <c r="N206" s="73"/>
      <c r="O206" s="73"/>
      <c r="P206" s="73"/>
      <c r="Q206" s="75"/>
      <c r="R206" s="73"/>
      <c r="T206" s="558"/>
    </row>
    <row r="207" spans="1:20" s="21" customFormat="1" ht="12" customHeight="1">
      <c r="A207" s="46"/>
      <c r="B207" s="46"/>
      <c r="C207" s="46"/>
      <c r="D207" s="46"/>
      <c r="E207" s="76"/>
      <c r="F207" s="46"/>
      <c r="G207" s="267"/>
      <c r="H207" s="46"/>
      <c r="I207" s="46"/>
      <c r="J207" s="73"/>
      <c r="K207" s="73"/>
      <c r="L207" s="73"/>
      <c r="M207" s="73"/>
      <c r="N207" s="73"/>
      <c r="O207" s="73"/>
      <c r="P207" s="73"/>
      <c r="Q207" s="75"/>
      <c r="R207" s="73"/>
      <c r="T207" s="558"/>
    </row>
    <row r="208" spans="1:20" s="21" customFormat="1" ht="12" customHeight="1">
      <c r="A208" s="46"/>
      <c r="B208" s="46"/>
      <c r="C208" s="46"/>
      <c r="D208" s="46"/>
      <c r="E208" s="76"/>
      <c r="F208" s="46"/>
      <c r="G208" s="267"/>
      <c r="H208" s="46"/>
      <c r="I208" s="46"/>
      <c r="J208" s="73"/>
      <c r="K208" s="73"/>
      <c r="L208" s="73"/>
      <c r="M208" s="73"/>
      <c r="N208" s="73"/>
      <c r="O208" s="73"/>
      <c r="P208" s="73"/>
      <c r="Q208" s="75"/>
      <c r="R208" s="73"/>
      <c r="T208" s="558"/>
    </row>
    <row r="209" spans="1:20" s="21" customFormat="1" ht="12" customHeight="1">
      <c r="A209" s="46"/>
      <c r="B209" s="46"/>
      <c r="C209" s="46"/>
      <c r="D209" s="46"/>
      <c r="E209" s="76"/>
      <c r="F209" s="46"/>
      <c r="G209" s="267"/>
      <c r="H209" s="46"/>
      <c r="I209" s="46"/>
      <c r="J209" s="73"/>
      <c r="K209" s="73"/>
      <c r="L209" s="73"/>
      <c r="M209" s="73"/>
      <c r="N209" s="73"/>
      <c r="O209" s="73"/>
      <c r="P209" s="73"/>
      <c r="Q209" s="75"/>
      <c r="R209" s="73"/>
      <c r="T209" s="558"/>
    </row>
    <row r="210" spans="1:20" s="21" customFormat="1" ht="12" customHeight="1">
      <c r="A210" s="46"/>
      <c r="B210" s="46"/>
      <c r="C210" s="46"/>
      <c r="D210" s="46"/>
      <c r="E210" s="76"/>
      <c r="F210" s="46"/>
      <c r="G210" s="267"/>
      <c r="H210" s="46"/>
      <c r="I210" s="46"/>
      <c r="J210" s="73"/>
      <c r="K210" s="73"/>
      <c r="L210" s="73"/>
      <c r="M210" s="73"/>
      <c r="N210" s="73"/>
      <c r="O210" s="73"/>
      <c r="P210" s="73"/>
      <c r="Q210" s="75"/>
      <c r="R210" s="73"/>
      <c r="T210" s="558"/>
    </row>
    <row r="211" spans="1:20" s="21" customFormat="1" ht="12" customHeight="1">
      <c r="A211" s="46"/>
      <c r="B211" s="46"/>
      <c r="C211" s="46"/>
      <c r="D211" s="46"/>
      <c r="E211" s="76"/>
      <c r="F211" s="46"/>
      <c r="G211" s="267"/>
      <c r="H211" s="46"/>
      <c r="I211" s="46"/>
      <c r="J211" s="73"/>
      <c r="K211" s="73"/>
      <c r="L211" s="73"/>
      <c r="M211" s="73"/>
      <c r="N211" s="73"/>
      <c r="O211" s="73"/>
      <c r="P211" s="73"/>
      <c r="Q211" s="75"/>
      <c r="R211" s="73"/>
      <c r="T211" s="558"/>
    </row>
    <row r="212" spans="1:20" s="21" customFormat="1" ht="12" customHeight="1">
      <c r="A212" s="46"/>
      <c r="B212" s="46"/>
      <c r="C212" s="46"/>
      <c r="D212" s="46"/>
      <c r="E212" s="76"/>
      <c r="F212" s="46"/>
      <c r="G212" s="267"/>
      <c r="H212" s="46"/>
      <c r="I212" s="46"/>
      <c r="J212" s="73"/>
      <c r="K212" s="73"/>
      <c r="L212" s="73"/>
      <c r="M212" s="73"/>
      <c r="N212" s="73"/>
      <c r="O212" s="73"/>
      <c r="P212" s="73"/>
      <c r="Q212" s="75"/>
      <c r="R212" s="73"/>
      <c r="T212" s="558"/>
    </row>
    <row r="213" spans="1:20" s="21" customFormat="1" ht="12" customHeight="1">
      <c r="A213" s="46"/>
      <c r="B213" s="46"/>
      <c r="C213" s="46"/>
      <c r="D213" s="46"/>
      <c r="E213" s="76"/>
      <c r="F213" s="46"/>
      <c r="G213" s="267"/>
      <c r="H213" s="46"/>
      <c r="I213" s="46"/>
      <c r="J213" s="73"/>
      <c r="K213" s="73"/>
      <c r="L213" s="73"/>
      <c r="M213" s="73"/>
      <c r="N213" s="73"/>
      <c r="O213" s="73"/>
      <c r="P213" s="73"/>
      <c r="Q213" s="75"/>
      <c r="R213" s="73"/>
      <c r="T213" s="558"/>
    </row>
    <row r="214" spans="1:20" s="21" customFormat="1" ht="12" customHeight="1">
      <c r="A214" s="46"/>
      <c r="B214" s="46"/>
      <c r="C214" s="46"/>
      <c r="D214" s="46"/>
      <c r="E214" s="76"/>
      <c r="F214" s="46"/>
      <c r="G214" s="267"/>
      <c r="H214" s="46"/>
      <c r="I214" s="46"/>
      <c r="J214" s="73"/>
      <c r="K214" s="73"/>
      <c r="L214" s="73"/>
      <c r="M214" s="73"/>
      <c r="N214" s="73"/>
      <c r="O214" s="73"/>
      <c r="P214" s="73"/>
      <c r="Q214" s="75"/>
      <c r="R214" s="73"/>
      <c r="T214" s="558"/>
    </row>
    <row r="215" spans="1:20" s="21" customFormat="1" ht="12" customHeight="1">
      <c r="A215" s="46"/>
      <c r="B215" s="46"/>
      <c r="C215" s="46"/>
      <c r="D215" s="46"/>
      <c r="E215" s="76"/>
      <c r="F215" s="46"/>
      <c r="G215" s="267"/>
      <c r="H215" s="46"/>
      <c r="I215" s="46"/>
      <c r="J215" s="73"/>
      <c r="K215" s="73"/>
      <c r="L215" s="73"/>
      <c r="M215" s="73"/>
      <c r="N215" s="73"/>
      <c r="O215" s="73"/>
      <c r="P215" s="73"/>
      <c r="Q215" s="75"/>
      <c r="R215" s="73"/>
      <c r="T215" s="558"/>
    </row>
    <row r="216" spans="1:20" s="21" customFormat="1" ht="12" customHeight="1">
      <c r="A216" s="46"/>
      <c r="B216" s="46"/>
      <c r="C216" s="46"/>
      <c r="D216" s="46"/>
      <c r="E216" s="76"/>
      <c r="F216" s="46"/>
      <c r="G216" s="267"/>
      <c r="H216" s="46"/>
      <c r="I216" s="46"/>
      <c r="J216" s="73"/>
      <c r="K216" s="73"/>
      <c r="L216" s="73"/>
      <c r="M216" s="73"/>
      <c r="N216" s="73"/>
      <c r="O216" s="73"/>
      <c r="P216" s="73"/>
      <c r="Q216" s="75"/>
      <c r="R216" s="73"/>
      <c r="T216" s="558"/>
    </row>
    <row r="217" spans="1:20" s="21" customFormat="1" ht="10.5">
      <c r="A217" s="46"/>
      <c r="B217" s="46"/>
      <c r="C217" s="46"/>
      <c r="D217" s="46"/>
      <c r="E217" s="76"/>
      <c r="F217" s="46"/>
      <c r="G217" s="267"/>
      <c r="H217" s="46"/>
      <c r="I217" s="46"/>
      <c r="J217" s="73"/>
      <c r="K217" s="73"/>
      <c r="L217" s="73"/>
      <c r="M217" s="73"/>
      <c r="N217" s="73"/>
      <c r="O217" s="73"/>
      <c r="P217" s="73"/>
      <c r="Q217" s="75"/>
      <c r="R217" s="73"/>
      <c r="T217" s="558"/>
    </row>
    <row r="218" spans="1:20" s="21" customFormat="1" ht="10.5">
      <c r="A218" s="46"/>
      <c r="B218" s="46"/>
      <c r="C218" s="46"/>
      <c r="D218" s="46"/>
      <c r="E218" s="76"/>
      <c r="F218" s="46"/>
      <c r="G218" s="267"/>
      <c r="H218" s="46"/>
      <c r="I218" s="46"/>
      <c r="J218" s="73"/>
      <c r="K218" s="73"/>
      <c r="L218" s="73"/>
      <c r="M218" s="73"/>
      <c r="N218" s="73"/>
      <c r="O218" s="73"/>
      <c r="P218" s="73"/>
      <c r="Q218" s="75"/>
      <c r="R218" s="73"/>
      <c r="T218" s="558"/>
    </row>
    <row r="219" spans="1:20" s="21" customFormat="1" ht="10.5">
      <c r="A219" s="46"/>
      <c r="B219" s="46"/>
      <c r="C219" s="46"/>
      <c r="D219" s="46"/>
      <c r="E219" s="76"/>
      <c r="F219" s="46"/>
      <c r="G219" s="267"/>
      <c r="H219" s="46"/>
      <c r="I219" s="46"/>
      <c r="J219" s="73"/>
      <c r="K219" s="73"/>
      <c r="L219" s="73"/>
      <c r="M219" s="73"/>
      <c r="N219" s="73"/>
      <c r="O219" s="73"/>
      <c r="P219" s="73"/>
      <c r="Q219" s="75"/>
      <c r="R219" s="73"/>
      <c r="T219" s="558"/>
    </row>
    <row r="220" spans="1:20" s="21" customFormat="1" ht="10.5">
      <c r="A220" s="46"/>
      <c r="B220" s="46"/>
      <c r="C220" s="46"/>
      <c r="D220" s="46"/>
      <c r="E220" s="76"/>
      <c r="F220" s="46"/>
      <c r="G220" s="267"/>
      <c r="H220" s="46"/>
      <c r="I220" s="46"/>
      <c r="J220" s="73"/>
      <c r="K220" s="73"/>
      <c r="L220" s="73"/>
      <c r="M220" s="73"/>
      <c r="N220" s="73"/>
      <c r="O220" s="73"/>
      <c r="P220" s="73"/>
      <c r="Q220" s="75"/>
      <c r="R220" s="73"/>
      <c r="T220" s="558"/>
    </row>
    <row r="221" spans="1:20" s="21" customFormat="1" ht="10.5">
      <c r="A221" s="46"/>
      <c r="B221" s="46"/>
      <c r="C221" s="46"/>
      <c r="D221" s="46"/>
      <c r="E221" s="76"/>
      <c r="F221" s="46"/>
      <c r="G221" s="267"/>
      <c r="H221" s="46"/>
      <c r="I221" s="46"/>
      <c r="J221" s="73"/>
      <c r="K221" s="73"/>
      <c r="L221" s="73"/>
      <c r="M221" s="73"/>
      <c r="N221" s="73"/>
      <c r="O221" s="73"/>
      <c r="P221" s="73"/>
      <c r="Q221" s="75"/>
      <c r="R221" s="73"/>
      <c r="T221" s="558"/>
    </row>
    <row r="222" spans="1:20" s="21" customFormat="1" ht="10.5">
      <c r="A222" s="46"/>
      <c r="B222" s="46"/>
      <c r="C222" s="46"/>
      <c r="D222" s="46"/>
      <c r="E222" s="76"/>
      <c r="F222" s="46"/>
      <c r="G222" s="267"/>
      <c r="H222" s="46"/>
      <c r="I222" s="46"/>
      <c r="J222" s="73"/>
      <c r="K222" s="73"/>
      <c r="L222" s="73"/>
      <c r="M222" s="73"/>
      <c r="N222" s="73"/>
      <c r="O222" s="73"/>
      <c r="P222" s="73"/>
      <c r="Q222" s="75"/>
      <c r="R222" s="73"/>
      <c r="T222" s="558"/>
    </row>
    <row r="223" spans="1:20" s="21" customFormat="1" ht="10.5">
      <c r="A223" s="46"/>
      <c r="B223" s="46"/>
      <c r="C223" s="46"/>
      <c r="D223" s="46"/>
      <c r="E223" s="76"/>
      <c r="F223" s="46"/>
      <c r="G223" s="267"/>
      <c r="H223" s="46"/>
      <c r="I223" s="46"/>
      <c r="J223" s="73"/>
      <c r="K223" s="73"/>
      <c r="L223" s="73"/>
      <c r="M223" s="73"/>
      <c r="N223" s="73"/>
      <c r="O223" s="73"/>
      <c r="P223" s="73"/>
      <c r="Q223" s="75"/>
      <c r="R223" s="73"/>
      <c r="T223" s="558"/>
    </row>
    <row r="224" spans="1:20" s="21" customFormat="1" ht="10.5">
      <c r="A224" s="46"/>
      <c r="B224" s="46"/>
      <c r="C224" s="46"/>
      <c r="D224" s="46"/>
      <c r="E224" s="76"/>
      <c r="F224" s="46"/>
      <c r="G224" s="267"/>
      <c r="H224" s="46"/>
      <c r="I224" s="46"/>
      <c r="J224" s="73"/>
      <c r="K224" s="73"/>
      <c r="L224" s="73"/>
      <c r="M224" s="73"/>
      <c r="N224" s="73"/>
      <c r="O224" s="73"/>
      <c r="P224" s="73"/>
      <c r="Q224" s="75"/>
      <c r="R224" s="73"/>
      <c r="T224" s="558"/>
    </row>
    <row r="225" spans="1:20" s="21" customFormat="1" ht="10.5">
      <c r="A225" s="46"/>
      <c r="B225" s="46"/>
      <c r="C225" s="46"/>
      <c r="D225" s="46"/>
      <c r="E225" s="76"/>
      <c r="F225" s="46"/>
      <c r="G225" s="267"/>
      <c r="H225" s="46"/>
      <c r="I225" s="46"/>
      <c r="J225" s="73"/>
      <c r="K225" s="73"/>
      <c r="L225" s="73"/>
      <c r="M225" s="73"/>
      <c r="N225" s="73"/>
      <c r="O225" s="73"/>
      <c r="P225" s="73"/>
      <c r="Q225" s="75"/>
      <c r="R225" s="73"/>
      <c r="T225" s="558"/>
    </row>
    <row r="226" spans="1:20" s="21" customFormat="1" ht="10.5">
      <c r="A226" s="46"/>
      <c r="B226" s="46"/>
      <c r="C226" s="46"/>
      <c r="D226" s="46"/>
      <c r="E226" s="76"/>
      <c r="F226" s="46"/>
      <c r="G226" s="267"/>
      <c r="H226" s="46"/>
      <c r="I226" s="46"/>
      <c r="J226" s="73"/>
      <c r="K226" s="73"/>
      <c r="L226" s="73"/>
      <c r="M226" s="73"/>
      <c r="N226" s="73"/>
      <c r="O226" s="73"/>
      <c r="P226" s="73"/>
      <c r="Q226" s="75"/>
      <c r="R226" s="73"/>
      <c r="T226" s="558"/>
    </row>
    <row r="227" spans="1:20" s="21" customFormat="1" ht="10.5">
      <c r="A227" s="46"/>
      <c r="B227" s="46"/>
      <c r="C227" s="46"/>
      <c r="D227" s="46"/>
      <c r="E227" s="76"/>
      <c r="F227" s="46"/>
      <c r="G227" s="267"/>
      <c r="H227" s="46"/>
      <c r="I227" s="46"/>
      <c r="J227" s="73"/>
      <c r="K227" s="73"/>
      <c r="L227" s="73"/>
      <c r="M227" s="73"/>
      <c r="N227" s="73"/>
      <c r="O227" s="73"/>
      <c r="P227" s="73"/>
      <c r="Q227" s="75"/>
      <c r="R227" s="73"/>
      <c r="T227" s="558"/>
    </row>
    <row r="228" spans="1:20" s="21" customFormat="1" ht="10.5">
      <c r="A228" s="46"/>
      <c r="B228" s="46"/>
      <c r="C228" s="46"/>
      <c r="D228" s="46"/>
      <c r="E228" s="76"/>
      <c r="F228" s="46"/>
      <c r="G228" s="267"/>
      <c r="H228" s="46"/>
      <c r="I228" s="46"/>
      <c r="J228" s="73"/>
      <c r="K228" s="73"/>
      <c r="L228" s="73"/>
      <c r="M228" s="73"/>
      <c r="N228" s="73"/>
      <c r="O228" s="73"/>
      <c r="P228" s="73"/>
      <c r="Q228" s="75"/>
      <c r="R228" s="73"/>
      <c r="T228" s="558"/>
    </row>
    <row r="229" spans="1:20" s="21" customFormat="1" ht="10.5">
      <c r="A229" s="46"/>
      <c r="B229" s="46"/>
      <c r="C229" s="46"/>
      <c r="D229" s="46"/>
      <c r="E229" s="76"/>
      <c r="F229" s="46"/>
      <c r="G229" s="267"/>
      <c r="H229" s="46"/>
      <c r="I229" s="46"/>
      <c r="J229" s="73"/>
      <c r="K229" s="73"/>
      <c r="L229" s="73"/>
      <c r="M229" s="73"/>
      <c r="N229" s="73"/>
      <c r="O229" s="73"/>
      <c r="P229" s="73"/>
      <c r="Q229" s="75"/>
      <c r="R229" s="73"/>
      <c r="T229" s="558"/>
    </row>
    <row r="230" spans="1:20" s="21" customFormat="1" ht="10.5">
      <c r="A230" s="46"/>
      <c r="B230" s="46"/>
      <c r="C230" s="46"/>
      <c r="D230" s="46"/>
      <c r="E230" s="76"/>
      <c r="F230" s="46"/>
      <c r="G230" s="267"/>
      <c r="H230" s="46"/>
      <c r="I230" s="46"/>
      <c r="J230" s="73"/>
      <c r="K230" s="73"/>
      <c r="L230" s="73"/>
      <c r="M230" s="73"/>
      <c r="N230" s="73"/>
      <c r="O230" s="73"/>
      <c r="P230" s="73"/>
      <c r="Q230" s="75"/>
      <c r="R230" s="73"/>
      <c r="T230" s="558"/>
    </row>
    <row r="231" spans="1:20" s="21" customFormat="1" ht="10.5">
      <c r="A231" s="46"/>
      <c r="B231" s="46"/>
      <c r="C231" s="46"/>
      <c r="D231" s="46"/>
      <c r="E231" s="76"/>
      <c r="F231" s="46"/>
      <c r="G231" s="267"/>
      <c r="H231" s="46"/>
      <c r="I231" s="46"/>
      <c r="J231" s="73"/>
      <c r="K231" s="73"/>
      <c r="L231" s="73"/>
      <c r="M231" s="73"/>
      <c r="N231" s="73"/>
      <c r="O231" s="73"/>
      <c r="P231" s="73"/>
      <c r="Q231" s="75"/>
      <c r="R231" s="73"/>
      <c r="T231" s="558"/>
    </row>
    <row r="232" spans="1:20" s="21" customFormat="1" ht="10.5">
      <c r="A232" s="46"/>
      <c r="B232" s="46"/>
      <c r="C232" s="46"/>
      <c r="D232" s="46"/>
      <c r="E232" s="76"/>
      <c r="F232" s="46"/>
      <c r="G232" s="267"/>
      <c r="H232" s="46"/>
      <c r="I232" s="46"/>
      <c r="J232" s="73"/>
      <c r="K232" s="73"/>
      <c r="L232" s="73"/>
      <c r="M232" s="73"/>
      <c r="N232" s="73"/>
      <c r="O232" s="73"/>
      <c r="P232" s="73"/>
      <c r="Q232" s="75"/>
      <c r="R232" s="73"/>
      <c r="T232" s="558"/>
    </row>
    <row r="233" spans="1:20" s="21" customFormat="1" ht="10.5">
      <c r="A233" s="46"/>
      <c r="B233" s="46"/>
      <c r="C233" s="46"/>
      <c r="D233" s="46"/>
      <c r="E233" s="76"/>
      <c r="F233" s="46"/>
      <c r="G233" s="267"/>
      <c r="H233" s="46"/>
      <c r="I233" s="46"/>
      <c r="J233" s="73"/>
      <c r="K233" s="73"/>
      <c r="L233" s="73"/>
      <c r="M233" s="73"/>
      <c r="N233" s="73"/>
      <c r="O233" s="73"/>
      <c r="P233" s="73"/>
      <c r="Q233" s="75"/>
      <c r="R233" s="73"/>
      <c r="T233" s="558"/>
    </row>
    <row r="234" spans="1:20" s="21" customFormat="1" ht="10.5">
      <c r="A234" s="46"/>
      <c r="B234" s="46"/>
      <c r="C234" s="46"/>
      <c r="D234" s="46"/>
      <c r="E234" s="76"/>
      <c r="F234" s="46"/>
      <c r="G234" s="267"/>
      <c r="H234" s="46"/>
      <c r="I234" s="46"/>
      <c r="J234" s="73"/>
      <c r="K234" s="73"/>
      <c r="L234" s="73"/>
      <c r="M234" s="73"/>
      <c r="N234" s="73"/>
      <c r="O234" s="73"/>
      <c r="P234" s="73"/>
      <c r="Q234" s="75"/>
      <c r="R234" s="73"/>
      <c r="T234" s="558"/>
    </row>
    <row r="235" spans="1:20" s="21" customFormat="1" ht="10.5">
      <c r="A235" s="46"/>
      <c r="B235" s="46"/>
      <c r="C235" s="46"/>
      <c r="D235" s="46"/>
      <c r="E235" s="76"/>
      <c r="F235" s="46"/>
      <c r="G235" s="267"/>
      <c r="H235" s="46"/>
      <c r="I235" s="46"/>
      <c r="J235" s="73"/>
      <c r="K235" s="73"/>
      <c r="L235" s="73"/>
      <c r="M235" s="73"/>
      <c r="N235" s="73"/>
      <c r="O235" s="73"/>
      <c r="P235" s="73"/>
      <c r="Q235" s="75"/>
      <c r="R235" s="73"/>
      <c r="T235" s="558"/>
    </row>
    <row r="236" spans="1:20" s="21" customFormat="1" ht="10.5">
      <c r="A236" s="46"/>
      <c r="B236" s="46"/>
      <c r="C236" s="46"/>
      <c r="D236" s="46"/>
      <c r="E236" s="76"/>
      <c r="F236" s="46"/>
      <c r="G236" s="267"/>
      <c r="H236" s="46"/>
      <c r="I236" s="46"/>
      <c r="J236" s="73"/>
      <c r="K236" s="73"/>
      <c r="L236" s="73"/>
      <c r="M236" s="73"/>
      <c r="N236" s="73"/>
      <c r="O236" s="73"/>
      <c r="P236" s="73"/>
      <c r="Q236" s="75"/>
      <c r="R236" s="73"/>
      <c r="T236" s="558"/>
    </row>
    <row r="237" spans="1:20" s="21" customFormat="1" ht="10.5">
      <c r="A237" s="46"/>
      <c r="B237" s="46"/>
      <c r="C237" s="46"/>
      <c r="D237" s="46"/>
      <c r="E237" s="76"/>
      <c r="F237" s="46"/>
      <c r="G237" s="267"/>
      <c r="H237" s="46"/>
      <c r="I237" s="46"/>
      <c r="J237" s="73"/>
      <c r="K237" s="73"/>
      <c r="L237" s="73"/>
      <c r="M237" s="73"/>
      <c r="N237" s="73"/>
      <c r="O237" s="73"/>
      <c r="P237" s="73"/>
      <c r="Q237" s="75"/>
      <c r="R237" s="73"/>
      <c r="T237" s="558"/>
    </row>
    <row r="238" spans="1:20" s="21" customFormat="1" ht="10.5">
      <c r="A238" s="46"/>
      <c r="B238" s="46"/>
      <c r="C238" s="46"/>
      <c r="D238" s="46"/>
      <c r="E238" s="76"/>
      <c r="F238" s="46"/>
      <c r="G238" s="267"/>
      <c r="H238" s="46"/>
      <c r="I238" s="46"/>
      <c r="J238" s="73"/>
      <c r="K238" s="73"/>
      <c r="L238" s="73"/>
      <c r="M238" s="73"/>
      <c r="N238" s="73"/>
      <c r="O238" s="73"/>
      <c r="P238" s="73"/>
      <c r="Q238" s="75"/>
      <c r="R238" s="73"/>
      <c r="T238" s="558"/>
    </row>
    <row r="239" spans="1:20" s="21" customFormat="1" ht="10.5">
      <c r="A239" s="46"/>
      <c r="B239" s="46"/>
      <c r="C239" s="46"/>
      <c r="D239" s="46"/>
      <c r="E239" s="76"/>
      <c r="F239" s="46"/>
      <c r="G239" s="267"/>
      <c r="H239" s="46"/>
      <c r="I239" s="46"/>
      <c r="J239" s="73"/>
      <c r="K239" s="73"/>
      <c r="L239" s="73"/>
      <c r="M239" s="73"/>
      <c r="N239" s="73"/>
      <c r="O239" s="73"/>
      <c r="P239" s="73"/>
      <c r="Q239" s="75"/>
      <c r="R239" s="73"/>
      <c r="T239" s="558"/>
    </row>
    <row r="240" spans="1:20" s="21" customFormat="1" ht="10.5">
      <c r="A240" s="46"/>
      <c r="B240" s="46"/>
      <c r="C240" s="46"/>
      <c r="D240" s="46"/>
      <c r="E240" s="76"/>
      <c r="F240" s="46"/>
      <c r="G240" s="267"/>
      <c r="H240" s="46"/>
      <c r="I240" s="46"/>
      <c r="J240" s="73"/>
      <c r="K240" s="73"/>
      <c r="L240" s="73"/>
      <c r="M240" s="73"/>
      <c r="N240" s="73"/>
      <c r="O240" s="73"/>
      <c r="P240" s="73"/>
      <c r="Q240" s="75"/>
      <c r="R240" s="73"/>
      <c r="T240" s="558"/>
    </row>
    <row r="241" spans="1:20" s="21" customFormat="1" ht="10.5">
      <c r="A241" s="46"/>
      <c r="B241" s="46"/>
      <c r="C241" s="46"/>
      <c r="D241" s="46"/>
      <c r="E241" s="76"/>
      <c r="F241" s="46"/>
      <c r="G241" s="267"/>
      <c r="H241" s="46"/>
      <c r="I241" s="46"/>
      <c r="J241" s="73"/>
      <c r="K241" s="73"/>
      <c r="L241" s="73"/>
      <c r="M241" s="73"/>
      <c r="N241" s="73"/>
      <c r="O241" s="73"/>
      <c r="P241" s="73"/>
      <c r="Q241" s="75"/>
      <c r="R241" s="73"/>
      <c r="T241" s="558"/>
    </row>
    <row r="242" spans="1:20" s="21" customFormat="1" ht="10.5">
      <c r="A242" s="46"/>
      <c r="B242" s="46"/>
      <c r="C242" s="46"/>
      <c r="D242" s="46"/>
      <c r="E242" s="76"/>
      <c r="F242" s="46"/>
      <c r="G242" s="267"/>
      <c r="H242" s="46"/>
      <c r="I242" s="46"/>
      <c r="J242" s="73"/>
      <c r="K242" s="73"/>
      <c r="L242" s="73"/>
      <c r="M242" s="73"/>
      <c r="N242" s="73"/>
      <c r="O242" s="73"/>
      <c r="P242" s="73"/>
      <c r="Q242" s="75"/>
      <c r="R242" s="73"/>
      <c r="T242" s="558"/>
    </row>
    <row r="243" spans="1:20" s="21" customFormat="1" ht="10.5">
      <c r="A243" s="46"/>
      <c r="B243" s="46"/>
      <c r="C243" s="46"/>
      <c r="D243" s="46"/>
      <c r="E243" s="76"/>
      <c r="F243" s="46"/>
      <c r="G243" s="267"/>
      <c r="H243" s="46"/>
      <c r="I243" s="46"/>
      <c r="J243" s="73"/>
      <c r="K243" s="73"/>
      <c r="L243" s="73"/>
      <c r="M243" s="73"/>
      <c r="N243" s="73"/>
      <c r="O243" s="73"/>
      <c r="P243" s="73"/>
      <c r="Q243" s="75"/>
      <c r="R243" s="73"/>
      <c r="T243" s="558"/>
    </row>
    <row r="244" spans="1:20" s="21" customFormat="1" ht="10.5">
      <c r="A244" s="46"/>
      <c r="B244" s="46"/>
      <c r="C244" s="46"/>
      <c r="D244" s="46"/>
      <c r="E244" s="76"/>
      <c r="F244" s="46"/>
      <c r="G244" s="267"/>
      <c r="H244" s="46"/>
      <c r="I244" s="46"/>
      <c r="J244" s="73"/>
      <c r="K244" s="73"/>
      <c r="L244" s="73"/>
      <c r="M244" s="73"/>
      <c r="N244" s="73"/>
      <c r="O244" s="73"/>
      <c r="P244" s="73"/>
      <c r="Q244" s="75"/>
      <c r="R244" s="73"/>
      <c r="T244" s="558"/>
    </row>
    <row r="245" spans="1:20" s="21" customFormat="1" ht="10.5">
      <c r="A245" s="46"/>
      <c r="B245" s="46"/>
      <c r="C245" s="46"/>
      <c r="D245" s="46"/>
      <c r="E245" s="76"/>
      <c r="F245" s="46"/>
      <c r="G245" s="267"/>
      <c r="H245" s="46"/>
      <c r="I245" s="46"/>
      <c r="J245" s="73"/>
      <c r="K245" s="73"/>
      <c r="L245" s="73"/>
      <c r="M245" s="73"/>
      <c r="N245" s="73"/>
      <c r="O245" s="73"/>
      <c r="P245" s="73"/>
      <c r="Q245" s="75"/>
      <c r="R245" s="73"/>
      <c r="T245" s="558"/>
    </row>
    <row r="246" spans="1:20" s="21" customFormat="1" ht="10.5">
      <c r="A246" s="46"/>
      <c r="B246" s="46"/>
      <c r="C246" s="46"/>
      <c r="D246" s="46"/>
      <c r="E246" s="76"/>
      <c r="F246" s="46"/>
      <c r="G246" s="267"/>
      <c r="H246" s="46"/>
      <c r="I246" s="46"/>
      <c r="J246" s="73"/>
      <c r="K246" s="73"/>
      <c r="L246" s="73"/>
      <c r="M246" s="73"/>
      <c r="N246" s="73"/>
      <c r="O246" s="73"/>
      <c r="P246" s="73"/>
      <c r="Q246" s="75"/>
      <c r="R246" s="73"/>
      <c r="T246" s="558"/>
    </row>
    <row r="247" spans="1:20" s="21" customFormat="1" ht="10.5">
      <c r="A247" s="46"/>
      <c r="B247" s="46"/>
      <c r="C247" s="46"/>
      <c r="D247" s="46"/>
      <c r="E247" s="76"/>
      <c r="F247" s="46"/>
      <c r="G247" s="267"/>
      <c r="H247" s="46"/>
      <c r="I247" s="46"/>
      <c r="J247" s="73"/>
      <c r="K247" s="73"/>
      <c r="L247" s="73"/>
      <c r="M247" s="73"/>
      <c r="N247" s="73"/>
      <c r="O247" s="73"/>
      <c r="P247" s="73"/>
      <c r="Q247" s="75"/>
      <c r="R247" s="73"/>
      <c r="T247" s="558"/>
    </row>
    <row r="248" spans="1:20" s="21" customFormat="1" ht="10.5">
      <c r="A248" s="46"/>
      <c r="B248" s="46"/>
      <c r="C248" s="46"/>
      <c r="D248" s="46"/>
      <c r="E248" s="76"/>
      <c r="F248" s="46"/>
      <c r="G248" s="267"/>
      <c r="H248" s="46"/>
      <c r="I248" s="46"/>
      <c r="J248" s="73"/>
      <c r="K248" s="73"/>
      <c r="L248" s="73"/>
      <c r="M248" s="73"/>
      <c r="N248" s="73"/>
      <c r="O248" s="73"/>
      <c r="P248" s="73"/>
      <c r="Q248" s="75"/>
      <c r="R248" s="73"/>
      <c r="T248" s="558"/>
    </row>
    <row r="249" spans="1:20" s="21" customFormat="1" ht="10.5">
      <c r="A249" s="46"/>
      <c r="B249" s="46"/>
      <c r="C249" s="46"/>
      <c r="D249" s="46"/>
      <c r="E249" s="76"/>
      <c r="F249" s="46"/>
      <c r="G249" s="267"/>
      <c r="H249" s="46"/>
      <c r="I249" s="46"/>
      <c r="J249" s="73"/>
      <c r="K249" s="73"/>
      <c r="L249" s="73"/>
      <c r="M249" s="73"/>
      <c r="N249" s="73"/>
      <c r="O249" s="73"/>
      <c r="P249" s="73"/>
      <c r="Q249" s="75"/>
      <c r="R249" s="73"/>
      <c r="T249" s="558"/>
    </row>
    <row r="250" spans="1:20" s="21" customFormat="1" ht="10.5">
      <c r="A250" s="46"/>
      <c r="B250" s="46"/>
      <c r="C250" s="46"/>
      <c r="D250" s="46"/>
      <c r="E250" s="76"/>
      <c r="F250" s="46"/>
      <c r="G250" s="267"/>
      <c r="H250" s="46"/>
      <c r="I250" s="46"/>
      <c r="J250" s="73"/>
      <c r="K250" s="73"/>
      <c r="L250" s="73"/>
      <c r="M250" s="73"/>
      <c r="N250" s="73"/>
      <c r="O250" s="73"/>
      <c r="P250" s="73"/>
      <c r="Q250" s="75"/>
      <c r="R250" s="73"/>
      <c r="T250" s="558"/>
    </row>
    <row r="251" spans="1:20" s="21" customFormat="1" ht="10.5">
      <c r="A251" s="46"/>
      <c r="B251" s="46"/>
      <c r="C251" s="46"/>
      <c r="D251" s="46"/>
      <c r="E251" s="76"/>
      <c r="F251" s="46"/>
      <c r="G251" s="267"/>
      <c r="H251" s="46"/>
      <c r="I251" s="46"/>
      <c r="J251" s="73"/>
      <c r="K251" s="73"/>
      <c r="L251" s="73"/>
      <c r="M251" s="73"/>
      <c r="N251" s="73"/>
      <c r="O251" s="73"/>
      <c r="P251" s="73"/>
      <c r="Q251" s="75"/>
      <c r="R251" s="73"/>
      <c r="T251" s="558"/>
    </row>
    <row r="252" spans="1:20" s="21" customFormat="1" ht="10.5">
      <c r="A252" s="46"/>
      <c r="B252" s="46"/>
      <c r="C252" s="46"/>
      <c r="D252" s="46"/>
      <c r="E252" s="76"/>
      <c r="F252" s="46"/>
      <c r="G252" s="267"/>
      <c r="H252" s="46"/>
      <c r="I252" s="46"/>
      <c r="J252" s="73"/>
      <c r="K252" s="73"/>
      <c r="L252" s="73"/>
      <c r="M252" s="73"/>
      <c r="N252" s="73"/>
      <c r="O252" s="73"/>
      <c r="P252" s="73"/>
      <c r="Q252" s="75"/>
      <c r="R252" s="73"/>
      <c r="T252" s="558"/>
    </row>
    <row r="253" spans="1:20" s="21" customFormat="1" ht="10.5">
      <c r="A253" s="46"/>
      <c r="B253" s="46"/>
      <c r="C253" s="46"/>
      <c r="D253" s="46"/>
      <c r="E253" s="76"/>
      <c r="F253" s="46"/>
      <c r="G253" s="267"/>
      <c r="H253" s="46"/>
      <c r="I253" s="46"/>
      <c r="J253" s="73"/>
      <c r="K253" s="73"/>
      <c r="L253" s="73"/>
      <c r="M253" s="73"/>
      <c r="N253" s="73"/>
      <c r="O253" s="73"/>
      <c r="P253" s="73"/>
      <c r="Q253" s="75"/>
      <c r="R253" s="73"/>
      <c r="T253" s="558"/>
    </row>
    <row r="254" spans="1:20" s="21" customFormat="1" ht="10.5">
      <c r="A254" s="46"/>
      <c r="B254" s="46"/>
      <c r="C254" s="46"/>
      <c r="D254" s="46"/>
      <c r="E254" s="76"/>
      <c r="F254" s="46"/>
      <c r="G254" s="267"/>
      <c r="H254" s="46"/>
      <c r="I254" s="46"/>
      <c r="J254" s="73"/>
      <c r="K254" s="73"/>
      <c r="L254" s="73"/>
      <c r="M254" s="73"/>
      <c r="N254" s="73"/>
      <c r="O254" s="73"/>
      <c r="P254" s="73"/>
      <c r="Q254" s="75"/>
      <c r="R254" s="73"/>
      <c r="T254" s="558"/>
    </row>
    <row r="255" spans="1:20" s="21" customFormat="1" ht="10.5">
      <c r="A255" s="46"/>
      <c r="B255" s="46"/>
      <c r="C255" s="46"/>
      <c r="D255" s="46"/>
      <c r="E255" s="76"/>
      <c r="F255" s="46"/>
      <c r="G255" s="267"/>
      <c r="H255" s="46"/>
      <c r="I255" s="46"/>
      <c r="J255" s="73"/>
      <c r="K255" s="73"/>
      <c r="L255" s="73"/>
      <c r="M255" s="73"/>
      <c r="N255" s="73"/>
      <c r="O255" s="73"/>
      <c r="P255" s="73"/>
      <c r="Q255" s="75"/>
      <c r="R255" s="73"/>
      <c r="T255" s="558"/>
    </row>
    <row r="256" spans="1:20" s="21" customFormat="1" ht="10.5">
      <c r="A256" s="46"/>
      <c r="B256" s="46"/>
      <c r="C256" s="46"/>
      <c r="D256" s="46"/>
      <c r="E256" s="76"/>
      <c r="F256" s="46"/>
      <c r="G256" s="267"/>
      <c r="H256" s="46"/>
      <c r="I256" s="46"/>
      <c r="J256" s="73"/>
      <c r="K256" s="73"/>
      <c r="L256" s="73"/>
      <c r="M256" s="73"/>
      <c r="N256" s="73"/>
      <c r="O256" s="73"/>
      <c r="P256" s="73"/>
      <c r="Q256" s="75"/>
      <c r="R256" s="73"/>
      <c r="T256" s="558"/>
    </row>
    <row r="257" spans="1:20" s="21" customFormat="1" ht="10.5">
      <c r="A257" s="46"/>
      <c r="B257" s="46"/>
      <c r="C257" s="46"/>
      <c r="D257" s="46"/>
      <c r="E257" s="76"/>
      <c r="F257" s="46"/>
      <c r="G257" s="267"/>
      <c r="H257" s="46"/>
      <c r="I257" s="46"/>
      <c r="J257" s="73"/>
      <c r="K257" s="73"/>
      <c r="L257" s="73"/>
      <c r="M257" s="73"/>
      <c r="N257" s="73"/>
      <c r="O257" s="73"/>
      <c r="P257" s="73"/>
      <c r="Q257" s="75"/>
      <c r="R257" s="73"/>
      <c r="T257" s="558"/>
    </row>
    <row r="258" spans="1:20" s="21" customFormat="1" ht="10.5">
      <c r="A258" s="46"/>
      <c r="B258" s="46"/>
      <c r="C258" s="46"/>
      <c r="D258" s="46"/>
      <c r="E258" s="76"/>
      <c r="F258" s="46"/>
      <c r="G258" s="267"/>
      <c r="H258" s="46"/>
      <c r="I258" s="46"/>
      <c r="J258" s="73"/>
      <c r="K258" s="73"/>
      <c r="L258" s="73"/>
      <c r="M258" s="73"/>
      <c r="N258" s="73"/>
      <c r="O258" s="73"/>
      <c r="P258" s="73"/>
      <c r="Q258" s="75"/>
      <c r="R258" s="73"/>
      <c r="T258" s="558"/>
    </row>
    <row r="259" spans="1:20" s="21" customFormat="1" ht="10.5">
      <c r="A259" s="46"/>
      <c r="B259" s="46"/>
      <c r="C259" s="46"/>
      <c r="D259" s="46"/>
      <c r="E259" s="76"/>
      <c r="F259" s="46"/>
      <c r="G259" s="267"/>
      <c r="H259" s="46"/>
      <c r="I259" s="46"/>
      <c r="J259" s="73"/>
      <c r="K259" s="73"/>
      <c r="L259" s="73"/>
      <c r="M259" s="73"/>
      <c r="N259" s="73"/>
      <c r="O259" s="73"/>
      <c r="P259" s="73"/>
      <c r="Q259" s="75"/>
      <c r="R259" s="73"/>
      <c r="T259" s="558"/>
    </row>
    <row r="260" spans="1:20" s="21" customFormat="1" ht="10.5">
      <c r="A260" s="46"/>
      <c r="B260" s="46"/>
      <c r="C260" s="46"/>
      <c r="D260" s="46"/>
      <c r="E260" s="76"/>
      <c r="F260" s="46"/>
      <c r="G260" s="267"/>
      <c r="H260" s="46"/>
      <c r="I260" s="46"/>
      <c r="J260" s="73"/>
      <c r="K260" s="73"/>
      <c r="L260" s="73"/>
      <c r="M260" s="73"/>
      <c r="N260" s="73"/>
      <c r="O260" s="73"/>
      <c r="P260" s="73"/>
      <c r="Q260" s="75"/>
      <c r="R260" s="73"/>
      <c r="T260" s="558"/>
    </row>
    <row r="261" spans="1:20" s="21" customFormat="1" ht="10.5">
      <c r="A261" s="46"/>
      <c r="B261" s="46"/>
      <c r="C261" s="46"/>
      <c r="D261" s="46"/>
      <c r="E261" s="76"/>
      <c r="F261" s="46"/>
      <c r="G261" s="267"/>
      <c r="H261" s="46"/>
      <c r="I261" s="46"/>
      <c r="J261" s="73"/>
      <c r="K261" s="73"/>
      <c r="L261" s="73"/>
      <c r="M261" s="73"/>
      <c r="N261" s="73"/>
      <c r="O261" s="73"/>
      <c r="P261" s="73"/>
      <c r="Q261" s="75"/>
      <c r="R261" s="73"/>
      <c r="T261" s="558"/>
    </row>
    <row r="262" spans="1:20" s="21" customFormat="1" ht="10.5">
      <c r="A262" s="46"/>
      <c r="B262" s="46"/>
      <c r="C262" s="46"/>
      <c r="D262" s="46"/>
      <c r="E262" s="76"/>
      <c r="F262" s="46"/>
      <c r="G262" s="267"/>
      <c r="H262" s="46"/>
      <c r="I262" s="46"/>
      <c r="J262" s="73"/>
      <c r="K262" s="73"/>
      <c r="L262" s="73"/>
      <c r="M262" s="73"/>
      <c r="N262" s="73"/>
      <c r="O262" s="73"/>
      <c r="P262" s="73"/>
      <c r="Q262" s="75"/>
      <c r="R262" s="73"/>
      <c r="T262" s="558"/>
    </row>
    <row r="263" spans="1:20" s="21" customFormat="1" ht="10.5">
      <c r="A263" s="46"/>
      <c r="B263" s="46"/>
      <c r="C263" s="46"/>
      <c r="D263" s="46"/>
      <c r="E263" s="76"/>
      <c r="F263" s="46"/>
      <c r="G263" s="267"/>
      <c r="H263" s="46"/>
      <c r="I263" s="46"/>
      <c r="J263" s="73"/>
      <c r="K263" s="73"/>
      <c r="L263" s="73"/>
      <c r="M263" s="73"/>
      <c r="N263" s="73"/>
      <c r="O263" s="73"/>
      <c r="P263" s="73"/>
      <c r="Q263" s="75"/>
      <c r="R263" s="73"/>
      <c r="T263" s="558"/>
    </row>
    <row r="264" spans="1:20" s="21" customFormat="1" ht="10.5">
      <c r="A264" s="46"/>
      <c r="B264" s="46"/>
      <c r="C264" s="46"/>
      <c r="D264" s="46"/>
      <c r="E264" s="76"/>
      <c r="F264" s="46"/>
      <c r="G264" s="267"/>
      <c r="H264" s="46"/>
      <c r="I264" s="46"/>
      <c r="J264" s="73"/>
      <c r="K264" s="73"/>
      <c r="L264" s="73"/>
      <c r="M264" s="73"/>
      <c r="N264" s="73"/>
      <c r="O264" s="73"/>
      <c r="P264" s="73"/>
      <c r="Q264" s="75"/>
      <c r="R264" s="73"/>
      <c r="T264" s="558"/>
    </row>
    <row r="265" spans="1:20" s="21" customFormat="1" ht="10.5">
      <c r="A265" s="46"/>
      <c r="B265" s="46"/>
      <c r="C265" s="46"/>
      <c r="D265" s="46"/>
      <c r="E265" s="76"/>
      <c r="F265" s="46"/>
      <c r="G265" s="267"/>
      <c r="H265" s="46"/>
      <c r="I265" s="46"/>
      <c r="J265" s="73"/>
      <c r="K265" s="73"/>
      <c r="L265" s="73"/>
      <c r="M265" s="73"/>
      <c r="N265" s="73"/>
      <c r="O265" s="73"/>
      <c r="P265" s="73"/>
      <c r="Q265" s="75"/>
      <c r="R265" s="73"/>
      <c r="T265" s="558"/>
    </row>
    <row r="266" spans="1:20" s="21" customFormat="1" ht="10.5">
      <c r="A266" s="46"/>
      <c r="B266" s="46"/>
      <c r="C266" s="46"/>
      <c r="D266" s="46"/>
      <c r="E266" s="76"/>
      <c r="F266" s="46"/>
      <c r="G266" s="267"/>
      <c r="H266" s="46"/>
      <c r="I266" s="46"/>
      <c r="J266" s="73"/>
      <c r="K266" s="73"/>
      <c r="L266" s="73"/>
      <c r="M266" s="73"/>
      <c r="N266" s="73"/>
      <c r="O266" s="73"/>
      <c r="P266" s="73"/>
      <c r="Q266" s="75"/>
      <c r="R266" s="73"/>
      <c r="T266" s="558"/>
    </row>
    <row r="267" spans="1:20" s="21" customFormat="1" ht="10.5">
      <c r="A267" s="46"/>
      <c r="B267" s="46"/>
      <c r="C267" s="46"/>
      <c r="D267" s="46"/>
      <c r="E267" s="76"/>
      <c r="F267" s="46"/>
      <c r="G267" s="267"/>
      <c r="H267" s="46"/>
      <c r="I267" s="46"/>
      <c r="J267" s="73"/>
      <c r="K267" s="73"/>
      <c r="L267" s="73"/>
      <c r="M267" s="73"/>
      <c r="N267" s="73"/>
      <c r="O267" s="73"/>
      <c r="P267" s="73"/>
      <c r="Q267" s="75"/>
      <c r="R267" s="73"/>
      <c r="T267" s="558"/>
    </row>
    <row r="268" spans="1:20" s="21" customFormat="1" ht="10.5">
      <c r="A268" s="46"/>
      <c r="B268" s="46"/>
      <c r="C268" s="46"/>
      <c r="D268" s="46"/>
      <c r="E268" s="76"/>
      <c r="F268" s="46"/>
      <c r="G268" s="267"/>
      <c r="H268" s="46"/>
      <c r="I268" s="46"/>
      <c r="J268" s="73"/>
      <c r="K268" s="73"/>
      <c r="L268" s="73"/>
      <c r="M268" s="73"/>
      <c r="N268" s="73"/>
      <c r="O268" s="73"/>
      <c r="P268" s="73"/>
      <c r="Q268" s="75"/>
      <c r="R268" s="73"/>
      <c r="T268" s="558"/>
    </row>
    <row r="269" spans="1:20" s="21" customFormat="1" ht="10.5">
      <c r="A269" s="46"/>
      <c r="B269" s="46"/>
      <c r="C269" s="46"/>
      <c r="D269" s="46"/>
      <c r="E269" s="76"/>
      <c r="F269" s="46"/>
      <c r="G269" s="267"/>
      <c r="H269" s="46"/>
      <c r="I269" s="46"/>
      <c r="J269" s="73"/>
      <c r="K269" s="73"/>
      <c r="L269" s="73"/>
      <c r="M269" s="73"/>
      <c r="N269" s="73"/>
      <c r="O269" s="73"/>
      <c r="P269" s="73"/>
      <c r="Q269" s="75"/>
      <c r="R269" s="73"/>
      <c r="T269" s="558"/>
    </row>
    <row r="270" spans="1:20" s="21" customFormat="1" ht="10.5">
      <c r="A270" s="46"/>
      <c r="B270" s="46"/>
      <c r="C270" s="46"/>
      <c r="D270" s="46"/>
      <c r="E270" s="76"/>
      <c r="F270" s="46"/>
      <c r="G270" s="267"/>
      <c r="H270" s="46"/>
      <c r="I270" s="46"/>
      <c r="J270" s="73"/>
      <c r="K270" s="73"/>
      <c r="L270" s="73"/>
      <c r="M270" s="73"/>
      <c r="N270" s="73"/>
      <c r="O270" s="73"/>
      <c r="P270" s="73"/>
      <c r="Q270" s="75"/>
      <c r="R270" s="73"/>
      <c r="T270" s="558"/>
    </row>
    <row r="271" spans="1:20" s="21" customFormat="1" ht="10.5">
      <c r="A271" s="46"/>
      <c r="B271" s="46"/>
      <c r="C271" s="46"/>
      <c r="D271" s="46"/>
      <c r="E271" s="76"/>
      <c r="F271" s="46"/>
      <c r="G271" s="267"/>
      <c r="H271" s="46"/>
      <c r="I271" s="46"/>
      <c r="J271" s="73"/>
      <c r="K271" s="73"/>
      <c r="L271" s="73"/>
      <c r="M271" s="73"/>
      <c r="N271" s="73"/>
      <c r="O271" s="73"/>
      <c r="P271" s="73"/>
      <c r="Q271" s="75"/>
      <c r="R271" s="73"/>
      <c r="T271" s="558"/>
    </row>
    <row r="272" spans="1:20" s="21" customFormat="1" ht="10.5">
      <c r="A272" s="46"/>
      <c r="B272" s="46"/>
      <c r="C272" s="46"/>
      <c r="D272" s="46"/>
      <c r="E272" s="76"/>
      <c r="F272" s="46"/>
      <c r="G272" s="267"/>
      <c r="H272" s="46"/>
      <c r="I272" s="46"/>
      <c r="J272" s="73"/>
      <c r="K272" s="73"/>
      <c r="L272" s="73"/>
      <c r="M272" s="73"/>
      <c r="N272" s="73"/>
      <c r="O272" s="73"/>
      <c r="P272" s="73"/>
      <c r="Q272" s="75"/>
      <c r="R272" s="73"/>
      <c r="T272" s="558"/>
    </row>
    <row r="273" spans="1:20" s="21" customFormat="1" ht="10.5">
      <c r="A273" s="46"/>
      <c r="B273" s="46"/>
      <c r="C273" s="46"/>
      <c r="D273" s="46"/>
      <c r="E273" s="76"/>
      <c r="F273" s="46"/>
      <c r="G273" s="267"/>
      <c r="H273" s="46"/>
      <c r="I273" s="46"/>
      <c r="J273" s="73"/>
      <c r="K273" s="73"/>
      <c r="L273" s="73"/>
      <c r="M273" s="73"/>
      <c r="N273" s="73"/>
      <c r="O273" s="73"/>
      <c r="P273" s="73"/>
      <c r="Q273" s="75"/>
      <c r="R273" s="73"/>
      <c r="T273" s="558"/>
    </row>
    <row r="274" spans="1:20" s="21" customFormat="1" ht="10.5">
      <c r="A274" s="46"/>
      <c r="B274" s="46"/>
      <c r="C274" s="46"/>
      <c r="D274" s="46"/>
      <c r="E274" s="76"/>
      <c r="F274" s="46"/>
      <c r="G274" s="267"/>
      <c r="H274" s="46"/>
      <c r="I274" s="46"/>
      <c r="J274" s="73"/>
      <c r="K274" s="73"/>
      <c r="L274" s="73"/>
      <c r="M274" s="73"/>
      <c r="N274" s="73"/>
      <c r="O274" s="73"/>
      <c r="P274" s="73"/>
      <c r="Q274" s="75"/>
      <c r="R274" s="73"/>
      <c r="T274" s="558"/>
    </row>
    <row r="275" spans="1:20" s="21" customFormat="1" ht="10.5">
      <c r="A275" s="46"/>
      <c r="B275" s="46"/>
      <c r="C275" s="46"/>
      <c r="D275" s="46"/>
      <c r="E275" s="76"/>
      <c r="F275" s="46"/>
      <c r="G275" s="267"/>
      <c r="H275" s="46"/>
      <c r="I275" s="46"/>
      <c r="J275" s="73"/>
      <c r="K275" s="73"/>
      <c r="L275" s="73"/>
      <c r="M275" s="73"/>
      <c r="N275" s="73"/>
      <c r="O275" s="73"/>
      <c r="P275" s="73"/>
      <c r="Q275" s="75"/>
      <c r="R275" s="73"/>
      <c r="T275" s="558"/>
    </row>
    <row r="276" spans="1:20" s="21" customFormat="1" ht="10.5">
      <c r="A276" s="46"/>
      <c r="B276" s="46"/>
      <c r="C276" s="46"/>
      <c r="D276" s="46"/>
      <c r="E276" s="76"/>
      <c r="F276" s="46"/>
      <c r="G276" s="267"/>
      <c r="H276" s="46"/>
      <c r="I276" s="46"/>
      <c r="J276" s="73"/>
      <c r="K276" s="73"/>
      <c r="L276" s="73"/>
      <c r="M276" s="73"/>
      <c r="N276" s="73"/>
      <c r="O276" s="73"/>
      <c r="P276" s="73"/>
      <c r="Q276" s="75"/>
      <c r="R276" s="73"/>
      <c r="T276" s="558"/>
    </row>
    <row r="277" spans="1:20" s="21" customFormat="1" ht="10.5">
      <c r="A277" s="46"/>
      <c r="B277" s="46"/>
      <c r="C277" s="46"/>
      <c r="D277" s="46"/>
      <c r="E277" s="76"/>
      <c r="F277" s="46"/>
      <c r="G277" s="267"/>
      <c r="H277" s="46"/>
      <c r="I277" s="46"/>
      <c r="J277" s="73"/>
      <c r="K277" s="73"/>
      <c r="L277" s="73"/>
      <c r="M277" s="73"/>
      <c r="N277" s="73"/>
      <c r="O277" s="73"/>
      <c r="P277" s="73"/>
      <c r="Q277" s="75"/>
      <c r="R277" s="73"/>
      <c r="T277" s="558"/>
    </row>
    <row r="278" spans="1:20" s="21" customFormat="1" ht="10.5">
      <c r="A278" s="46"/>
      <c r="B278" s="46"/>
      <c r="C278" s="46"/>
      <c r="D278" s="46"/>
      <c r="E278" s="76"/>
      <c r="F278" s="46"/>
      <c r="G278" s="267"/>
      <c r="H278" s="46"/>
      <c r="I278" s="46"/>
      <c r="J278" s="73"/>
      <c r="K278" s="73"/>
      <c r="L278" s="73"/>
      <c r="M278" s="73"/>
      <c r="N278" s="73"/>
      <c r="O278" s="73"/>
      <c r="P278" s="73"/>
      <c r="Q278" s="75"/>
      <c r="R278" s="73"/>
      <c r="T278" s="558"/>
    </row>
    <row r="279" spans="1:20" s="21" customFormat="1" ht="10.5">
      <c r="A279" s="46"/>
      <c r="B279" s="46"/>
      <c r="C279" s="46"/>
      <c r="D279" s="46"/>
      <c r="E279" s="76"/>
      <c r="F279" s="46"/>
      <c r="G279" s="267"/>
      <c r="H279" s="46"/>
      <c r="I279" s="46"/>
      <c r="J279" s="73"/>
      <c r="K279" s="73"/>
      <c r="L279" s="73"/>
      <c r="M279" s="73"/>
      <c r="N279" s="73"/>
      <c r="O279" s="73"/>
      <c r="P279" s="73"/>
      <c r="Q279" s="75"/>
      <c r="R279" s="73"/>
      <c r="T279" s="558"/>
    </row>
    <row r="280" spans="1:20" s="21" customFormat="1" ht="10.5">
      <c r="A280" s="46"/>
      <c r="B280" s="46"/>
      <c r="C280" s="46"/>
      <c r="D280" s="46"/>
      <c r="E280" s="76"/>
      <c r="F280" s="46"/>
      <c r="G280" s="267"/>
      <c r="H280" s="46"/>
      <c r="I280" s="46"/>
      <c r="J280" s="73"/>
      <c r="K280" s="73"/>
      <c r="L280" s="73"/>
      <c r="M280" s="73"/>
      <c r="N280" s="73"/>
      <c r="O280" s="73"/>
      <c r="P280" s="73"/>
      <c r="Q280" s="75"/>
      <c r="R280" s="73"/>
      <c r="T280" s="558"/>
    </row>
    <row r="281" spans="1:20" s="21" customFormat="1" ht="10.5">
      <c r="A281" s="46"/>
      <c r="B281" s="46"/>
      <c r="C281" s="46"/>
      <c r="D281" s="46"/>
      <c r="E281" s="76"/>
      <c r="F281" s="46"/>
      <c r="G281" s="267"/>
      <c r="H281" s="46"/>
      <c r="I281" s="46"/>
      <c r="J281" s="73"/>
      <c r="K281" s="73"/>
      <c r="L281" s="73"/>
      <c r="M281" s="73"/>
      <c r="N281" s="73"/>
      <c r="O281" s="73"/>
      <c r="P281" s="73"/>
      <c r="Q281" s="75"/>
      <c r="R281" s="73"/>
      <c r="T281" s="558"/>
    </row>
    <row r="282" spans="1:20" s="21" customFormat="1" ht="10.5">
      <c r="A282" s="46"/>
      <c r="B282" s="46"/>
      <c r="C282" s="46"/>
      <c r="D282" s="46"/>
      <c r="E282" s="76"/>
      <c r="F282" s="46"/>
      <c r="G282" s="267"/>
      <c r="H282" s="46"/>
      <c r="I282" s="46"/>
      <c r="J282" s="73"/>
      <c r="K282" s="73"/>
      <c r="L282" s="73"/>
      <c r="M282" s="73"/>
      <c r="N282" s="73"/>
      <c r="O282" s="73"/>
      <c r="P282" s="73"/>
      <c r="Q282" s="75"/>
      <c r="R282" s="73"/>
      <c r="T282" s="558"/>
    </row>
    <row r="283" spans="1:20" s="21" customFormat="1" ht="10.5">
      <c r="A283" s="46"/>
      <c r="B283" s="46"/>
      <c r="C283" s="46"/>
      <c r="D283" s="46"/>
      <c r="E283" s="76"/>
      <c r="F283" s="46"/>
      <c r="G283" s="267"/>
      <c r="H283" s="46"/>
      <c r="I283" s="46"/>
      <c r="J283" s="73"/>
      <c r="K283" s="73"/>
      <c r="L283" s="73"/>
      <c r="M283" s="73"/>
      <c r="N283" s="73"/>
      <c r="O283" s="73"/>
      <c r="P283" s="73"/>
      <c r="Q283" s="75"/>
      <c r="R283" s="73"/>
      <c r="T283" s="558"/>
    </row>
    <row r="284" spans="1:20" s="21" customFormat="1" ht="10.5">
      <c r="A284" s="46"/>
      <c r="B284" s="46"/>
      <c r="C284" s="46"/>
      <c r="D284" s="46"/>
      <c r="E284" s="76"/>
      <c r="F284" s="46"/>
      <c r="G284" s="267"/>
      <c r="H284" s="46"/>
      <c r="I284" s="46"/>
      <c r="J284" s="73"/>
      <c r="K284" s="73"/>
      <c r="L284" s="73"/>
      <c r="M284" s="73"/>
      <c r="N284" s="73"/>
      <c r="O284" s="73"/>
      <c r="P284" s="73"/>
      <c r="Q284" s="75"/>
      <c r="R284" s="73"/>
      <c r="T284" s="558"/>
    </row>
    <row r="285" spans="1:20" s="21" customFormat="1" ht="10.5">
      <c r="A285" s="46"/>
      <c r="B285" s="46"/>
      <c r="C285" s="46"/>
      <c r="D285" s="46"/>
      <c r="E285" s="76"/>
      <c r="F285" s="46"/>
      <c r="G285" s="267"/>
      <c r="H285" s="46"/>
      <c r="I285" s="46"/>
      <c r="J285" s="73"/>
      <c r="K285" s="73"/>
      <c r="L285" s="73"/>
      <c r="M285" s="73"/>
      <c r="N285" s="73"/>
      <c r="O285" s="73"/>
      <c r="P285" s="73"/>
      <c r="Q285" s="75"/>
      <c r="R285" s="73"/>
      <c r="T285" s="558"/>
    </row>
    <row r="286" spans="1:20" s="21" customFormat="1" ht="10.5">
      <c r="A286" s="46"/>
      <c r="B286" s="46"/>
      <c r="C286" s="46"/>
      <c r="D286" s="46"/>
      <c r="E286" s="76"/>
      <c r="F286" s="46"/>
      <c r="G286" s="267"/>
      <c r="H286" s="46"/>
      <c r="I286" s="46"/>
      <c r="J286" s="73"/>
      <c r="K286" s="73"/>
      <c r="L286" s="73"/>
      <c r="M286" s="73"/>
      <c r="N286" s="73"/>
      <c r="O286" s="73"/>
      <c r="P286" s="73"/>
      <c r="Q286" s="75"/>
      <c r="R286" s="73"/>
      <c r="T286" s="558"/>
    </row>
    <row r="287" spans="1:20" s="21" customFormat="1" ht="10.5">
      <c r="A287" s="46"/>
      <c r="B287" s="46"/>
      <c r="C287" s="46"/>
      <c r="D287" s="46"/>
      <c r="E287" s="76"/>
      <c r="F287" s="46"/>
      <c r="G287" s="267"/>
      <c r="H287" s="46"/>
      <c r="I287" s="46"/>
      <c r="J287" s="73"/>
      <c r="K287" s="73"/>
      <c r="L287" s="73"/>
      <c r="M287" s="73"/>
      <c r="N287" s="73"/>
      <c r="O287" s="73"/>
      <c r="P287" s="73"/>
      <c r="Q287" s="75"/>
      <c r="R287" s="73"/>
      <c r="T287" s="558"/>
    </row>
    <row r="288" spans="1:20" s="21" customFormat="1" ht="10.5">
      <c r="A288" s="46"/>
      <c r="B288" s="46"/>
      <c r="C288" s="46"/>
      <c r="D288" s="46"/>
      <c r="E288" s="76"/>
      <c r="F288" s="46"/>
      <c r="G288" s="267"/>
      <c r="H288" s="46"/>
      <c r="I288" s="46"/>
      <c r="J288" s="73"/>
      <c r="K288" s="73"/>
      <c r="L288" s="73"/>
      <c r="M288" s="73"/>
      <c r="N288" s="73"/>
      <c r="O288" s="73"/>
      <c r="P288" s="73"/>
      <c r="Q288" s="75"/>
      <c r="R288" s="73"/>
      <c r="T288" s="558"/>
    </row>
    <row r="289" spans="1:20" s="21" customFormat="1" ht="10.5">
      <c r="A289" s="46"/>
      <c r="B289" s="46"/>
      <c r="C289" s="46"/>
      <c r="D289" s="46"/>
      <c r="E289" s="76"/>
      <c r="F289" s="46"/>
      <c r="G289" s="267"/>
      <c r="H289" s="46"/>
      <c r="I289" s="46"/>
      <c r="J289" s="73"/>
      <c r="K289" s="73"/>
      <c r="L289" s="73"/>
      <c r="M289" s="73"/>
      <c r="N289" s="73"/>
      <c r="O289" s="73"/>
      <c r="P289" s="73"/>
      <c r="Q289" s="75"/>
      <c r="R289" s="73"/>
      <c r="T289" s="558"/>
    </row>
    <row r="290" spans="1:20" s="21" customFormat="1" ht="10.5">
      <c r="A290" s="46"/>
      <c r="B290" s="46"/>
      <c r="C290" s="46"/>
      <c r="D290" s="46"/>
      <c r="E290" s="76"/>
      <c r="F290" s="46"/>
      <c r="G290" s="267"/>
      <c r="H290" s="46"/>
      <c r="I290" s="46"/>
      <c r="J290" s="73"/>
      <c r="K290" s="73"/>
      <c r="L290" s="73"/>
      <c r="M290" s="73"/>
      <c r="N290" s="73"/>
      <c r="O290" s="73"/>
      <c r="P290" s="73"/>
      <c r="Q290" s="75"/>
      <c r="R290" s="73"/>
      <c r="T290" s="558"/>
    </row>
    <row r="291" spans="1:20" s="21" customFormat="1" ht="10.5">
      <c r="A291" s="46"/>
      <c r="B291" s="46"/>
      <c r="C291" s="46"/>
      <c r="D291" s="46"/>
      <c r="E291" s="76"/>
      <c r="F291" s="46"/>
      <c r="G291" s="267"/>
      <c r="H291" s="46"/>
      <c r="I291" s="46"/>
      <c r="J291" s="73"/>
      <c r="K291" s="73"/>
      <c r="L291" s="73"/>
      <c r="M291" s="73"/>
      <c r="N291" s="73"/>
      <c r="O291" s="73"/>
      <c r="P291" s="73"/>
      <c r="Q291" s="75"/>
      <c r="R291" s="73"/>
      <c r="T291" s="558"/>
    </row>
    <row r="292" spans="1:20" s="21" customFormat="1" ht="10.5">
      <c r="A292" s="46"/>
      <c r="B292" s="46"/>
      <c r="C292" s="46"/>
      <c r="D292" s="46"/>
      <c r="E292" s="76"/>
      <c r="F292" s="46"/>
      <c r="G292" s="267"/>
      <c r="H292" s="46"/>
      <c r="I292" s="46"/>
      <c r="J292" s="73"/>
      <c r="K292" s="73"/>
      <c r="L292" s="73"/>
      <c r="M292" s="73"/>
      <c r="N292" s="73"/>
      <c r="O292" s="73"/>
      <c r="P292" s="73"/>
      <c r="Q292" s="75"/>
      <c r="R292" s="73"/>
      <c r="T292" s="558"/>
    </row>
    <row r="293" spans="1:20" s="21" customFormat="1" ht="10.5">
      <c r="A293" s="46"/>
      <c r="B293" s="46"/>
      <c r="C293" s="46"/>
      <c r="D293" s="46"/>
      <c r="E293" s="76"/>
      <c r="F293" s="46"/>
      <c r="G293" s="267"/>
      <c r="H293" s="46"/>
      <c r="I293" s="46"/>
      <c r="J293" s="73"/>
      <c r="K293" s="73"/>
      <c r="L293" s="73"/>
      <c r="M293" s="73"/>
      <c r="N293" s="73"/>
      <c r="O293" s="73"/>
      <c r="P293" s="73"/>
      <c r="Q293" s="75"/>
      <c r="R293" s="73"/>
      <c r="T293" s="558"/>
    </row>
    <row r="294" spans="1:20" s="21" customFormat="1" ht="10.5">
      <c r="A294" s="46"/>
      <c r="B294" s="46"/>
      <c r="C294" s="46"/>
      <c r="D294" s="46"/>
      <c r="E294" s="76"/>
      <c r="F294" s="46"/>
      <c r="G294" s="267"/>
      <c r="H294" s="46"/>
      <c r="I294" s="46"/>
      <c r="J294" s="73"/>
      <c r="K294" s="73"/>
      <c r="L294" s="73"/>
      <c r="M294" s="73"/>
      <c r="N294" s="73"/>
      <c r="O294" s="73"/>
      <c r="P294" s="73"/>
      <c r="Q294" s="75"/>
      <c r="R294" s="73"/>
      <c r="T294" s="558"/>
    </row>
    <row r="295" spans="1:20" s="21" customFormat="1" ht="10.5">
      <c r="A295" s="46"/>
      <c r="B295" s="46"/>
      <c r="C295" s="46"/>
      <c r="D295" s="46"/>
      <c r="E295" s="76"/>
      <c r="F295" s="46"/>
      <c r="G295" s="267"/>
      <c r="H295" s="46"/>
      <c r="I295" s="46"/>
      <c r="J295" s="73"/>
      <c r="K295" s="73"/>
      <c r="L295" s="73"/>
      <c r="M295" s="73"/>
      <c r="N295" s="73"/>
      <c r="O295" s="73"/>
      <c r="P295" s="73"/>
      <c r="Q295" s="75"/>
      <c r="R295" s="73"/>
      <c r="T295" s="558"/>
    </row>
  </sheetData>
  <mergeCells count="116">
    <mergeCell ref="I124:R124"/>
    <mergeCell ref="I73:R73"/>
    <mergeCell ref="I78:R78"/>
    <mergeCell ref="I79:R79"/>
    <mergeCell ref="I81:R81"/>
    <mergeCell ref="I85:R85"/>
    <mergeCell ref="I123:R123"/>
    <mergeCell ref="I99:R99"/>
    <mergeCell ref="I91:R91"/>
    <mergeCell ref="I74:R74"/>
    <mergeCell ref="I97:R97"/>
    <mergeCell ref="I122:R122"/>
    <mergeCell ref="I98:R98"/>
    <mergeCell ref="I104:R104"/>
    <mergeCell ref="I100:R100"/>
    <mergeCell ref="I95:R95"/>
    <mergeCell ref="I87:R87"/>
    <mergeCell ref="I86:R86"/>
    <mergeCell ref="I93:R93"/>
    <mergeCell ref="I92:R92"/>
    <mergeCell ref="I88:R88"/>
    <mergeCell ref="I101:R101"/>
    <mergeCell ref="I102:R102"/>
    <mergeCell ref="I96:R96"/>
    <mergeCell ref="A2:C2"/>
    <mergeCell ref="Q3:R3"/>
    <mergeCell ref="F4:F5"/>
    <mergeCell ref="A6:C6"/>
    <mergeCell ref="E4:E5"/>
    <mergeCell ref="A4:D4"/>
    <mergeCell ref="G4:G5"/>
    <mergeCell ref="I4:R5"/>
    <mergeCell ref="I9:Q9"/>
    <mergeCell ref="B7:C7"/>
    <mergeCell ref="I22:Q22"/>
    <mergeCell ref="I23:Q23"/>
    <mergeCell ref="K28:L28"/>
    <mergeCell ref="K30:L30"/>
    <mergeCell ref="I38:R38"/>
    <mergeCell ref="I24:Q24"/>
    <mergeCell ref="I40:R40"/>
    <mergeCell ref="I37:R37"/>
    <mergeCell ref="I32:R32"/>
    <mergeCell ref="K29:L29"/>
    <mergeCell ref="I39:R39"/>
    <mergeCell ref="I16:Q16"/>
    <mergeCell ref="I21:Q21"/>
    <mergeCell ref="I6:R6"/>
    <mergeCell ref="I17:Q17"/>
    <mergeCell ref="I20:Q20"/>
    <mergeCell ref="I7:P7"/>
    <mergeCell ref="I18:Q18"/>
    <mergeCell ref="J10:M10"/>
    <mergeCell ref="N10:P10"/>
    <mergeCell ref="I19:Q19"/>
    <mergeCell ref="I41:R41"/>
    <mergeCell ref="I75:R75"/>
    <mergeCell ref="I76:R76"/>
    <mergeCell ref="K31:L31"/>
    <mergeCell ref="I63:R63"/>
    <mergeCell ref="I44:R44"/>
    <mergeCell ref="I61:R61"/>
    <mergeCell ref="I46:R46"/>
    <mergeCell ref="I72:R72"/>
    <mergeCell ref="I70:R70"/>
    <mergeCell ref="I42:R42"/>
    <mergeCell ref="I52:R52"/>
    <mergeCell ref="I45:R45"/>
    <mergeCell ref="I53:R53"/>
    <mergeCell ref="I71:R71"/>
    <mergeCell ref="I56:R56"/>
    <mergeCell ref="I43:R43"/>
    <mergeCell ref="I60:R60"/>
    <mergeCell ref="I50:R50"/>
    <mergeCell ref="I58:R58"/>
    <mergeCell ref="I69:R69"/>
    <mergeCell ref="I68:Q68"/>
    <mergeCell ref="B122:C122"/>
    <mergeCell ref="I107:R107"/>
    <mergeCell ref="I108:R108"/>
    <mergeCell ref="I112:R112"/>
    <mergeCell ref="B119:C119"/>
    <mergeCell ref="I113:R113"/>
    <mergeCell ref="I117:R117"/>
    <mergeCell ref="I103:R103"/>
    <mergeCell ref="B116:C116"/>
    <mergeCell ref="I119:R119"/>
    <mergeCell ref="I121:R121"/>
    <mergeCell ref="I120:R120"/>
    <mergeCell ref="I110:R110"/>
    <mergeCell ref="I116:R116"/>
    <mergeCell ref="I109:R109"/>
    <mergeCell ref="I118:R118"/>
    <mergeCell ref="I115:R115"/>
    <mergeCell ref="I114:R114"/>
    <mergeCell ref="I111:R111"/>
    <mergeCell ref="I94:R94"/>
    <mergeCell ref="B47:C47"/>
    <mergeCell ref="I67:R67"/>
    <mergeCell ref="I62:R62"/>
    <mergeCell ref="I64:R64"/>
    <mergeCell ref="I66:R66"/>
    <mergeCell ref="I90:R90"/>
    <mergeCell ref="I77:R77"/>
    <mergeCell ref="B52:C52"/>
    <mergeCell ref="I54:R54"/>
    <mergeCell ref="I55:R55"/>
    <mergeCell ref="I57:R57"/>
    <mergeCell ref="I51:R51"/>
    <mergeCell ref="I47:R47"/>
    <mergeCell ref="I48:R48"/>
    <mergeCell ref="I83:R83"/>
    <mergeCell ref="I80:R80"/>
    <mergeCell ref="I84:R84"/>
    <mergeCell ref="I49:R49"/>
    <mergeCell ref="I82:R82"/>
  </mergeCells>
  <phoneticPr fontId="2" type="noConversion"/>
  <pageMargins left="0.17" right="0.31" top="0.5" bottom="0.36" header="0.28999999999999998" footer="0.17"/>
  <pageSetup paperSize="9" scale="8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Y92"/>
  <sheetViews>
    <sheetView workbookViewId="0">
      <selection activeCell="F49" sqref="F49"/>
    </sheetView>
  </sheetViews>
  <sheetFormatPr defaultRowHeight="13.5"/>
  <cols>
    <col min="1" max="1" width="6.77734375" style="46" customWidth="1"/>
    <col min="2" max="2" width="7.109375" style="46" customWidth="1"/>
    <col min="3" max="3" width="9.109375" style="46" customWidth="1"/>
    <col min="4" max="4" width="8.6640625" style="46" customWidth="1"/>
    <col min="5" max="5" width="10.109375" style="46" customWidth="1"/>
    <col min="6" max="6" width="11.33203125" style="47" customWidth="1"/>
    <col min="7" max="7" width="10.109375" style="72" customWidth="1"/>
    <col min="8" max="11" width="3.6640625" style="46" customWidth="1"/>
    <col min="12" max="12" width="1.77734375" style="46" customWidth="1"/>
    <col min="13" max="13" width="5.5546875" style="46" bestFit="1" customWidth="1"/>
    <col min="14" max="14" width="1.88671875" style="46" customWidth="1"/>
    <col min="15" max="15" width="1.5546875" style="46" customWidth="1"/>
    <col min="16" max="16" width="3.5546875" style="46" customWidth="1"/>
    <col min="17" max="17" width="2.77734375" style="46" customWidth="1"/>
    <col min="18" max="18" width="0" style="537" hidden="1" customWidth="1"/>
    <col min="19" max="21" width="9.109375" style="433" hidden="1" customWidth="1"/>
    <col min="22" max="22" width="14.33203125" hidden="1" customWidth="1"/>
    <col min="23" max="23" width="13.21875" bestFit="1" customWidth="1"/>
    <col min="25" max="25" width="15" bestFit="1" customWidth="1"/>
  </cols>
  <sheetData>
    <row r="1" spans="1:25" s="5" customFormat="1" ht="15.75" customHeight="1">
      <c r="A1" s="41" t="s">
        <v>945</v>
      </c>
      <c r="B1" s="44"/>
      <c r="C1" s="44"/>
      <c r="D1" s="44"/>
      <c r="E1" s="44"/>
      <c r="F1" s="43"/>
      <c r="G1" s="74"/>
      <c r="H1" s="1068"/>
      <c r="I1" s="1068"/>
      <c r="J1" s="1068"/>
      <c r="K1" s="1068"/>
      <c r="L1" s="1068"/>
      <c r="M1" s="1068"/>
      <c r="N1" s="1068"/>
      <c r="O1" s="1068"/>
      <c r="P1" s="1068"/>
      <c r="Q1" s="1068"/>
      <c r="R1" s="531"/>
      <c r="S1" s="449"/>
      <c r="T1" s="449"/>
      <c r="U1" s="449"/>
      <c r="V1" s="448"/>
      <c r="W1" s="448"/>
    </row>
    <row r="2" spans="1:25" s="5" customFormat="1" ht="22.5" customHeight="1">
      <c r="A2" s="1005" t="s">
        <v>60</v>
      </c>
      <c r="B2" s="1005"/>
      <c r="C2" s="1006"/>
      <c r="D2" s="34"/>
      <c r="E2" s="44"/>
      <c r="F2" s="43"/>
      <c r="G2" s="74"/>
      <c r="H2" s="1068"/>
      <c r="I2" s="1068"/>
      <c r="J2" s="1068"/>
      <c r="K2" s="1068"/>
      <c r="L2" s="1068"/>
      <c r="M2" s="1068"/>
      <c r="N2" s="1068"/>
      <c r="O2" s="1068"/>
      <c r="P2" s="1068"/>
      <c r="Q2" s="1068"/>
      <c r="R2" s="531"/>
      <c r="S2" s="449"/>
      <c r="T2" s="449"/>
      <c r="U2" s="449"/>
      <c r="V2" s="448"/>
      <c r="W2" s="448"/>
    </row>
    <row r="3" spans="1:25" s="4" customFormat="1" ht="18" customHeight="1">
      <c r="A3" s="44"/>
      <c r="B3" s="44"/>
      <c r="C3" s="44"/>
      <c r="D3" s="44"/>
      <c r="E3" s="44"/>
      <c r="F3" s="43"/>
      <c r="G3" s="74"/>
      <c r="H3" s="1069" t="s">
        <v>0</v>
      </c>
      <c r="I3" s="1069"/>
      <c r="J3" s="1069"/>
      <c r="K3" s="1069"/>
      <c r="L3" s="1069"/>
      <c r="M3" s="1069"/>
      <c r="N3" s="1069"/>
      <c r="O3" s="1069"/>
      <c r="P3" s="1069"/>
      <c r="Q3" s="1069"/>
      <c r="R3" s="532"/>
      <c r="S3" s="451"/>
      <c r="T3" s="451"/>
      <c r="U3" s="451"/>
      <c r="V3" s="450"/>
      <c r="W3" s="450"/>
    </row>
    <row r="4" spans="1:25" s="3" customFormat="1" ht="22.5" customHeight="1">
      <c r="A4" s="1010" t="s">
        <v>4</v>
      </c>
      <c r="B4" s="1011"/>
      <c r="C4" s="1011"/>
      <c r="D4" s="1012"/>
      <c r="E4" s="938" t="str">
        <f>라.보조금세출내역!E4:E5</f>
        <v>2015년도
1차추경
( A )</v>
      </c>
      <c r="F4" s="936" t="str">
        <f>라.보조금세출내역!F4:F5</f>
        <v>2015년도
2차추경
( B )</v>
      </c>
      <c r="G4" s="1063" t="s">
        <v>46</v>
      </c>
      <c r="H4" s="948" t="s">
        <v>70</v>
      </c>
      <c r="I4" s="948"/>
      <c r="J4" s="948"/>
      <c r="K4" s="948"/>
      <c r="L4" s="948"/>
      <c r="M4" s="948"/>
      <c r="N4" s="948"/>
      <c r="O4" s="948"/>
      <c r="P4" s="948"/>
      <c r="Q4" s="1070"/>
      <c r="R4" s="533"/>
      <c r="S4" s="453"/>
      <c r="T4" s="453"/>
      <c r="U4" s="453"/>
      <c r="V4" s="452"/>
      <c r="W4" s="452"/>
    </row>
    <row r="5" spans="1:25" s="3" customFormat="1" ht="22.5" customHeight="1" thickBot="1">
      <c r="A5" s="180" t="s">
        <v>1</v>
      </c>
      <c r="B5" s="181" t="s">
        <v>2</v>
      </c>
      <c r="C5" s="181" t="s">
        <v>3</v>
      </c>
      <c r="D5" s="181" t="s">
        <v>118</v>
      </c>
      <c r="E5" s="939"/>
      <c r="F5" s="937"/>
      <c r="G5" s="1064"/>
      <c r="H5" s="949"/>
      <c r="I5" s="949"/>
      <c r="J5" s="949"/>
      <c r="K5" s="949"/>
      <c r="L5" s="949"/>
      <c r="M5" s="949"/>
      <c r="N5" s="949"/>
      <c r="O5" s="949"/>
      <c r="P5" s="949"/>
      <c r="Q5" s="1071"/>
      <c r="R5" s="533"/>
      <c r="S5" s="453" t="s">
        <v>446</v>
      </c>
      <c r="T5" s="453"/>
      <c r="U5" s="453"/>
      <c r="V5" s="452"/>
      <c r="W5" s="452"/>
    </row>
    <row r="6" spans="1:25" s="3" customFormat="1" ht="16.5" customHeight="1" thickTop="1">
      <c r="A6" s="1008" t="s">
        <v>42</v>
      </c>
      <c r="B6" s="1009"/>
      <c r="C6" s="1009"/>
      <c r="D6" s="175"/>
      <c r="E6" s="90">
        <f>E7+E45+E50+E89+E86+E83</f>
        <v>236600000</v>
      </c>
      <c r="F6" s="90">
        <f>F7+F45+F50+F89+F86+F83</f>
        <v>236600000</v>
      </c>
      <c r="G6" s="91">
        <f>G7+G45+G50+G89+G86+G83</f>
        <v>0</v>
      </c>
      <c r="H6" s="1043"/>
      <c r="I6" s="1043"/>
      <c r="J6" s="1043"/>
      <c r="K6" s="1043"/>
      <c r="L6" s="1043"/>
      <c r="M6" s="1043"/>
      <c r="N6" s="1043"/>
      <c r="O6" s="1043"/>
      <c r="P6" s="1043"/>
      <c r="Q6" s="1044"/>
      <c r="R6" s="533"/>
      <c r="S6" s="453"/>
      <c r="T6" s="453">
        <f>SUM(T7:T12)</f>
        <v>181508600</v>
      </c>
      <c r="U6" s="453">
        <f>SUM(U7:U12)</f>
        <v>206503690</v>
      </c>
      <c r="V6" s="466">
        <f>SUM(V32:V91)</f>
        <v>198008600</v>
      </c>
      <c r="W6" s="452"/>
      <c r="Y6" s="582">
        <f>'다-1.자부담세입내역'!E6</f>
        <v>236600000</v>
      </c>
    </row>
    <row r="7" spans="1:25" s="1" customFormat="1" ht="16.5" customHeight="1">
      <c r="A7" s="82" t="s">
        <v>10</v>
      </c>
      <c r="B7" s="952" t="s">
        <v>187</v>
      </c>
      <c r="C7" s="953"/>
      <c r="D7" s="83"/>
      <c r="E7" s="280">
        <v>73300000</v>
      </c>
      <c r="F7" s="280">
        <f>F8+F33+F38</f>
        <v>86300000</v>
      </c>
      <c r="G7" s="50">
        <f>G8+G33+G38</f>
        <v>13000000</v>
      </c>
      <c r="H7" s="1045"/>
      <c r="I7" s="1045"/>
      <c r="J7" s="1045"/>
      <c r="K7" s="1045"/>
      <c r="L7" s="1045"/>
      <c r="M7" s="1045"/>
      <c r="N7" s="1045"/>
      <c r="O7" s="1045"/>
      <c r="P7" s="1045"/>
      <c r="Q7" s="1046"/>
      <c r="R7" s="534"/>
      <c r="S7" s="455" t="s">
        <v>403</v>
      </c>
      <c r="T7" s="455">
        <f>'다-1.자부담세입내역'!E8</f>
        <v>104400000</v>
      </c>
      <c r="U7" s="456">
        <f>T41+T52+T74+T76+T77+T53</f>
        <v>86500000</v>
      </c>
      <c r="V7" s="538">
        <f t="shared" ref="V7:V12" si="0">T7-U7</f>
        <v>17900000</v>
      </c>
      <c r="W7" s="454"/>
    </row>
    <row r="8" spans="1:25" s="1" customFormat="1" ht="16.5" customHeight="1">
      <c r="A8" s="205"/>
      <c r="B8" s="86" t="s">
        <v>56</v>
      </c>
      <c r="C8" s="83" t="s">
        <v>7</v>
      </c>
      <c r="D8" s="83"/>
      <c r="E8" s="244">
        <v>19200000</v>
      </c>
      <c r="F8" s="244">
        <f>F9+F10+F11+F12+F26+F27+F32</f>
        <v>33495090</v>
      </c>
      <c r="G8" s="52">
        <f>G9+G10+G11+G12+G26+G27+G32</f>
        <v>14295090</v>
      </c>
      <c r="H8" s="1045"/>
      <c r="I8" s="1045"/>
      <c r="J8" s="1045"/>
      <c r="K8" s="1045"/>
      <c r="L8" s="1045"/>
      <c r="M8" s="1045"/>
      <c r="N8" s="1045"/>
      <c r="O8" s="1045"/>
      <c r="P8" s="1045"/>
      <c r="Q8" s="1046"/>
      <c r="R8" s="534"/>
      <c r="S8" s="455" t="s">
        <v>409</v>
      </c>
      <c r="T8" s="455">
        <v>0</v>
      </c>
      <c r="U8" s="455">
        <f>F79</f>
        <v>0</v>
      </c>
      <c r="V8" s="538">
        <f t="shared" si="0"/>
        <v>0</v>
      </c>
      <c r="W8" s="454"/>
      <c r="Y8" s="9">
        <f>F6-Y6</f>
        <v>0</v>
      </c>
    </row>
    <row r="9" spans="1:25" s="1" customFormat="1" ht="16.5" hidden="1" customHeight="1">
      <c r="A9" s="206"/>
      <c r="B9" s="213"/>
      <c r="C9" s="83" t="s">
        <v>11</v>
      </c>
      <c r="D9" s="83"/>
      <c r="E9" s="244">
        <v>0</v>
      </c>
      <c r="F9" s="244">
        <v>0</v>
      </c>
      <c r="G9" s="52">
        <f>F9-E9</f>
        <v>0</v>
      </c>
      <c r="H9" s="1045"/>
      <c r="I9" s="1045"/>
      <c r="J9" s="1045"/>
      <c r="K9" s="1045"/>
      <c r="L9" s="1045"/>
      <c r="M9" s="1045"/>
      <c r="N9" s="1045"/>
      <c r="O9" s="1045"/>
      <c r="P9" s="1045"/>
      <c r="Q9" s="1046"/>
      <c r="R9" s="534"/>
      <c r="S9" s="455" t="s">
        <v>408</v>
      </c>
      <c r="T9" s="455">
        <v>43648948</v>
      </c>
      <c r="U9" s="457">
        <f>F9+F10+F11+F12+F26+F27+S32+S41+S40+S42+S44+S47+S48+S49+S35+S37+S43+S74+S75+S76+S53+S89</f>
        <v>86544038</v>
      </c>
      <c r="V9" s="538">
        <f t="shared" si="0"/>
        <v>-42895090</v>
      </c>
      <c r="W9" s="454"/>
    </row>
    <row r="10" spans="1:25" s="1" customFormat="1" ht="16.5" hidden="1" customHeight="1">
      <c r="A10" s="206"/>
      <c r="B10" s="209"/>
      <c r="C10" s="652" t="s">
        <v>850</v>
      </c>
      <c r="D10" s="83"/>
      <c r="E10" s="244">
        <v>0</v>
      </c>
      <c r="F10" s="691">
        <v>0</v>
      </c>
      <c r="G10" s="52">
        <f>F10-E10</f>
        <v>0</v>
      </c>
      <c r="H10" s="1045"/>
      <c r="I10" s="1045"/>
      <c r="J10" s="1045"/>
      <c r="K10" s="1045"/>
      <c r="L10" s="1045"/>
      <c r="M10" s="1045"/>
      <c r="N10" s="1045"/>
      <c r="O10" s="1045"/>
      <c r="P10" s="1045"/>
      <c r="Q10" s="1046"/>
      <c r="R10" s="534"/>
      <c r="S10" s="455" t="s">
        <v>405</v>
      </c>
      <c r="T10" s="455">
        <v>19000000</v>
      </c>
      <c r="U10" s="458">
        <f>U52</f>
        <v>19000000</v>
      </c>
      <c r="V10" s="538">
        <f t="shared" si="0"/>
        <v>0</v>
      </c>
      <c r="W10" s="454"/>
    </row>
    <row r="11" spans="1:25" s="1" customFormat="1" ht="16.5" hidden="1" customHeight="1">
      <c r="A11" s="206"/>
      <c r="B11" s="209"/>
      <c r="C11" s="83" t="s">
        <v>13</v>
      </c>
      <c r="D11" s="83"/>
      <c r="E11" s="244"/>
      <c r="F11" s="691">
        <v>0</v>
      </c>
      <c r="G11" s="52">
        <f>F11-E11</f>
        <v>0</v>
      </c>
      <c r="H11" s="1045"/>
      <c r="I11" s="1045"/>
      <c r="J11" s="1045"/>
      <c r="K11" s="1045"/>
      <c r="L11" s="1045"/>
      <c r="M11" s="1045"/>
      <c r="N11" s="1045"/>
      <c r="O11" s="1045"/>
      <c r="P11" s="1045"/>
      <c r="Q11" s="1046"/>
      <c r="R11" s="534"/>
      <c r="S11" s="455" t="s">
        <v>404</v>
      </c>
      <c r="T11" s="455">
        <v>9283923</v>
      </c>
      <c r="U11" s="459">
        <f>U89+U86+U53+U40+U41+U42+U43+U44+U49+U34+U37+U77</f>
        <v>9283923</v>
      </c>
      <c r="V11" s="538">
        <f t="shared" si="0"/>
        <v>0</v>
      </c>
      <c r="W11" s="454"/>
    </row>
    <row r="12" spans="1:25" s="1" customFormat="1" ht="16.5" customHeight="1">
      <c r="A12" s="206"/>
      <c r="B12" s="209"/>
      <c r="C12" s="83" t="s">
        <v>14</v>
      </c>
      <c r="D12" s="83" t="s">
        <v>117</v>
      </c>
      <c r="E12" s="244">
        <v>0</v>
      </c>
      <c r="F12" s="244">
        <f>SUM(F13:F25)</f>
        <v>7500000</v>
      </c>
      <c r="G12" s="52">
        <f>SUM(G13:G22)</f>
        <v>7500000</v>
      </c>
      <c r="H12" s="1045"/>
      <c r="I12" s="1045"/>
      <c r="J12" s="1045"/>
      <c r="K12" s="1045"/>
      <c r="L12" s="1045"/>
      <c r="M12" s="1045"/>
      <c r="N12" s="1045"/>
      <c r="O12" s="1045"/>
      <c r="P12" s="1045"/>
      <c r="Q12" s="1046"/>
      <c r="R12" s="534"/>
      <c r="S12" s="455" t="s">
        <v>414</v>
      </c>
      <c r="T12" s="455">
        <v>5175729</v>
      </c>
      <c r="U12" s="460">
        <f>U73+U74+U75+U76</f>
        <v>5175729</v>
      </c>
      <c r="V12" s="538">
        <f t="shared" si="0"/>
        <v>0</v>
      </c>
      <c r="W12" s="454"/>
    </row>
    <row r="13" spans="1:25" s="1" customFormat="1" ht="16.5" hidden="1" customHeight="1">
      <c r="A13" s="206"/>
      <c r="B13" s="209"/>
      <c r="C13" s="213"/>
      <c r="D13" s="49" t="s">
        <v>308</v>
      </c>
      <c r="E13" s="244">
        <v>0</v>
      </c>
      <c r="F13" s="244">
        <v>0</v>
      </c>
      <c r="G13" s="52">
        <f>F13-E13</f>
        <v>0</v>
      </c>
      <c r="H13" s="1045"/>
      <c r="I13" s="1045"/>
      <c r="J13" s="1045"/>
      <c r="K13" s="1045"/>
      <c r="L13" s="1045"/>
      <c r="M13" s="1045"/>
      <c r="N13" s="1045"/>
      <c r="O13" s="1045"/>
      <c r="P13" s="1045"/>
      <c r="Q13" s="1046"/>
      <c r="R13" s="534"/>
      <c r="S13" s="455"/>
      <c r="T13" s="455"/>
      <c r="U13" s="455"/>
      <c r="V13" s="454"/>
      <c r="W13" s="454"/>
    </row>
    <row r="14" spans="1:25" s="1" customFormat="1" ht="16.5" hidden="1" customHeight="1">
      <c r="A14" s="206"/>
      <c r="B14" s="209"/>
      <c r="C14" s="209"/>
      <c r="D14" s="83" t="s">
        <v>206</v>
      </c>
      <c r="E14" s="244">
        <v>0</v>
      </c>
      <c r="F14" s="244">
        <v>0</v>
      </c>
      <c r="G14" s="52">
        <f t="shared" ref="G14:G32" si="1">F14-E14</f>
        <v>0</v>
      </c>
      <c r="H14" s="1045"/>
      <c r="I14" s="1045"/>
      <c r="J14" s="1045"/>
      <c r="K14" s="1045"/>
      <c r="L14" s="1045"/>
      <c r="M14" s="1045"/>
      <c r="N14" s="1045"/>
      <c r="O14" s="1045"/>
      <c r="P14" s="1045"/>
      <c r="Q14" s="1046"/>
      <c r="R14" s="534"/>
      <c r="S14" s="455"/>
      <c r="T14" s="455"/>
      <c r="U14" s="455"/>
      <c r="V14" s="454"/>
      <c r="W14" s="454"/>
    </row>
    <row r="15" spans="1:25" s="1" customFormat="1" ht="16.5" hidden="1" customHeight="1">
      <c r="A15" s="206"/>
      <c r="B15" s="209"/>
      <c r="C15" s="252"/>
      <c r="D15" s="86" t="s">
        <v>207</v>
      </c>
      <c r="E15" s="244">
        <v>0</v>
      </c>
      <c r="F15" s="244">
        <v>0</v>
      </c>
      <c r="G15" s="52">
        <f t="shared" si="1"/>
        <v>0</v>
      </c>
      <c r="H15" s="1045"/>
      <c r="I15" s="1045"/>
      <c r="J15" s="1045"/>
      <c r="K15" s="1045"/>
      <c r="L15" s="1045"/>
      <c r="M15" s="1045"/>
      <c r="N15" s="1045"/>
      <c r="O15" s="1045"/>
      <c r="P15" s="1045"/>
      <c r="Q15" s="1046"/>
      <c r="R15" s="534"/>
      <c r="S15" s="455"/>
      <c r="T15" s="455"/>
      <c r="U15" s="455"/>
      <c r="V15" s="454"/>
      <c r="W15" s="454"/>
    </row>
    <row r="16" spans="1:25" s="1" customFormat="1" ht="16.5" hidden="1" customHeight="1">
      <c r="A16" s="206"/>
      <c r="B16" s="209"/>
      <c r="C16" s="252"/>
      <c r="D16" s="87" t="s">
        <v>315</v>
      </c>
      <c r="E16" s="244">
        <v>0</v>
      </c>
      <c r="F16" s="244">
        <v>0</v>
      </c>
      <c r="G16" s="84">
        <f t="shared" si="1"/>
        <v>0</v>
      </c>
      <c r="H16" s="1045"/>
      <c r="I16" s="1045"/>
      <c r="J16" s="1045"/>
      <c r="K16" s="1045"/>
      <c r="L16" s="1045"/>
      <c r="M16" s="1045"/>
      <c r="N16" s="1045"/>
      <c r="O16" s="1045"/>
      <c r="P16" s="1045"/>
      <c r="Q16" s="1046"/>
      <c r="R16" s="534"/>
      <c r="S16" s="455"/>
      <c r="T16" s="455"/>
      <c r="U16" s="455"/>
      <c r="V16" s="454"/>
      <c r="W16" s="454"/>
    </row>
    <row r="17" spans="1:25" s="1" customFormat="1" ht="16.5" hidden="1" customHeight="1">
      <c r="A17" s="206"/>
      <c r="B17" s="209"/>
      <c r="C17" s="252"/>
      <c r="D17" s="87" t="s">
        <v>316</v>
      </c>
      <c r="E17" s="244">
        <v>0</v>
      </c>
      <c r="F17" s="244">
        <v>0</v>
      </c>
      <c r="G17" s="84"/>
      <c r="H17" s="1045"/>
      <c r="I17" s="1045"/>
      <c r="J17" s="1045"/>
      <c r="K17" s="1045"/>
      <c r="L17" s="1045"/>
      <c r="M17" s="1045"/>
      <c r="N17" s="1045"/>
      <c r="O17" s="1045"/>
      <c r="P17" s="1045"/>
      <c r="Q17" s="1046"/>
      <c r="R17" s="534"/>
      <c r="S17" s="455"/>
      <c r="T17" s="455"/>
      <c r="U17" s="455"/>
      <c r="V17" s="454"/>
      <c r="W17" s="454"/>
    </row>
    <row r="18" spans="1:25" s="1" customFormat="1" ht="16.5" hidden="1" customHeight="1">
      <c r="A18" s="206"/>
      <c r="B18" s="209"/>
      <c r="C18" s="252"/>
      <c r="D18" s="49" t="s">
        <v>317</v>
      </c>
      <c r="E18" s="244">
        <v>0</v>
      </c>
      <c r="F18" s="244">
        <v>0</v>
      </c>
      <c r="G18" s="84"/>
      <c r="H18" s="1045"/>
      <c r="I18" s="1045"/>
      <c r="J18" s="1045"/>
      <c r="K18" s="1045"/>
      <c r="L18" s="1045"/>
      <c r="M18" s="1045"/>
      <c r="N18" s="1045"/>
      <c r="O18" s="1045"/>
      <c r="P18" s="1045"/>
      <c r="Q18" s="1046"/>
      <c r="R18" s="534"/>
      <c r="S18" s="455"/>
      <c r="T18" s="455"/>
      <c r="U18" s="455"/>
      <c r="V18" s="454"/>
      <c r="W18" s="454"/>
    </row>
    <row r="19" spans="1:25" s="1" customFormat="1" ht="16.5" hidden="1" customHeight="1">
      <c r="A19" s="206"/>
      <c r="B19" s="209"/>
      <c r="C19" s="252"/>
      <c r="D19" s="57" t="s">
        <v>309</v>
      </c>
      <c r="E19" s="244">
        <v>0</v>
      </c>
      <c r="F19" s="244">
        <v>0</v>
      </c>
      <c r="G19" s="52">
        <f t="shared" si="1"/>
        <v>0</v>
      </c>
      <c r="H19" s="1045"/>
      <c r="I19" s="1045"/>
      <c r="J19" s="1045"/>
      <c r="K19" s="1045"/>
      <c r="L19" s="1045"/>
      <c r="M19" s="1045"/>
      <c r="N19" s="1045"/>
      <c r="O19" s="1045"/>
      <c r="P19" s="1045"/>
      <c r="Q19" s="1046"/>
      <c r="R19" s="534"/>
      <c r="S19" s="455"/>
      <c r="T19" s="455"/>
      <c r="U19" s="455"/>
      <c r="V19" s="454"/>
      <c r="W19" s="454"/>
    </row>
    <row r="20" spans="1:25" s="1" customFormat="1" ht="16.5" hidden="1" customHeight="1">
      <c r="A20" s="206"/>
      <c r="B20" s="209"/>
      <c r="C20" s="252"/>
      <c r="D20" s="86" t="s">
        <v>208</v>
      </c>
      <c r="E20" s="244">
        <v>0</v>
      </c>
      <c r="F20" s="244">
        <v>0</v>
      </c>
      <c r="G20" s="52">
        <f t="shared" si="1"/>
        <v>0</v>
      </c>
      <c r="H20" s="1045"/>
      <c r="I20" s="1045"/>
      <c r="J20" s="1045"/>
      <c r="K20" s="1045"/>
      <c r="L20" s="1045"/>
      <c r="M20" s="1045"/>
      <c r="N20" s="1045"/>
      <c r="O20" s="1045"/>
      <c r="P20" s="1045"/>
      <c r="Q20" s="1046"/>
      <c r="R20" s="534"/>
      <c r="S20" s="455"/>
      <c r="T20" s="455"/>
      <c r="U20" s="455"/>
      <c r="V20" s="454"/>
      <c r="W20" s="454"/>
    </row>
    <row r="21" spans="1:25" s="1" customFormat="1" ht="16.5" customHeight="1">
      <c r="A21" s="206"/>
      <c r="B21" s="209"/>
      <c r="C21" s="252"/>
      <c r="D21" s="653" t="s">
        <v>930</v>
      </c>
      <c r="E21" s="244">
        <v>0</v>
      </c>
      <c r="F21" s="244">
        <f>'인건비총계표(자부담)'!S5</f>
        <v>7500000</v>
      </c>
      <c r="G21" s="52">
        <f t="shared" si="1"/>
        <v>7500000</v>
      </c>
      <c r="H21" s="1045" t="s">
        <v>931</v>
      </c>
      <c r="I21" s="1045"/>
      <c r="J21" s="1045"/>
      <c r="K21" s="1045"/>
      <c r="L21" s="1045"/>
      <c r="M21" s="1045"/>
      <c r="N21" s="1045"/>
      <c r="O21" s="1045"/>
      <c r="P21" s="1045"/>
      <c r="Q21" s="1046"/>
      <c r="R21" s="534"/>
      <c r="S21" s="455"/>
      <c r="T21" s="455"/>
      <c r="U21" s="455"/>
      <c r="V21" s="454"/>
      <c r="W21" s="454"/>
      <c r="Y21" s="9"/>
    </row>
    <row r="22" spans="1:25" s="1" customFormat="1" ht="16.5" hidden="1" customHeight="1">
      <c r="A22" s="206"/>
      <c r="B22" s="209"/>
      <c r="C22" s="254"/>
      <c r="D22" s="56" t="s">
        <v>209</v>
      </c>
      <c r="E22" s="244">
        <v>0</v>
      </c>
      <c r="F22" s="244">
        <v>0</v>
      </c>
      <c r="G22" s="52">
        <f t="shared" si="1"/>
        <v>0</v>
      </c>
      <c r="H22" s="1045"/>
      <c r="I22" s="1045"/>
      <c r="J22" s="1045"/>
      <c r="K22" s="1045"/>
      <c r="L22" s="1045"/>
      <c r="M22" s="1045"/>
      <c r="N22" s="1045"/>
      <c r="O22" s="1045"/>
      <c r="P22" s="1045"/>
      <c r="Q22" s="1046"/>
      <c r="R22" s="534"/>
      <c r="S22" s="455"/>
      <c r="T22" s="455"/>
      <c r="U22" s="455"/>
      <c r="V22" s="454"/>
      <c r="W22" s="454"/>
    </row>
    <row r="23" spans="1:25" s="1" customFormat="1" ht="16.5" hidden="1" customHeight="1">
      <c r="A23" s="206"/>
      <c r="B23" s="209"/>
      <c r="C23" s="252"/>
      <c r="D23" s="56" t="s">
        <v>320</v>
      </c>
      <c r="E23" s="244">
        <v>0</v>
      </c>
      <c r="F23" s="244">
        <v>0</v>
      </c>
      <c r="G23" s="52">
        <f t="shared" si="1"/>
        <v>0</v>
      </c>
      <c r="H23" s="1040"/>
      <c r="I23" s="1041"/>
      <c r="J23" s="1041"/>
      <c r="K23" s="1041"/>
      <c r="L23" s="1041"/>
      <c r="M23" s="1041"/>
      <c r="N23" s="1041"/>
      <c r="O23" s="1041"/>
      <c r="P23" s="1041"/>
      <c r="Q23" s="1042"/>
      <c r="R23" s="534"/>
      <c r="S23" s="455"/>
      <c r="T23" s="455"/>
      <c r="U23" s="455"/>
      <c r="V23" s="454"/>
      <c r="W23" s="454"/>
    </row>
    <row r="24" spans="1:25" s="1" customFormat="1" ht="16.5" hidden="1" customHeight="1">
      <c r="A24" s="206"/>
      <c r="B24" s="209"/>
      <c r="C24" s="252"/>
      <c r="D24" s="56" t="s">
        <v>406</v>
      </c>
      <c r="E24" s="244">
        <v>0</v>
      </c>
      <c r="F24" s="244">
        <v>0</v>
      </c>
      <c r="G24" s="52">
        <f>F24-E24</f>
        <v>0</v>
      </c>
      <c r="H24" s="1052"/>
      <c r="I24" s="1053"/>
      <c r="J24" s="1053"/>
      <c r="K24" s="1053"/>
      <c r="L24" s="1053"/>
      <c r="M24" s="1053"/>
      <c r="N24" s="1053"/>
      <c r="O24" s="1053"/>
      <c r="P24" s="1053"/>
      <c r="Q24" s="1054"/>
      <c r="R24" s="534"/>
      <c r="S24" s="455"/>
      <c r="T24" s="455"/>
      <c r="U24" s="455"/>
      <c r="V24" s="454"/>
      <c r="W24" s="454"/>
    </row>
    <row r="25" spans="1:25" s="1" customFormat="1" ht="16.5" hidden="1" customHeight="1">
      <c r="A25" s="206"/>
      <c r="B25" s="209"/>
      <c r="C25" s="234"/>
      <c r="D25" s="56" t="s">
        <v>407</v>
      </c>
      <c r="E25" s="244">
        <v>0</v>
      </c>
      <c r="F25" s="244">
        <v>0</v>
      </c>
      <c r="G25" s="52">
        <f>F25-E25</f>
        <v>0</v>
      </c>
      <c r="H25" s="1052"/>
      <c r="I25" s="1053"/>
      <c r="J25" s="1053"/>
      <c r="K25" s="1053"/>
      <c r="L25" s="1053"/>
      <c r="M25" s="1053"/>
      <c r="N25" s="1053"/>
      <c r="O25" s="1053"/>
      <c r="P25" s="1053"/>
      <c r="Q25" s="1054"/>
      <c r="R25" s="534"/>
      <c r="S25" s="455"/>
      <c r="T25" s="455"/>
      <c r="U25" s="455"/>
      <c r="V25" s="454"/>
      <c r="W25" s="454"/>
    </row>
    <row r="26" spans="1:25" s="1" customFormat="1" ht="16.5" customHeight="1">
      <c r="A26" s="206"/>
      <c r="B26" s="209"/>
      <c r="C26" s="56" t="s">
        <v>210</v>
      </c>
      <c r="D26" s="56"/>
      <c r="E26" s="244">
        <v>0</v>
      </c>
      <c r="F26" s="244">
        <f>'인건비총계표(자부담)'!U5</f>
        <v>625000</v>
      </c>
      <c r="G26" s="52">
        <f>F26-E26</f>
        <v>625000</v>
      </c>
      <c r="H26" s="1045"/>
      <c r="I26" s="1045"/>
      <c r="J26" s="1045"/>
      <c r="K26" s="1045"/>
      <c r="L26" s="1045"/>
      <c r="M26" s="1045"/>
      <c r="N26" s="1045"/>
      <c r="O26" s="1045"/>
      <c r="P26" s="1045"/>
      <c r="Q26" s="1046"/>
      <c r="R26" s="534"/>
      <c r="S26" s="455"/>
      <c r="T26" s="455"/>
      <c r="U26" s="455"/>
      <c r="V26" s="454"/>
      <c r="W26" s="454"/>
    </row>
    <row r="27" spans="1:25" s="1" customFormat="1" ht="16.5" customHeight="1">
      <c r="A27" s="206"/>
      <c r="B27" s="209"/>
      <c r="C27" s="85" t="s">
        <v>279</v>
      </c>
      <c r="D27" s="86" t="s">
        <v>199</v>
      </c>
      <c r="E27" s="244">
        <v>0</v>
      </c>
      <c r="F27" s="244">
        <f>SUM(F28:F31)</f>
        <v>370090</v>
      </c>
      <c r="G27" s="649">
        <f>F27-E27</f>
        <v>370090</v>
      </c>
      <c r="H27" s="1040"/>
      <c r="I27" s="1041"/>
      <c r="J27" s="1041"/>
      <c r="K27" s="1041"/>
      <c r="L27" s="1041"/>
      <c r="M27" s="1041"/>
      <c r="N27" s="1041"/>
      <c r="O27" s="1041"/>
      <c r="P27" s="1041"/>
      <c r="Q27" s="1042"/>
      <c r="R27" s="534"/>
      <c r="S27" s="455"/>
      <c r="T27" s="455"/>
      <c r="U27" s="455"/>
      <c r="V27" s="454"/>
      <c r="W27" s="454"/>
    </row>
    <row r="28" spans="1:25" s="1" customFormat="1" ht="16.5" customHeight="1">
      <c r="A28" s="206"/>
      <c r="B28" s="209"/>
      <c r="C28" s="253"/>
      <c r="D28" s="253" t="s">
        <v>227</v>
      </c>
      <c r="E28" s="272"/>
      <c r="F28" s="272">
        <f>'인건비총계표(자부담)'!W5+'인건비총계표(자부담)'!X5</f>
        <v>242590</v>
      </c>
      <c r="G28" s="594">
        <f t="shared" si="1"/>
        <v>242590</v>
      </c>
      <c r="H28" s="1060"/>
      <c r="I28" s="1061"/>
      <c r="J28" s="1041"/>
      <c r="K28" s="1041"/>
      <c r="L28" s="230"/>
      <c r="M28" s="520"/>
      <c r="N28" s="230"/>
      <c r="O28" s="230"/>
      <c r="P28" s="1058"/>
      <c r="Q28" s="1059"/>
      <c r="R28" s="534"/>
      <c r="S28" s="455"/>
      <c r="T28" s="455"/>
      <c r="U28" s="455"/>
      <c r="V28" s="454"/>
      <c r="W28" s="454"/>
    </row>
    <row r="29" spans="1:25" s="1" customFormat="1" ht="16.5" customHeight="1">
      <c r="A29" s="206"/>
      <c r="B29" s="209"/>
      <c r="C29" s="254"/>
      <c r="D29" s="56" t="s">
        <v>228</v>
      </c>
      <c r="E29" s="244">
        <v>0</v>
      </c>
      <c r="F29" s="244">
        <v>0</v>
      </c>
      <c r="G29" s="52">
        <f t="shared" si="1"/>
        <v>0</v>
      </c>
      <c r="H29" s="1045"/>
      <c r="I29" s="1045"/>
      <c r="J29" s="1045"/>
      <c r="K29" s="1045"/>
      <c r="L29" s="1045"/>
      <c r="M29" s="1045"/>
      <c r="N29" s="1045"/>
      <c r="O29" s="1045"/>
      <c r="P29" s="1045"/>
      <c r="Q29" s="1046"/>
      <c r="R29" s="534"/>
      <c r="S29" s="455"/>
      <c r="T29" s="455"/>
      <c r="U29" s="455"/>
      <c r="V29" s="454"/>
      <c r="W29" s="454"/>
    </row>
    <row r="30" spans="1:25" s="1" customFormat="1" ht="16.5" customHeight="1">
      <c r="A30" s="206"/>
      <c r="B30" s="209"/>
      <c r="C30" s="254"/>
      <c r="D30" s="56" t="s">
        <v>229</v>
      </c>
      <c r="E30" s="244">
        <v>0</v>
      </c>
      <c r="F30" s="244">
        <f>'인건비총계표(자부담)'!Y5</f>
        <v>67500</v>
      </c>
      <c r="G30" s="52">
        <f t="shared" si="1"/>
        <v>67500</v>
      </c>
      <c r="H30" s="1045"/>
      <c r="I30" s="1045"/>
      <c r="J30" s="1045"/>
      <c r="K30" s="1045"/>
      <c r="L30" s="1045"/>
      <c r="M30" s="1045"/>
      <c r="N30" s="1045"/>
      <c r="O30" s="1045"/>
      <c r="P30" s="1045"/>
      <c r="Q30" s="1046"/>
      <c r="R30" s="534"/>
      <c r="S30" s="455"/>
      <c r="T30" s="455"/>
      <c r="U30" s="455"/>
      <c r="V30" s="454"/>
      <c r="W30" s="454"/>
    </row>
    <row r="31" spans="1:25" s="1" customFormat="1" ht="16.5" customHeight="1">
      <c r="A31" s="206"/>
      <c r="B31" s="209"/>
      <c r="C31" s="242"/>
      <c r="D31" s="87" t="s">
        <v>230</v>
      </c>
      <c r="E31" s="244">
        <v>0</v>
      </c>
      <c r="F31" s="244">
        <f>'인건비총계표(자부담)'!Z5</f>
        <v>60000</v>
      </c>
      <c r="G31" s="52">
        <f t="shared" si="1"/>
        <v>60000</v>
      </c>
      <c r="H31" s="1045"/>
      <c r="I31" s="1045"/>
      <c r="J31" s="1045"/>
      <c r="K31" s="1045"/>
      <c r="L31" s="1045"/>
      <c r="M31" s="1045"/>
      <c r="N31" s="1045"/>
      <c r="O31" s="1045"/>
      <c r="P31" s="1045"/>
      <c r="Q31" s="1046"/>
      <c r="R31" s="534"/>
      <c r="S31" s="455"/>
      <c r="T31" s="455"/>
      <c r="U31" s="455"/>
      <c r="V31" s="454"/>
      <c r="W31" s="454"/>
    </row>
    <row r="32" spans="1:25" s="1" customFormat="1" ht="22.5" customHeight="1">
      <c r="A32" s="206"/>
      <c r="B32" s="214"/>
      <c r="C32" s="83" t="s">
        <v>119</v>
      </c>
      <c r="D32" s="83"/>
      <c r="E32" s="244">
        <v>19200000</v>
      </c>
      <c r="F32" s="244">
        <v>25000000</v>
      </c>
      <c r="G32" s="52">
        <f t="shared" si="1"/>
        <v>5800000</v>
      </c>
      <c r="H32" s="1060" t="s">
        <v>649</v>
      </c>
      <c r="I32" s="1061"/>
      <c r="J32" s="1061"/>
      <c r="K32" s="1061"/>
      <c r="L32" s="1061"/>
      <c r="M32" s="1061"/>
      <c r="N32" s="1061"/>
      <c r="O32" s="1061"/>
      <c r="P32" s="1061"/>
      <c r="Q32" s="1062"/>
      <c r="R32" s="534" t="s">
        <v>440</v>
      </c>
      <c r="S32" s="521">
        <f>F32</f>
        <v>25000000</v>
      </c>
      <c r="T32" s="456"/>
      <c r="U32" s="455"/>
      <c r="V32" s="538">
        <f>S32+T32+U32</f>
        <v>25000000</v>
      </c>
      <c r="W32" s="454"/>
    </row>
    <row r="33" spans="1:23" s="1" customFormat="1" ht="16.5" customHeight="1">
      <c r="A33" s="206"/>
      <c r="B33" s="49" t="s">
        <v>185</v>
      </c>
      <c r="C33" s="83" t="s">
        <v>211</v>
      </c>
      <c r="D33" s="83"/>
      <c r="E33" s="280">
        <f>SUM(E34:E37)</f>
        <v>3000000</v>
      </c>
      <c r="F33" s="280">
        <f>SUM(F34:F37)</f>
        <v>4000000</v>
      </c>
      <c r="G33" s="50">
        <f>SUM(G34:G37)</f>
        <v>1000000</v>
      </c>
      <c r="H33" s="1045"/>
      <c r="I33" s="1045"/>
      <c r="J33" s="1045"/>
      <c r="K33" s="1045"/>
      <c r="L33" s="1045"/>
      <c r="M33" s="1045"/>
      <c r="N33" s="1045"/>
      <c r="O33" s="1045"/>
      <c r="P33" s="1045"/>
      <c r="Q33" s="1046"/>
      <c r="R33" s="534"/>
      <c r="S33" s="521"/>
      <c r="T33" s="456"/>
      <c r="U33" s="455"/>
      <c r="V33" s="538">
        <f t="shared" ref="V33:V91" si="2">S33+T33+U33</f>
        <v>0</v>
      </c>
      <c r="W33" s="454"/>
    </row>
    <row r="34" spans="1:23" s="1" customFormat="1" ht="16.5" customHeight="1">
      <c r="A34" s="206"/>
      <c r="B34" s="208"/>
      <c r="C34" s="83" t="s">
        <v>212</v>
      </c>
      <c r="D34" s="83"/>
      <c r="E34" s="244">
        <v>0</v>
      </c>
      <c r="F34" s="244">
        <v>0</v>
      </c>
      <c r="G34" s="52">
        <f>F34-E34</f>
        <v>0</v>
      </c>
      <c r="H34" s="1045"/>
      <c r="I34" s="1045"/>
      <c r="J34" s="1045"/>
      <c r="K34" s="1045"/>
      <c r="L34" s="1045"/>
      <c r="M34" s="1045"/>
      <c r="N34" s="1045"/>
      <c r="O34" s="1045"/>
      <c r="P34" s="1045"/>
      <c r="Q34" s="1046"/>
      <c r="R34" s="534" t="s">
        <v>441</v>
      </c>
      <c r="S34" s="521"/>
      <c r="T34" s="456"/>
      <c r="U34" s="459">
        <v>300000</v>
      </c>
      <c r="V34" s="538">
        <f t="shared" si="2"/>
        <v>300000</v>
      </c>
      <c r="W34" s="454"/>
    </row>
    <row r="35" spans="1:23" s="1" customFormat="1" ht="16.5" customHeight="1">
      <c r="A35" s="860"/>
      <c r="B35" s="861"/>
      <c r="C35" s="862" t="s">
        <v>213</v>
      </c>
      <c r="D35" s="862"/>
      <c r="E35" s="863">
        <v>0</v>
      </c>
      <c r="F35" s="863">
        <v>0</v>
      </c>
      <c r="G35" s="864">
        <f t="shared" ref="G35:G44" si="3">F35-E35</f>
        <v>0</v>
      </c>
      <c r="H35" s="1065"/>
      <c r="I35" s="1066"/>
      <c r="J35" s="1066"/>
      <c r="K35" s="1066"/>
      <c r="L35" s="1066"/>
      <c r="M35" s="1066"/>
      <c r="N35" s="1066"/>
      <c r="O35" s="1066"/>
      <c r="P35" s="1066"/>
      <c r="Q35" s="1067"/>
      <c r="R35" s="865"/>
      <c r="S35" s="866">
        <f>F35</f>
        <v>0</v>
      </c>
      <c r="T35" s="866"/>
      <c r="U35" s="866"/>
      <c r="V35" s="867">
        <f t="shared" si="2"/>
        <v>0</v>
      </c>
      <c r="W35" s="868"/>
    </row>
    <row r="36" spans="1:23" s="1" customFormat="1" ht="16.5" customHeight="1">
      <c r="A36" s="206"/>
      <c r="B36" s="209"/>
      <c r="C36" s="83" t="s">
        <v>214</v>
      </c>
      <c r="D36" s="83"/>
      <c r="E36" s="244">
        <v>1000000</v>
      </c>
      <c r="F36" s="244">
        <v>0</v>
      </c>
      <c r="G36" s="52">
        <f t="shared" si="3"/>
        <v>-1000000</v>
      </c>
      <c r="H36" s="1045"/>
      <c r="I36" s="1045"/>
      <c r="J36" s="1045"/>
      <c r="K36" s="1045"/>
      <c r="L36" s="1045"/>
      <c r="M36" s="1045"/>
      <c r="N36" s="1045"/>
      <c r="O36" s="1045"/>
      <c r="P36" s="1045"/>
      <c r="Q36" s="1046"/>
      <c r="R36" s="534"/>
      <c r="S36" s="521"/>
      <c r="T36" s="456"/>
      <c r="U36" s="455"/>
      <c r="V36" s="538">
        <f t="shared" si="2"/>
        <v>0</v>
      </c>
      <c r="W36" s="454"/>
    </row>
    <row r="37" spans="1:23" s="1" customFormat="1" ht="16.5" customHeight="1">
      <c r="A37" s="206"/>
      <c r="B37" s="214"/>
      <c r="C37" s="83" t="s">
        <v>215</v>
      </c>
      <c r="D37" s="83"/>
      <c r="E37" s="244">
        <v>2000000</v>
      </c>
      <c r="F37" s="244">
        <v>4000000</v>
      </c>
      <c r="G37" s="52">
        <f t="shared" si="3"/>
        <v>2000000</v>
      </c>
      <c r="H37" s="1045" t="s">
        <v>650</v>
      </c>
      <c r="I37" s="1045"/>
      <c r="J37" s="1045"/>
      <c r="K37" s="1045"/>
      <c r="L37" s="1045"/>
      <c r="M37" s="1045"/>
      <c r="N37" s="1045"/>
      <c r="O37" s="1045"/>
      <c r="P37" s="1045"/>
      <c r="Q37" s="1046"/>
      <c r="R37" s="534" t="s">
        <v>442</v>
      </c>
      <c r="S37" s="521">
        <v>1000000</v>
      </c>
      <c r="T37" s="456"/>
      <c r="U37" s="459">
        <v>1000000</v>
      </c>
      <c r="V37" s="538">
        <f t="shared" si="2"/>
        <v>2000000</v>
      </c>
      <c r="W37" s="454"/>
    </row>
    <row r="38" spans="1:23" s="1" customFormat="1" ht="16.5" customHeight="1">
      <c r="A38" s="206"/>
      <c r="B38" s="83" t="s">
        <v>216</v>
      </c>
      <c r="C38" s="83" t="s">
        <v>211</v>
      </c>
      <c r="D38" s="83"/>
      <c r="E38" s="691">
        <f>SUM(E39:E44)</f>
        <v>51100000</v>
      </c>
      <c r="F38" s="244">
        <f>SUM(F39:F44)</f>
        <v>48804910</v>
      </c>
      <c r="G38" s="52">
        <f>SUM(G39:G44)</f>
        <v>-2295090</v>
      </c>
      <c r="H38" s="1045"/>
      <c r="I38" s="1045"/>
      <c r="J38" s="1045"/>
      <c r="K38" s="1045"/>
      <c r="L38" s="1045"/>
      <c r="M38" s="1045"/>
      <c r="N38" s="1045"/>
      <c r="O38" s="1045"/>
      <c r="P38" s="1045"/>
      <c r="Q38" s="1046"/>
      <c r="R38" s="534"/>
      <c r="S38" s="521"/>
      <c r="T38" s="456"/>
      <c r="U38" s="455"/>
      <c r="V38" s="538">
        <f t="shared" si="2"/>
        <v>0</v>
      </c>
      <c r="W38" s="454"/>
    </row>
    <row r="39" spans="1:23" s="1" customFormat="1" ht="16.5" customHeight="1">
      <c r="A39" s="206"/>
      <c r="B39" s="213"/>
      <c r="C39" s="83" t="s">
        <v>217</v>
      </c>
      <c r="D39" s="83"/>
      <c r="E39" s="244">
        <v>0</v>
      </c>
      <c r="F39" s="244">
        <v>0</v>
      </c>
      <c r="G39" s="52">
        <f t="shared" si="3"/>
        <v>0</v>
      </c>
      <c r="H39" s="1045"/>
      <c r="I39" s="1045"/>
      <c r="J39" s="1045"/>
      <c r="K39" s="1045"/>
      <c r="L39" s="1045"/>
      <c r="M39" s="1045"/>
      <c r="N39" s="1045"/>
      <c r="O39" s="1045"/>
      <c r="P39" s="1045"/>
      <c r="Q39" s="1046"/>
      <c r="R39" s="534"/>
      <c r="S39" s="521"/>
      <c r="T39" s="456"/>
      <c r="U39" s="455"/>
      <c r="V39" s="538">
        <f t="shared" si="2"/>
        <v>0</v>
      </c>
      <c r="W39" s="454"/>
    </row>
    <row r="40" spans="1:23" s="1" customFormat="1" ht="16.5" customHeight="1">
      <c r="A40" s="206"/>
      <c r="B40" s="209"/>
      <c r="C40" s="87" t="s">
        <v>126</v>
      </c>
      <c r="D40" s="87"/>
      <c r="E40" s="244">
        <v>7100000</v>
      </c>
      <c r="F40" s="691">
        <f>5070250+234660</f>
        <v>5304910</v>
      </c>
      <c r="G40" s="52">
        <f t="shared" si="3"/>
        <v>-1795090</v>
      </c>
      <c r="H40" s="956" t="s">
        <v>205</v>
      </c>
      <c r="I40" s="957"/>
      <c r="J40" s="957"/>
      <c r="K40" s="957"/>
      <c r="L40" s="957"/>
      <c r="M40" s="957"/>
      <c r="N40" s="957"/>
      <c r="O40" s="957"/>
      <c r="P40" s="957"/>
      <c r="Q40" s="958"/>
      <c r="R40" s="534" t="s">
        <v>442</v>
      </c>
      <c r="S40" s="521">
        <v>324677</v>
      </c>
      <c r="T40" s="456"/>
      <c r="U40" s="459">
        <v>223923</v>
      </c>
      <c r="V40" s="538">
        <f t="shared" si="2"/>
        <v>548600</v>
      </c>
      <c r="W40" s="454"/>
    </row>
    <row r="41" spans="1:23" s="1" customFormat="1" ht="16.5" customHeight="1">
      <c r="A41" s="206"/>
      <c r="B41" s="209"/>
      <c r="C41" s="86" t="s">
        <v>218</v>
      </c>
      <c r="D41" s="86"/>
      <c r="E41" s="244">
        <v>30000000</v>
      </c>
      <c r="F41" s="244">
        <v>30000000</v>
      </c>
      <c r="G41" s="52">
        <f t="shared" si="3"/>
        <v>0</v>
      </c>
      <c r="H41" s="1001" t="s">
        <v>725</v>
      </c>
      <c r="I41" s="957"/>
      <c r="J41" s="957"/>
      <c r="K41" s="957"/>
      <c r="L41" s="957"/>
      <c r="M41" s="957"/>
      <c r="N41" s="957"/>
      <c r="O41" s="957"/>
      <c r="P41" s="957"/>
      <c r="Q41" s="958"/>
      <c r="R41" s="534" t="s">
        <v>443</v>
      </c>
      <c r="S41" s="521">
        <v>4540000</v>
      </c>
      <c r="T41" s="456">
        <v>35500000</v>
      </c>
      <c r="U41" s="459">
        <v>0</v>
      </c>
      <c r="V41" s="538">
        <f t="shared" si="2"/>
        <v>40040000</v>
      </c>
      <c r="W41" s="454"/>
    </row>
    <row r="42" spans="1:23" s="1" customFormat="1" ht="16.5" customHeight="1">
      <c r="A42" s="206"/>
      <c r="B42" s="209"/>
      <c r="C42" s="86" t="s">
        <v>219</v>
      </c>
      <c r="D42" s="86"/>
      <c r="E42" s="244">
        <v>5000000</v>
      </c>
      <c r="F42" s="244">
        <v>3000000</v>
      </c>
      <c r="G42" s="52">
        <f t="shared" si="3"/>
        <v>-2000000</v>
      </c>
      <c r="H42" s="1045"/>
      <c r="I42" s="1045"/>
      <c r="J42" s="1045"/>
      <c r="K42" s="1045"/>
      <c r="L42" s="1045"/>
      <c r="M42" s="1045"/>
      <c r="N42" s="1045"/>
      <c r="O42" s="1045"/>
      <c r="P42" s="1045"/>
      <c r="Q42" s="1046"/>
      <c r="R42" s="534" t="s">
        <v>441</v>
      </c>
      <c r="S42" s="521">
        <v>500000</v>
      </c>
      <c r="T42" s="456"/>
      <c r="U42" s="459">
        <v>500000</v>
      </c>
      <c r="V42" s="538">
        <f t="shared" si="2"/>
        <v>1000000</v>
      </c>
      <c r="W42" s="454"/>
    </row>
    <row r="43" spans="1:23" s="1" customFormat="1" ht="16.5" customHeight="1">
      <c r="A43" s="206"/>
      <c r="B43" s="209"/>
      <c r="C43" s="86" t="s">
        <v>220</v>
      </c>
      <c r="D43" s="86"/>
      <c r="E43" s="244">
        <v>3000000</v>
      </c>
      <c r="F43" s="244">
        <v>5000000</v>
      </c>
      <c r="G43" s="52">
        <f t="shared" si="3"/>
        <v>2000000</v>
      </c>
      <c r="H43" s="1045"/>
      <c r="I43" s="1045"/>
      <c r="J43" s="1045"/>
      <c r="K43" s="1045"/>
      <c r="L43" s="1045"/>
      <c r="M43" s="1045"/>
      <c r="N43" s="1045"/>
      <c r="O43" s="1045"/>
      <c r="P43" s="1045"/>
      <c r="Q43" s="1046"/>
      <c r="R43" s="534" t="s">
        <v>440</v>
      </c>
      <c r="S43" s="521">
        <v>1000000</v>
      </c>
      <c r="T43" s="456"/>
      <c r="U43" s="459">
        <v>0</v>
      </c>
      <c r="V43" s="538">
        <f t="shared" si="2"/>
        <v>1000000</v>
      </c>
      <c r="W43" s="454"/>
    </row>
    <row r="44" spans="1:23" s="1" customFormat="1" ht="16.5" customHeight="1">
      <c r="A44" s="212"/>
      <c r="B44" s="214"/>
      <c r="C44" s="86" t="s">
        <v>130</v>
      </c>
      <c r="D44" s="86"/>
      <c r="E44" s="244">
        <v>6000000</v>
      </c>
      <c r="F44" s="244">
        <v>5500000</v>
      </c>
      <c r="G44" s="52">
        <f t="shared" si="3"/>
        <v>-500000</v>
      </c>
      <c r="H44" s="1075" t="s">
        <v>745</v>
      </c>
      <c r="I44" s="1076"/>
      <c r="J44" s="1076"/>
      <c r="K44" s="1076"/>
      <c r="L44" s="1076"/>
      <c r="M44" s="1076"/>
      <c r="N44" s="1076"/>
      <c r="O44" s="1076"/>
      <c r="P44" s="1076"/>
      <c r="Q44" s="1077"/>
      <c r="R44" s="534"/>
      <c r="S44" s="521"/>
      <c r="T44" s="456"/>
      <c r="U44" s="459">
        <v>0</v>
      </c>
      <c r="V44" s="538">
        <f t="shared" si="2"/>
        <v>0</v>
      </c>
      <c r="W44" s="454"/>
    </row>
    <row r="45" spans="1:23" s="1" customFormat="1" ht="16.5" customHeight="1">
      <c r="A45" s="48" t="s">
        <v>183</v>
      </c>
      <c r="B45" s="954" t="s">
        <v>221</v>
      </c>
      <c r="C45" s="955"/>
      <c r="D45" s="86"/>
      <c r="E45" s="244">
        <v>42600000</v>
      </c>
      <c r="F45" s="244">
        <f>F46</f>
        <v>29600000</v>
      </c>
      <c r="G45" s="52">
        <f>G46</f>
        <v>-13000000</v>
      </c>
      <c r="H45" s="1045"/>
      <c r="I45" s="1045"/>
      <c r="J45" s="1045"/>
      <c r="K45" s="1045"/>
      <c r="L45" s="1045"/>
      <c r="M45" s="1045"/>
      <c r="N45" s="1045"/>
      <c r="O45" s="1045"/>
      <c r="P45" s="1045"/>
      <c r="Q45" s="1046"/>
      <c r="R45" s="534"/>
      <c r="S45" s="521"/>
      <c r="T45" s="456"/>
      <c r="U45" s="455"/>
      <c r="V45" s="538">
        <f t="shared" si="2"/>
        <v>0</v>
      </c>
      <c r="W45" s="454"/>
    </row>
    <row r="46" spans="1:23" s="1" customFormat="1" ht="16.5" customHeight="1">
      <c r="A46" s="201"/>
      <c r="B46" s="83" t="s">
        <v>222</v>
      </c>
      <c r="C46" s="86" t="s">
        <v>211</v>
      </c>
      <c r="D46" s="86"/>
      <c r="E46" s="691">
        <f>SUM(E47:E49)</f>
        <v>42600000</v>
      </c>
      <c r="F46" s="244">
        <f>SUM(F47:F49)</f>
        <v>29600000</v>
      </c>
      <c r="G46" s="52">
        <f>SUM(G47:G49)</f>
        <v>-13000000</v>
      </c>
      <c r="H46" s="1040"/>
      <c r="I46" s="1041"/>
      <c r="J46" s="1041"/>
      <c r="K46" s="1041"/>
      <c r="L46" s="1041"/>
      <c r="M46" s="1041"/>
      <c r="N46" s="1041"/>
      <c r="O46" s="1041"/>
      <c r="P46" s="1041"/>
      <c r="Q46" s="1042"/>
      <c r="R46" s="534"/>
      <c r="S46" s="521"/>
      <c r="T46" s="456"/>
      <c r="U46" s="455"/>
      <c r="V46" s="538">
        <f t="shared" si="2"/>
        <v>0</v>
      </c>
      <c r="W46" s="454"/>
    </row>
    <row r="47" spans="1:23" s="1" customFormat="1" ht="16.5" customHeight="1">
      <c r="A47" s="206"/>
      <c r="B47" s="213"/>
      <c r="C47" s="86" t="s">
        <v>222</v>
      </c>
      <c r="D47" s="86"/>
      <c r="E47" s="244">
        <v>6000000</v>
      </c>
      <c r="F47" s="244">
        <v>4000000</v>
      </c>
      <c r="G47" s="52">
        <f>F47-E47</f>
        <v>-2000000</v>
      </c>
      <c r="H47" s="1045"/>
      <c r="I47" s="1045"/>
      <c r="J47" s="1045"/>
      <c r="K47" s="1045"/>
      <c r="L47" s="1045"/>
      <c r="M47" s="1045"/>
      <c r="N47" s="1045"/>
      <c r="O47" s="1045"/>
      <c r="P47" s="1045"/>
      <c r="Q47" s="1046"/>
      <c r="R47" s="534" t="s">
        <v>440</v>
      </c>
      <c r="S47" s="521">
        <f>F47</f>
        <v>4000000</v>
      </c>
      <c r="T47" s="456"/>
      <c r="U47" s="455"/>
      <c r="V47" s="538">
        <f t="shared" si="2"/>
        <v>4000000</v>
      </c>
      <c r="W47" s="454"/>
    </row>
    <row r="48" spans="1:23" s="1" customFormat="1" ht="16.5" customHeight="1">
      <c r="A48" s="206"/>
      <c r="B48" s="209"/>
      <c r="C48" s="86" t="s">
        <v>223</v>
      </c>
      <c r="D48" s="86"/>
      <c r="E48" s="244">
        <v>10000000</v>
      </c>
      <c r="F48" s="244">
        <v>4000000</v>
      </c>
      <c r="G48" s="52">
        <f>F48-E48</f>
        <v>-6000000</v>
      </c>
      <c r="H48" s="1045" t="s">
        <v>652</v>
      </c>
      <c r="I48" s="1045"/>
      <c r="J48" s="1045"/>
      <c r="K48" s="1045"/>
      <c r="L48" s="1045"/>
      <c r="M48" s="1045"/>
      <c r="N48" s="1045"/>
      <c r="O48" s="1045"/>
      <c r="P48" s="1045"/>
      <c r="Q48" s="1046"/>
      <c r="R48" s="534" t="s">
        <v>440</v>
      </c>
      <c r="S48" s="521">
        <v>4000000</v>
      </c>
      <c r="T48" s="456"/>
      <c r="U48" s="455"/>
      <c r="V48" s="538">
        <f t="shared" si="2"/>
        <v>4000000</v>
      </c>
      <c r="W48" s="454"/>
    </row>
    <row r="49" spans="1:23" s="1" customFormat="1" ht="16.5" customHeight="1">
      <c r="A49" s="215"/>
      <c r="B49" s="216"/>
      <c r="C49" s="107" t="s">
        <v>133</v>
      </c>
      <c r="D49" s="107"/>
      <c r="E49" s="247">
        <v>26600000</v>
      </c>
      <c r="F49" s="247">
        <v>21600000</v>
      </c>
      <c r="G49" s="89">
        <f>F49-E49</f>
        <v>-5000000</v>
      </c>
      <c r="H49" s="1078" t="s">
        <v>323</v>
      </c>
      <c r="I49" s="1078"/>
      <c r="J49" s="1078"/>
      <c r="K49" s="1078"/>
      <c r="L49" s="1078"/>
      <c r="M49" s="1078"/>
      <c r="N49" s="1078"/>
      <c r="O49" s="1078"/>
      <c r="P49" s="1078"/>
      <c r="Q49" s="1079"/>
      <c r="R49" s="534" t="s">
        <v>442</v>
      </c>
      <c r="S49" s="521">
        <f>F49-U49</f>
        <v>16100000</v>
      </c>
      <c r="T49" s="456"/>
      <c r="U49" s="459">
        <v>5500000</v>
      </c>
      <c r="V49" s="538">
        <f t="shared" si="2"/>
        <v>21600000</v>
      </c>
      <c r="W49" s="454"/>
    </row>
    <row r="50" spans="1:23" s="1" customFormat="1" ht="16.5" customHeight="1">
      <c r="A50" s="212" t="s">
        <v>143</v>
      </c>
      <c r="B50" s="1038" t="s">
        <v>187</v>
      </c>
      <c r="C50" s="1039"/>
      <c r="D50" s="227"/>
      <c r="E50" s="284">
        <f>E51+E61+E72</f>
        <v>120700000</v>
      </c>
      <c r="F50" s="284">
        <f>F51+F61+F72</f>
        <v>120700000</v>
      </c>
      <c r="G50" s="105">
        <f>F50-E50</f>
        <v>0</v>
      </c>
      <c r="H50" s="1047"/>
      <c r="I50" s="1048"/>
      <c r="J50" s="1048"/>
      <c r="K50" s="1048"/>
      <c r="L50" s="1048"/>
      <c r="M50" s="1048"/>
      <c r="N50" s="1048"/>
      <c r="O50" s="1048"/>
      <c r="P50" s="1048"/>
      <c r="Q50" s="1049"/>
      <c r="R50" s="534"/>
      <c r="S50" s="521"/>
      <c r="T50" s="456"/>
      <c r="U50" s="455"/>
      <c r="V50" s="538">
        <f t="shared" si="2"/>
        <v>0</v>
      </c>
      <c r="W50" s="454"/>
    </row>
    <row r="51" spans="1:23" s="1" customFormat="1" ht="16.5" customHeight="1">
      <c r="A51" s="205"/>
      <c r="B51" s="214" t="s">
        <v>216</v>
      </c>
      <c r="C51" s="214" t="s">
        <v>211</v>
      </c>
      <c r="D51" s="102"/>
      <c r="E51" s="279">
        <v>85400000</v>
      </c>
      <c r="F51" s="279">
        <f>SUM(F52:F60)</f>
        <v>85400000</v>
      </c>
      <c r="G51" s="108">
        <f>SUM(G52:G60)</f>
        <v>0</v>
      </c>
      <c r="H51" s="1043"/>
      <c r="I51" s="1043"/>
      <c r="J51" s="1043"/>
      <c r="K51" s="1043"/>
      <c r="L51" s="1043"/>
      <c r="M51" s="1043"/>
      <c r="N51" s="1043"/>
      <c r="O51" s="1043"/>
      <c r="P51" s="1043"/>
      <c r="Q51" s="1044"/>
      <c r="R51" s="534"/>
      <c r="S51" s="521"/>
      <c r="T51" s="456"/>
      <c r="U51" s="455"/>
      <c r="V51" s="538">
        <f t="shared" si="2"/>
        <v>0</v>
      </c>
      <c r="W51" s="454"/>
    </row>
    <row r="52" spans="1:23" s="1" customFormat="1" ht="23.25" customHeight="1">
      <c r="A52" s="203"/>
      <c r="B52" s="208"/>
      <c r="C52" s="83" t="s">
        <v>224</v>
      </c>
      <c r="D52" s="49"/>
      <c r="E52" s="244">
        <v>70000000</v>
      </c>
      <c r="F52" s="244">
        <v>70000000</v>
      </c>
      <c r="G52" s="52">
        <f>F52-E52</f>
        <v>0</v>
      </c>
      <c r="H52" s="1081"/>
      <c r="I52" s="1082"/>
      <c r="J52" s="1082"/>
      <c r="K52" s="1082"/>
      <c r="L52" s="1082"/>
      <c r="M52" s="1082"/>
      <c r="N52" s="1082"/>
      <c r="O52" s="1082"/>
      <c r="P52" s="1082"/>
      <c r="Q52" s="1083"/>
      <c r="R52" s="534" t="s">
        <v>444</v>
      </c>
      <c r="S52" s="521"/>
      <c r="T52" s="456">
        <v>42000000</v>
      </c>
      <c r="U52" s="458">
        <v>19000000</v>
      </c>
      <c r="V52" s="538">
        <f t="shared" si="2"/>
        <v>61000000</v>
      </c>
      <c r="W52" s="454"/>
    </row>
    <row r="53" spans="1:23" s="1" customFormat="1" ht="16.5" customHeight="1">
      <c r="A53" s="203"/>
      <c r="B53" s="209"/>
      <c r="C53" s="83" t="s">
        <v>26</v>
      </c>
      <c r="D53" s="49"/>
      <c r="E53" s="244">
        <v>2400000</v>
      </c>
      <c r="F53" s="244">
        <v>2400000</v>
      </c>
      <c r="G53" s="52">
        <f t="shared" ref="G53:G59" si="4">F53-E53</f>
        <v>0</v>
      </c>
      <c r="H53" s="1045"/>
      <c r="I53" s="1045"/>
      <c r="J53" s="1045"/>
      <c r="K53" s="1045"/>
      <c r="L53" s="1045"/>
      <c r="M53" s="1045"/>
      <c r="N53" s="1045"/>
      <c r="O53" s="1045"/>
      <c r="P53" s="1045"/>
      <c r="Q53" s="1046"/>
      <c r="R53" s="534" t="s">
        <v>441</v>
      </c>
      <c r="S53" s="521">
        <v>200000</v>
      </c>
      <c r="T53" s="456">
        <v>500000</v>
      </c>
      <c r="U53" s="459">
        <v>300000</v>
      </c>
      <c r="V53" s="538">
        <f t="shared" si="2"/>
        <v>1000000</v>
      </c>
      <c r="W53" s="454"/>
    </row>
    <row r="54" spans="1:23" s="1" customFormat="1" ht="13.5" customHeight="1">
      <c r="A54" s="203"/>
      <c r="B54" s="209"/>
      <c r="C54" s="627" t="s">
        <v>144</v>
      </c>
      <c r="D54" s="49"/>
      <c r="E54" s="244">
        <v>6000000</v>
      </c>
      <c r="F54" s="244">
        <v>6000000</v>
      </c>
      <c r="G54" s="52">
        <f t="shared" si="4"/>
        <v>0</v>
      </c>
      <c r="H54" s="1045"/>
      <c r="I54" s="1045"/>
      <c r="J54" s="1045"/>
      <c r="K54" s="1045"/>
      <c r="L54" s="1045"/>
      <c r="M54" s="1045"/>
      <c r="N54" s="1045"/>
      <c r="O54" s="1045"/>
      <c r="P54" s="1045"/>
      <c r="Q54" s="1046"/>
      <c r="R54" s="534"/>
      <c r="S54" s="521"/>
      <c r="T54" s="456"/>
      <c r="U54" s="455"/>
      <c r="V54" s="538">
        <f t="shared" si="2"/>
        <v>0</v>
      </c>
      <c r="W54" s="454"/>
    </row>
    <row r="55" spans="1:23" s="1" customFormat="1" ht="13.5" customHeight="1">
      <c r="A55" s="203"/>
      <c r="B55" s="209"/>
      <c r="C55" s="627" t="s">
        <v>802</v>
      </c>
      <c r="D55" s="49"/>
      <c r="E55" s="244">
        <v>5000000</v>
      </c>
      <c r="F55" s="244">
        <v>5000000</v>
      </c>
      <c r="G55" s="52">
        <f t="shared" si="4"/>
        <v>0</v>
      </c>
      <c r="H55" s="1045"/>
      <c r="I55" s="1045"/>
      <c r="J55" s="1045"/>
      <c r="K55" s="1045"/>
      <c r="L55" s="1045"/>
      <c r="M55" s="1045"/>
      <c r="N55" s="1045"/>
      <c r="O55" s="1045"/>
      <c r="P55" s="1045"/>
      <c r="Q55" s="1046"/>
      <c r="R55" s="534"/>
      <c r="S55" s="521"/>
      <c r="T55" s="456"/>
      <c r="U55" s="455"/>
      <c r="V55" s="538">
        <f t="shared" si="2"/>
        <v>0</v>
      </c>
      <c r="W55" s="454"/>
    </row>
    <row r="56" spans="1:23" s="1" customFormat="1" ht="13.5" customHeight="1">
      <c r="A56" s="203"/>
      <c r="B56" s="209"/>
      <c r="C56" s="83" t="s">
        <v>27</v>
      </c>
      <c r="D56" s="49"/>
      <c r="E56" s="244">
        <v>2000000</v>
      </c>
      <c r="F56" s="244">
        <v>2000000</v>
      </c>
      <c r="G56" s="52">
        <f t="shared" si="4"/>
        <v>0</v>
      </c>
      <c r="H56" s="1045"/>
      <c r="I56" s="1045"/>
      <c r="J56" s="1045"/>
      <c r="K56" s="1045"/>
      <c r="L56" s="1045"/>
      <c r="M56" s="1045"/>
      <c r="N56" s="1045"/>
      <c r="O56" s="1045"/>
      <c r="P56" s="1045"/>
      <c r="Q56" s="1046"/>
      <c r="R56" s="534"/>
      <c r="S56" s="521"/>
      <c r="T56" s="456"/>
      <c r="U56" s="455"/>
      <c r="V56" s="538">
        <f t="shared" si="2"/>
        <v>0</v>
      </c>
      <c r="W56" s="454"/>
    </row>
    <row r="57" spans="1:23" s="1" customFormat="1" ht="13.5" hidden="1" customHeight="1">
      <c r="A57" s="203"/>
      <c r="B57" s="209"/>
      <c r="C57" s="83" t="s">
        <v>231</v>
      </c>
      <c r="D57" s="49"/>
      <c r="E57" s="244">
        <v>0</v>
      </c>
      <c r="F57" s="244">
        <v>0</v>
      </c>
      <c r="G57" s="52">
        <f t="shared" si="4"/>
        <v>0</v>
      </c>
      <c r="H57" s="1040"/>
      <c r="I57" s="1041"/>
      <c r="J57" s="1041"/>
      <c r="K57" s="1041"/>
      <c r="L57" s="1041"/>
      <c r="M57" s="1041"/>
      <c r="N57" s="1041"/>
      <c r="O57" s="1041"/>
      <c r="P57" s="1041"/>
      <c r="Q57" s="1042"/>
      <c r="R57" s="534"/>
      <c r="S57" s="521"/>
      <c r="T57" s="456"/>
      <c r="U57" s="455"/>
      <c r="V57" s="538">
        <f t="shared" si="2"/>
        <v>0</v>
      </c>
      <c r="W57" s="454"/>
    </row>
    <row r="58" spans="1:23" s="1" customFormat="1" ht="13.5" hidden="1" customHeight="1">
      <c r="A58" s="203"/>
      <c r="B58" s="209"/>
      <c r="C58" s="83" t="s">
        <v>148</v>
      </c>
      <c r="D58" s="49"/>
      <c r="E58" s="244">
        <v>0</v>
      </c>
      <c r="F58" s="244">
        <v>0</v>
      </c>
      <c r="G58" s="52">
        <f t="shared" si="4"/>
        <v>0</v>
      </c>
      <c r="H58" s="1040"/>
      <c r="I58" s="1041"/>
      <c r="J58" s="1041"/>
      <c r="K58" s="1041"/>
      <c r="L58" s="1041"/>
      <c r="M58" s="1041"/>
      <c r="N58" s="1041"/>
      <c r="O58" s="1041"/>
      <c r="P58" s="1041"/>
      <c r="Q58" s="1042"/>
      <c r="R58" s="534"/>
      <c r="S58" s="521"/>
      <c r="T58" s="456"/>
      <c r="U58" s="455"/>
      <c r="V58" s="538">
        <f t="shared" si="2"/>
        <v>0</v>
      </c>
      <c r="W58" s="454"/>
    </row>
    <row r="59" spans="1:23" s="1" customFormat="1" ht="13.5" hidden="1" customHeight="1">
      <c r="A59" s="203"/>
      <c r="B59" s="209"/>
      <c r="C59" s="83" t="s">
        <v>232</v>
      </c>
      <c r="D59" s="87"/>
      <c r="E59" s="244">
        <v>0</v>
      </c>
      <c r="F59" s="244">
        <v>0</v>
      </c>
      <c r="G59" s="52">
        <f t="shared" si="4"/>
        <v>0</v>
      </c>
      <c r="H59" s="1045"/>
      <c r="I59" s="1045"/>
      <c r="J59" s="1045"/>
      <c r="K59" s="1045"/>
      <c r="L59" s="1045"/>
      <c r="M59" s="1045"/>
      <c r="N59" s="1045"/>
      <c r="O59" s="1045"/>
      <c r="P59" s="1045"/>
      <c r="Q59" s="1046"/>
      <c r="R59" s="534"/>
      <c r="S59" s="521"/>
      <c r="T59" s="456"/>
      <c r="U59" s="455"/>
      <c r="V59" s="538">
        <f t="shared" si="2"/>
        <v>0</v>
      </c>
      <c r="W59" s="454"/>
    </row>
    <row r="60" spans="1:23" s="1" customFormat="1" ht="13.5" hidden="1" customHeight="1">
      <c r="A60" s="203"/>
      <c r="B60" s="214"/>
      <c r="C60" s="83" t="s">
        <v>233</v>
      </c>
      <c r="D60" s="49"/>
      <c r="E60" s="244">
        <v>0</v>
      </c>
      <c r="F60" s="244">
        <v>0</v>
      </c>
      <c r="G60" s="52">
        <f>F60-E60</f>
        <v>0</v>
      </c>
      <c r="H60" s="1052"/>
      <c r="I60" s="1053"/>
      <c r="J60" s="1053"/>
      <c r="K60" s="1053"/>
      <c r="L60" s="1053"/>
      <c r="M60" s="1053"/>
      <c r="N60" s="1053"/>
      <c r="O60" s="1053"/>
      <c r="P60" s="1053"/>
      <c r="Q60" s="1054"/>
      <c r="R60" s="534"/>
      <c r="S60" s="521"/>
      <c r="T60" s="456"/>
      <c r="U60" s="455"/>
      <c r="V60" s="538">
        <f t="shared" si="2"/>
        <v>0</v>
      </c>
      <c r="W60" s="454"/>
    </row>
    <row r="61" spans="1:23" s="20" customFormat="1" ht="13.5" hidden="1" customHeight="1">
      <c r="A61" s="206"/>
      <c r="B61" s="86" t="s">
        <v>151</v>
      </c>
      <c r="C61" s="83" t="s">
        <v>117</v>
      </c>
      <c r="D61" s="83"/>
      <c r="E61" s="244">
        <v>0</v>
      </c>
      <c r="F61" s="244">
        <f>SUM(F62:F71)</f>
        <v>0</v>
      </c>
      <c r="G61" s="52">
        <f>SUM(G62:G71)</f>
        <v>0</v>
      </c>
      <c r="H61" s="987"/>
      <c r="I61" s="988"/>
      <c r="J61" s="988"/>
      <c r="K61" s="988"/>
      <c r="L61" s="988"/>
      <c r="M61" s="988"/>
      <c r="N61" s="988"/>
      <c r="O61" s="988"/>
      <c r="P61" s="988"/>
      <c r="Q61" s="989"/>
      <c r="R61" s="535"/>
      <c r="S61" s="522"/>
      <c r="T61" s="524"/>
      <c r="U61" s="462"/>
      <c r="V61" s="538">
        <f t="shared" si="2"/>
        <v>0</v>
      </c>
      <c r="W61" s="461"/>
    </row>
    <row r="62" spans="1:23" s="20" customFormat="1" ht="13.5" hidden="1" customHeight="1">
      <c r="A62" s="206"/>
      <c r="B62" s="252"/>
      <c r="C62" s="83" t="s">
        <v>152</v>
      </c>
      <c r="D62" s="83"/>
      <c r="E62" s="244">
        <v>0</v>
      </c>
      <c r="F62" s="244">
        <v>0</v>
      </c>
      <c r="G62" s="50">
        <f>F62-E62</f>
        <v>0</v>
      </c>
      <c r="H62" s="987"/>
      <c r="I62" s="988"/>
      <c r="J62" s="988"/>
      <c r="K62" s="988"/>
      <c r="L62" s="988"/>
      <c r="M62" s="988"/>
      <c r="N62" s="988"/>
      <c r="O62" s="988"/>
      <c r="P62" s="988"/>
      <c r="Q62" s="989"/>
      <c r="R62" s="535"/>
      <c r="S62" s="522"/>
      <c r="T62" s="524"/>
      <c r="U62" s="462"/>
      <c r="V62" s="538">
        <f t="shared" si="2"/>
        <v>0</v>
      </c>
      <c r="W62" s="461"/>
    </row>
    <row r="63" spans="1:23" s="20" customFormat="1" ht="13.5" hidden="1" customHeight="1">
      <c r="A63" s="206"/>
      <c r="B63" s="252"/>
      <c r="C63" s="83" t="s">
        <v>153</v>
      </c>
      <c r="D63" s="83"/>
      <c r="E63" s="244">
        <v>0</v>
      </c>
      <c r="F63" s="244">
        <v>0</v>
      </c>
      <c r="G63" s="50">
        <f t="shared" ref="G63:G71" si="5">F63-E63</f>
        <v>0</v>
      </c>
      <c r="H63" s="987"/>
      <c r="I63" s="988"/>
      <c r="J63" s="988"/>
      <c r="K63" s="988"/>
      <c r="L63" s="988"/>
      <c r="M63" s="988"/>
      <c r="N63" s="988"/>
      <c r="O63" s="988"/>
      <c r="P63" s="988"/>
      <c r="Q63" s="989"/>
      <c r="R63" s="535"/>
      <c r="S63" s="522"/>
      <c r="T63" s="524"/>
      <c r="U63" s="462"/>
      <c r="V63" s="538">
        <f t="shared" si="2"/>
        <v>0</v>
      </c>
      <c r="W63" s="461"/>
    </row>
    <row r="64" spans="1:23" s="20" customFormat="1" ht="13.5" hidden="1" customHeight="1">
      <c r="A64" s="206"/>
      <c r="B64" s="209"/>
      <c r="C64" s="83" t="s">
        <v>154</v>
      </c>
      <c r="D64" s="83"/>
      <c r="E64" s="244">
        <v>0</v>
      </c>
      <c r="F64" s="244">
        <v>0</v>
      </c>
      <c r="G64" s="50">
        <f t="shared" si="5"/>
        <v>0</v>
      </c>
      <c r="H64" s="987"/>
      <c r="I64" s="988"/>
      <c r="J64" s="988"/>
      <c r="K64" s="988"/>
      <c r="L64" s="988"/>
      <c r="M64" s="988"/>
      <c r="N64" s="988"/>
      <c r="O64" s="988"/>
      <c r="P64" s="988"/>
      <c r="Q64" s="989"/>
      <c r="R64" s="535"/>
      <c r="S64" s="522"/>
      <c r="T64" s="524"/>
      <c r="U64" s="462"/>
      <c r="V64" s="538">
        <f t="shared" si="2"/>
        <v>0</v>
      </c>
      <c r="W64" s="461"/>
    </row>
    <row r="65" spans="1:23" s="20" customFormat="1" ht="13.5" hidden="1" customHeight="1">
      <c r="A65" s="206"/>
      <c r="B65" s="209"/>
      <c r="C65" s="83" t="s">
        <v>155</v>
      </c>
      <c r="D65" s="257"/>
      <c r="E65" s="244">
        <v>0</v>
      </c>
      <c r="F65" s="244">
        <v>0</v>
      </c>
      <c r="G65" s="50">
        <f t="shared" si="5"/>
        <v>0</v>
      </c>
      <c r="H65" s="987"/>
      <c r="I65" s="988"/>
      <c r="J65" s="988"/>
      <c r="K65" s="988"/>
      <c r="L65" s="988"/>
      <c r="M65" s="988"/>
      <c r="N65" s="988"/>
      <c r="O65" s="988"/>
      <c r="P65" s="988"/>
      <c r="Q65" s="989"/>
      <c r="R65" s="535"/>
      <c r="S65" s="522"/>
      <c r="T65" s="524"/>
      <c r="U65" s="462"/>
      <c r="V65" s="538">
        <f t="shared" si="2"/>
        <v>0</v>
      </c>
      <c r="W65" s="461"/>
    </row>
    <row r="66" spans="1:23" s="20" customFormat="1" ht="13.5" hidden="1" customHeight="1">
      <c r="A66" s="206"/>
      <c r="B66" s="209"/>
      <c r="C66" s="83" t="s">
        <v>156</v>
      </c>
      <c r="D66" s="83"/>
      <c r="E66" s="244">
        <v>0</v>
      </c>
      <c r="F66" s="244">
        <v>0</v>
      </c>
      <c r="G66" s="50">
        <f t="shared" si="5"/>
        <v>0</v>
      </c>
      <c r="H66" s="987"/>
      <c r="I66" s="988"/>
      <c r="J66" s="988"/>
      <c r="K66" s="988"/>
      <c r="L66" s="988"/>
      <c r="M66" s="988"/>
      <c r="N66" s="988"/>
      <c r="O66" s="988"/>
      <c r="P66" s="988"/>
      <c r="Q66" s="989"/>
      <c r="R66" s="535"/>
      <c r="S66" s="522"/>
      <c r="T66" s="524"/>
      <c r="U66" s="462"/>
      <c r="V66" s="538">
        <f t="shared" si="2"/>
        <v>0</v>
      </c>
      <c r="W66" s="461"/>
    </row>
    <row r="67" spans="1:23" s="20" customFormat="1" ht="13.5" hidden="1" customHeight="1">
      <c r="A67" s="206"/>
      <c r="B67" s="209"/>
      <c r="C67" s="83" t="s">
        <v>157</v>
      </c>
      <c r="D67" s="83"/>
      <c r="E67" s="244">
        <v>0</v>
      </c>
      <c r="F67" s="244">
        <v>0</v>
      </c>
      <c r="G67" s="50">
        <f t="shared" si="5"/>
        <v>0</v>
      </c>
      <c r="H67" s="987"/>
      <c r="I67" s="988"/>
      <c r="J67" s="988"/>
      <c r="K67" s="988"/>
      <c r="L67" s="988"/>
      <c r="M67" s="988"/>
      <c r="N67" s="988"/>
      <c r="O67" s="988"/>
      <c r="P67" s="988"/>
      <c r="Q67" s="989"/>
      <c r="R67" s="535"/>
      <c r="S67" s="522"/>
      <c r="T67" s="524"/>
      <c r="U67" s="462"/>
      <c r="V67" s="538">
        <f t="shared" si="2"/>
        <v>0</v>
      </c>
      <c r="W67" s="461"/>
    </row>
    <row r="68" spans="1:23" s="20" customFormat="1" ht="13.5" hidden="1" customHeight="1">
      <c r="A68" s="206"/>
      <c r="B68" s="209"/>
      <c r="C68" s="83" t="s">
        <v>158</v>
      </c>
      <c r="D68" s="83"/>
      <c r="E68" s="244">
        <v>0</v>
      </c>
      <c r="F68" s="244">
        <v>0</v>
      </c>
      <c r="G68" s="50">
        <f t="shared" si="5"/>
        <v>0</v>
      </c>
      <c r="H68" s="987"/>
      <c r="I68" s="988"/>
      <c r="J68" s="988"/>
      <c r="K68" s="988"/>
      <c r="L68" s="988"/>
      <c r="M68" s="988"/>
      <c r="N68" s="988"/>
      <c r="O68" s="988"/>
      <c r="P68" s="988"/>
      <c r="Q68" s="989"/>
      <c r="R68" s="535"/>
      <c r="S68" s="522"/>
      <c r="T68" s="524"/>
      <c r="U68" s="462"/>
      <c r="V68" s="538">
        <f t="shared" si="2"/>
        <v>0</v>
      </c>
      <c r="W68" s="461"/>
    </row>
    <row r="69" spans="1:23" s="20" customFormat="1" ht="13.5" hidden="1" customHeight="1">
      <c r="A69" s="206"/>
      <c r="B69" s="209"/>
      <c r="C69" s="83" t="s">
        <v>159</v>
      </c>
      <c r="D69" s="83"/>
      <c r="E69" s="244">
        <v>0</v>
      </c>
      <c r="F69" s="244">
        <v>0</v>
      </c>
      <c r="G69" s="50">
        <f t="shared" si="5"/>
        <v>0</v>
      </c>
      <c r="H69" s="987"/>
      <c r="I69" s="988"/>
      <c r="J69" s="988"/>
      <c r="K69" s="988"/>
      <c r="L69" s="988"/>
      <c r="M69" s="988"/>
      <c r="N69" s="988"/>
      <c r="O69" s="988"/>
      <c r="P69" s="988"/>
      <c r="Q69" s="989"/>
      <c r="R69" s="535"/>
      <c r="S69" s="522"/>
      <c r="T69" s="524"/>
      <c r="U69" s="462"/>
      <c r="V69" s="538">
        <f t="shared" si="2"/>
        <v>0</v>
      </c>
      <c r="W69" s="461"/>
    </row>
    <row r="70" spans="1:23" s="20" customFormat="1" ht="13.5" hidden="1" customHeight="1">
      <c r="A70" s="206"/>
      <c r="B70" s="209"/>
      <c r="C70" s="83" t="s">
        <v>160</v>
      </c>
      <c r="D70" s="100"/>
      <c r="E70" s="244">
        <v>0</v>
      </c>
      <c r="F70" s="244">
        <v>0</v>
      </c>
      <c r="G70" s="50">
        <f t="shared" si="5"/>
        <v>0</v>
      </c>
      <c r="H70" s="987"/>
      <c r="I70" s="988"/>
      <c r="J70" s="988"/>
      <c r="K70" s="988"/>
      <c r="L70" s="988"/>
      <c r="M70" s="988"/>
      <c r="N70" s="988"/>
      <c r="O70" s="988"/>
      <c r="P70" s="988"/>
      <c r="Q70" s="989"/>
      <c r="R70" s="535"/>
      <c r="S70" s="522"/>
      <c r="T70" s="524"/>
      <c r="U70" s="462"/>
      <c r="V70" s="538">
        <f t="shared" si="2"/>
        <v>0</v>
      </c>
      <c r="W70" s="461"/>
    </row>
    <row r="71" spans="1:23" s="20" customFormat="1" ht="13.5" hidden="1" customHeight="1">
      <c r="A71" s="206"/>
      <c r="B71" s="209"/>
      <c r="C71" s="86" t="s">
        <v>161</v>
      </c>
      <c r="D71" s="86"/>
      <c r="E71" s="244">
        <v>0</v>
      </c>
      <c r="F71" s="244">
        <v>0</v>
      </c>
      <c r="G71" s="50">
        <f t="shared" si="5"/>
        <v>0</v>
      </c>
      <c r="H71" s="987"/>
      <c r="I71" s="988"/>
      <c r="J71" s="988"/>
      <c r="K71" s="988"/>
      <c r="L71" s="988"/>
      <c r="M71" s="988"/>
      <c r="N71" s="988"/>
      <c r="O71" s="988"/>
      <c r="P71" s="988"/>
      <c r="Q71" s="989"/>
      <c r="R71" s="535"/>
      <c r="S71" s="522"/>
      <c r="T71" s="524"/>
      <c r="U71" s="462"/>
      <c r="V71" s="538">
        <f t="shared" si="2"/>
        <v>0</v>
      </c>
      <c r="W71" s="461"/>
    </row>
    <row r="72" spans="1:23" s="20" customFormat="1" ht="16.5" customHeight="1">
      <c r="A72" s="206"/>
      <c r="B72" s="83" t="s">
        <v>134</v>
      </c>
      <c r="C72" s="86" t="s">
        <v>117</v>
      </c>
      <c r="D72" s="86"/>
      <c r="E72" s="244">
        <v>35300000</v>
      </c>
      <c r="F72" s="244">
        <f>F73+F74+F75+F76+F77+F79</f>
        <v>35300000</v>
      </c>
      <c r="G72" s="52">
        <f>G73+G74+G75+G76+G77+G79</f>
        <v>0</v>
      </c>
      <c r="H72" s="1040"/>
      <c r="I72" s="1041"/>
      <c r="J72" s="1041"/>
      <c r="K72" s="1041"/>
      <c r="L72" s="1041"/>
      <c r="M72" s="1041"/>
      <c r="N72" s="1041"/>
      <c r="O72" s="1041"/>
      <c r="P72" s="1041"/>
      <c r="Q72" s="1042"/>
      <c r="R72" s="535"/>
      <c r="S72" s="522"/>
      <c r="T72" s="524"/>
      <c r="U72" s="462"/>
      <c r="V72" s="538">
        <f t="shared" si="2"/>
        <v>0</v>
      </c>
      <c r="W72" s="461"/>
    </row>
    <row r="73" spans="1:23" s="20" customFormat="1" ht="16.5" hidden="1" customHeight="1">
      <c r="A73" s="206"/>
      <c r="B73" s="264"/>
      <c r="C73" s="57" t="s">
        <v>162</v>
      </c>
      <c r="D73" s="86"/>
      <c r="E73" s="244">
        <v>0</v>
      </c>
      <c r="F73" s="244">
        <v>0</v>
      </c>
      <c r="G73" s="50">
        <f>F73-E73</f>
        <v>0</v>
      </c>
      <c r="H73" s="1002"/>
      <c r="I73" s="1003"/>
      <c r="J73" s="1003"/>
      <c r="K73" s="1003"/>
      <c r="L73" s="1003"/>
      <c r="M73" s="1003"/>
      <c r="N73" s="1003"/>
      <c r="O73" s="1003"/>
      <c r="P73" s="1003"/>
      <c r="Q73" s="1004"/>
      <c r="R73" s="535"/>
      <c r="S73" s="522"/>
      <c r="T73" s="524"/>
      <c r="U73" s="462"/>
      <c r="V73" s="538">
        <f t="shared" si="2"/>
        <v>0</v>
      </c>
      <c r="W73" s="461"/>
    </row>
    <row r="74" spans="1:23" s="20" customFormat="1" ht="23.25" customHeight="1">
      <c r="A74" s="206"/>
      <c r="B74" s="209"/>
      <c r="C74" s="86" t="s">
        <v>182</v>
      </c>
      <c r="D74" s="86"/>
      <c r="E74" s="244">
        <v>20300000</v>
      </c>
      <c r="F74" s="244">
        <v>20300000</v>
      </c>
      <c r="G74" s="50">
        <f>F74-E74</f>
        <v>0</v>
      </c>
      <c r="H74" s="1034" t="s">
        <v>472</v>
      </c>
      <c r="I74" s="1050"/>
      <c r="J74" s="1050"/>
      <c r="K74" s="1050"/>
      <c r="L74" s="1050"/>
      <c r="M74" s="1050"/>
      <c r="N74" s="1050"/>
      <c r="O74" s="1050"/>
      <c r="P74" s="1050"/>
      <c r="Q74" s="1051"/>
      <c r="R74" s="535" t="s">
        <v>445</v>
      </c>
      <c r="S74" s="522">
        <f>F74-T74-U74</f>
        <v>12800000</v>
      </c>
      <c r="T74" s="524">
        <v>4500000</v>
      </c>
      <c r="U74" s="463">
        <v>3000000</v>
      </c>
      <c r="V74" s="538">
        <f t="shared" si="2"/>
        <v>20300000</v>
      </c>
      <c r="W74" s="461"/>
    </row>
    <row r="75" spans="1:23" s="20" customFormat="1" ht="21" hidden="1" customHeight="1">
      <c r="A75" s="206"/>
      <c r="B75" s="209"/>
      <c r="C75" s="57" t="s">
        <v>163</v>
      </c>
      <c r="D75" s="271"/>
      <c r="E75" s="244">
        <v>0</v>
      </c>
      <c r="F75" s="244">
        <v>0</v>
      </c>
      <c r="G75" s="50">
        <f>F75-E75</f>
        <v>0</v>
      </c>
      <c r="H75" s="1080" t="s">
        <v>380</v>
      </c>
      <c r="I75" s="985"/>
      <c r="J75" s="985"/>
      <c r="K75" s="985"/>
      <c r="L75" s="985"/>
      <c r="M75" s="985"/>
      <c r="N75" s="985"/>
      <c r="O75" s="985"/>
      <c r="P75" s="985"/>
      <c r="Q75" s="986"/>
      <c r="R75" s="535" t="s">
        <v>445</v>
      </c>
      <c r="S75" s="522">
        <f>F75-T75-U75</f>
        <v>0</v>
      </c>
      <c r="T75" s="524"/>
      <c r="U75" s="463">
        <v>0</v>
      </c>
      <c r="V75" s="538">
        <f t="shared" si="2"/>
        <v>0</v>
      </c>
      <c r="W75" s="461"/>
    </row>
    <row r="76" spans="1:23" s="20" customFormat="1" ht="23.25" customHeight="1">
      <c r="A76" s="206"/>
      <c r="B76" s="209"/>
      <c r="C76" s="57" t="s">
        <v>164</v>
      </c>
      <c r="D76" s="86"/>
      <c r="E76" s="244">
        <v>15000000</v>
      </c>
      <c r="F76" s="244">
        <v>15000000</v>
      </c>
      <c r="G76" s="50">
        <f>F76-E76</f>
        <v>0</v>
      </c>
      <c r="H76" s="1055" t="s">
        <v>473</v>
      </c>
      <c r="I76" s="1056"/>
      <c r="J76" s="1056"/>
      <c r="K76" s="1056"/>
      <c r="L76" s="1056"/>
      <c r="M76" s="1056"/>
      <c r="N76" s="1056"/>
      <c r="O76" s="1056"/>
      <c r="P76" s="1056"/>
      <c r="Q76" s="1057"/>
      <c r="R76" s="535" t="s">
        <v>445</v>
      </c>
      <c r="S76" s="522">
        <f>F76-T76-U76-U77</f>
        <v>7824271</v>
      </c>
      <c r="T76" s="524">
        <v>4000000</v>
      </c>
      <c r="U76" s="463">
        <v>2175729</v>
      </c>
      <c r="V76" s="538">
        <f>S76+T76+U76+U77</f>
        <v>15000000</v>
      </c>
      <c r="W76" s="461"/>
    </row>
    <row r="77" spans="1:23" s="20" customFormat="1" ht="13.5" hidden="1" customHeight="1">
      <c r="A77" s="206"/>
      <c r="B77" s="209"/>
      <c r="C77" s="85" t="s">
        <v>179</v>
      </c>
      <c r="D77" s="57" t="s">
        <v>7</v>
      </c>
      <c r="E77" s="244">
        <v>0</v>
      </c>
      <c r="F77" s="244">
        <f>F78</f>
        <v>0</v>
      </c>
      <c r="G77" s="50">
        <f>G78</f>
        <v>0</v>
      </c>
      <c r="H77" s="1002"/>
      <c r="I77" s="1003"/>
      <c r="J77" s="1003"/>
      <c r="K77" s="1003"/>
      <c r="L77" s="1003"/>
      <c r="M77" s="1003"/>
      <c r="N77" s="1003"/>
      <c r="O77" s="1003"/>
      <c r="P77" s="1003"/>
      <c r="Q77" s="1004"/>
      <c r="R77" s="536"/>
      <c r="S77" s="523"/>
      <c r="T77" s="525">
        <v>0</v>
      </c>
      <c r="U77" s="539">
        <v>1000000</v>
      </c>
      <c r="V77" s="538"/>
      <c r="W77" s="461"/>
    </row>
    <row r="78" spans="1:23" s="20" customFormat="1" ht="13.5" hidden="1" customHeight="1">
      <c r="A78" s="206"/>
      <c r="B78" s="209"/>
      <c r="C78" s="86"/>
      <c r="D78" s="85" t="s">
        <v>179</v>
      </c>
      <c r="E78" s="244">
        <v>0</v>
      </c>
      <c r="F78" s="244">
        <v>0</v>
      </c>
      <c r="G78" s="50">
        <f>F78-E78</f>
        <v>0</v>
      </c>
      <c r="Q78" s="587"/>
      <c r="R78" s="536"/>
      <c r="S78" s="523"/>
      <c r="T78" s="525"/>
      <c r="U78" s="462"/>
      <c r="V78" s="538">
        <f t="shared" si="2"/>
        <v>0</v>
      </c>
      <c r="W78" s="461"/>
    </row>
    <row r="79" spans="1:23" s="20" customFormat="1" ht="16.5" hidden="1" customHeight="1">
      <c r="A79" s="206"/>
      <c r="B79" s="209"/>
      <c r="C79" s="85" t="s">
        <v>401</v>
      </c>
      <c r="D79" s="57" t="s">
        <v>7</v>
      </c>
      <c r="E79" s="244">
        <v>0</v>
      </c>
      <c r="F79" s="244">
        <f>F80</f>
        <v>0</v>
      </c>
      <c r="G79" s="50">
        <f>G80</f>
        <v>0</v>
      </c>
      <c r="H79" s="1002"/>
      <c r="I79" s="1003"/>
      <c r="J79" s="1003"/>
      <c r="K79" s="1003"/>
      <c r="L79" s="1003"/>
      <c r="M79" s="1003"/>
      <c r="N79" s="1003"/>
      <c r="O79" s="1003"/>
      <c r="P79" s="1003"/>
      <c r="Q79" s="1004"/>
      <c r="R79" s="536"/>
      <c r="S79" s="523"/>
      <c r="T79" s="525"/>
      <c r="U79" s="462"/>
      <c r="V79" s="538">
        <f t="shared" si="2"/>
        <v>0</v>
      </c>
      <c r="W79" s="461"/>
    </row>
    <row r="80" spans="1:23" s="20" customFormat="1" ht="16.5" hidden="1" customHeight="1">
      <c r="A80" s="206"/>
      <c r="B80" s="209"/>
      <c r="C80" s="86"/>
      <c r="D80" s="85" t="s">
        <v>401</v>
      </c>
      <c r="E80" s="244"/>
      <c r="F80" s="244"/>
      <c r="G80" s="50">
        <f>F80-E80</f>
        <v>0</v>
      </c>
      <c r="H80" s="987"/>
      <c r="I80" s="988"/>
      <c r="J80" s="988"/>
      <c r="K80" s="988"/>
      <c r="L80" s="988"/>
      <c r="M80" s="988"/>
      <c r="N80" s="988"/>
      <c r="O80" s="988"/>
      <c r="P80" s="988"/>
      <c r="Q80" s="989"/>
      <c r="R80" s="536" t="s">
        <v>440</v>
      </c>
      <c r="S80" s="523"/>
      <c r="T80" s="525"/>
      <c r="U80" s="462"/>
      <c r="V80" s="538">
        <f t="shared" si="2"/>
        <v>0</v>
      </c>
      <c r="W80" s="461"/>
    </row>
    <row r="81" spans="1:23" s="20" customFormat="1" ht="16.5" hidden="1" customHeight="1">
      <c r="A81" s="206"/>
      <c r="B81" s="209"/>
      <c r="C81" s="85" t="s">
        <v>415</v>
      </c>
      <c r="D81" s="57" t="s">
        <v>7</v>
      </c>
      <c r="E81" s="244">
        <v>0</v>
      </c>
      <c r="F81" s="244">
        <f>F82</f>
        <v>0</v>
      </c>
      <c r="G81" s="50">
        <f>G82</f>
        <v>0</v>
      </c>
      <c r="H81" s="1002"/>
      <c r="I81" s="1003"/>
      <c r="J81" s="1003"/>
      <c r="K81" s="1003"/>
      <c r="L81" s="1003"/>
      <c r="M81" s="1003"/>
      <c r="N81" s="1003"/>
      <c r="O81" s="1003"/>
      <c r="P81" s="1003"/>
      <c r="Q81" s="1004"/>
      <c r="R81" s="536"/>
      <c r="S81" s="523"/>
      <c r="T81" s="525"/>
      <c r="U81" s="462"/>
      <c r="V81" s="538">
        <f t="shared" si="2"/>
        <v>0</v>
      </c>
      <c r="W81" s="461"/>
    </row>
    <row r="82" spans="1:23" s="20" customFormat="1" ht="16.5" hidden="1" customHeight="1">
      <c r="A82" s="206"/>
      <c r="B82" s="428"/>
      <c r="C82" s="86"/>
      <c r="D82" s="85" t="s">
        <v>415</v>
      </c>
      <c r="E82" s="244">
        <v>0</v>
      </c>
      <c r="F82" s="244">
        <v>0</v>
      </c>
      <c r="G82" s="50">
        <f>F82-E82</f>
        <v>0</v>
      </c>
      <c r="H82" s="1002"/>
      <c r="I82" s="1003"/>
      <c r="J82" s="1003"/>
      <c r="K82" s="1003"/>
      <c r="L82" s="1003"/>
      <c r="M82" s="1003"/>
      <c r="N82" s="1003"/>
      <c r="O82" s="1003"/>
      <c r="P82" s="1003"/>
      <c r="Q82" s="1004"/>
      <c r="R82" s="536"/>
      <c r="S82" s="523"/>
      <c r="T82" s="525"/>
      <c r="U82" s="462"/>
      <c r="V82" s="538">
        <f t="shared" si="2"/>
        <v>0</v>
      </c>
      <c r="W82" s="461"/>
    </row>
    <row r="83" spans="1:23" s="20" customFormat="1" ht="16.5" customHeight="1">
      <c r="A83" s="48" t="s">
        <v>165</v>
      </c>
      <c r="B83" s="952" t="s">
        <v>186</v>
      </c>
      <c r="C83" s="953"/>
      <c r="D83" s="57"/>
      <c r="E83" s="244">
        <v>0</v>
      </c>
      <c r="F83" s="244">
        <f>F84</f>
        <v>0</v>
      </c>
      <c r="G83" s="52">
        <f>G84</f>
        <v>0</v>
      </c>
      <c r="H83" s="1052"/>
      <c r="I83" s="1053"/>
      <c r="J83" s="1053"/>
      <c r="K83" s="1053"/>
      <c r="L83" s="1053"/>
      <c r="M83" s="1053"/>
      <c r="N83" s="1053"/>
      <c r="O83" s="1053"/>
      <c r="P83" s="1053"/>
      <c r="Q83" s="1054"/>
      <c r="R83" s="535"/>
      <c r="S83" s="522"/>
      <c r="T83" s="524"/>
      <c r="U83" s="462"/>
      <c r="V83" s="538">
        <f t="shared" si="2"/>
        <v>0</v>
      </c>
      <c r="W83" s="461"/>
    </row>
    <row r="84" spans="1:23" s="20" customFormat="1" ht="16.5" customHeight="1">
      <c r="A84" s="205"/>
      <c r="B84" s="49" t="s">
        <v>165</v>
      </c>
      <c r="C84" s="86" t="s">
        <v>117</v>
      </c>
      <c r="D84" s="57"/>
      <c r="E84" s="244">
        <v>0</v>
      </c>
      <c r="F84" s="244">
        <f>F85</f>
        <v>0</v>
      </c>
      <c r="G84" s="52">
        <f>F84-E84</f>
        <v>0</v>
      </c>
      <c r="H84" s="1052"/>
      <c r="I84" s="1053"/>
      <c r="J84" s="1053"/>
      <c r="K84" s="1053"/>
      <c r="L84" s="1053"/>
      <c r="M84" s="1053"/>
      <c r="N84" s="1053"/>
      <c r="O84" s="1053"/>
      <c r="P84" s="1053"/>
      <c r="Q84" s="1054"/>
      <c r="R84" s="535"/>
      <c r="S84" s="522"/>
      <c r="T84" s="524"/>
      <c r="U84" s="462"/>
      <c r="V84" s="538">
        <f t="shared" si="2"/>
        <v>0</v>
      </c>
      <c r="W84" s="461"/>
    </row>
    <row r="85" spans="1:23" s="20" customFormat="1" ht="16.5" customHeight="1">
      <c r="A85" s="212"/>
      <c r="B85" s="83"/>
      <c r="C85" s="86" t="s">
        <v>165</v>
      </c>
      <c r="D85" s="57"/>
      <c r="E85" s="244">
        <v>0</v>
      </c>
      <c r="F85" s="244">
        <v>0</v>
      </c>
      <c r="G85" s="52">
        <f>F85-E85</f>
        <v>0</v>
      </c>
      <c r="H85" s="1052"/>
      <c r="I85" s="1053"/>
      <c r="J85" s="1053"/>
      <c r="K85" s="1053"/>
      <c r="L85" s="1053"/>
      <c r="M85" s="1053"/>
      <c r="N85" s="1053"/>
      <c r="O85" s="1053"/>
      <c r="P85" s="1053"/>
      <c r="Q85" s="1054"/>
      <c r="R85" s="535"/>
      <c r="S85" s="522"/>
      <c r="T85" s="524"/>
      <c r="U85" s="462"/>
      <c r="V85" s="538">
        <f t="shared" si="2"/>
        <v>0</v>
      </c>
      <c r="W85" s="461"/>
    </row>
    <row r="86" spans="1:23" s="1" customFormat="1" ht="16.5" customHeight="1">
      <c r="A86" s="82" t="s">
        <v>8</v>
      </c>
      <c r="B86" s="952" t="s">
        <v>187</v>
      </c>
      <c r="C86" s="953"/>
      <c r="D86" s="57"/>
      <c r="E86" s="244">
        <v>0</v>
      </c>
      <c r="F86" s="244">
        <f>F87</f>
        <v>0</v>
      </c>
      <c r="G86" s="52">
        <f>F86-E86</f>
        <v>0</v>
      </c>
      <c r="H86" s="1045"/>
      <c r="I86" s="1045"/>
      <c r="J86" s="1045"/>
      <c r="K86" s="1045"/>
      <c r="L86" s="1045"/>
      <c r="M86" s="1045"/>
      <c r="N86" s="1045"/>
      <c r="O86" s="1045"/>
      <c r="P86" s="1045"/>
      <c r="Q86" s="1046"/>
      <c r="R86" s="534"/>
      <c r="S86" s="521"/>
      <c r="T86" s="456"/>
      <c r="U86" s="459">
        <v>220000</v>
      </c>
      <c r="V86" s="538">
        <f t="shared" si="2"/>
        <v>220000</v>
      </c>
      <c r="W86" s="454"/>
    </row>
    <row r="87" spans="1:23" s="1" customFormat="1" ht="16.5" customHeight="1">
      <c r="A87" s="205"/>
      <c r="B87" s="83" t="s">
        <v>226</v>
      </c>
      <c r="C87" s="86" t="s">
        <v>117</v>
      </c>
      <c r="D87" s="210"/>
      <c r="E87" s="262">
        <v>0</v>
      </c>
      <c r="F87" s="262">
        <f>F88</f>
        <v>0</v>
      </c>
      <c r="G87" s="217">
        <f>F87-E87</f>
        <v>0</v>
      </c>
      <c r="H87" s="1045"/>
      <c r="I87" s="1045"/>
      <c r="J87" s="1045"/>
      <c r="K87" s="1045"/>
      <c r="L87" s="1045"/>
      <c r="M87" s="1045"/>
      <c r="N87" s="1045"/>
      <c r="O87" s="1045"/>
      <c r="P87" s="1045"/>
      <c r="Q87" s="1046"/>
      <c r="R87" s="534"/>
      <c r="S87" s="521"/>
      <c r="T87" s="456"/>
      <c r="U87" s="455"/>
      <c r="V87" s="538">
        <f t="shared" si="2"/>
        <v>0</v>
      </c>
      <c r="W87" s="454"/>
    </row>
    <row r="88" spans="1:23" s="1" customFormat="1" ht="16.5" customHeight="1">
      <c r="A88" s="212"/>
      <c r="B88" s="213"/>
      <c r="C88" s="86" t="s">
        <v>226</v>
      </c>
      <c r="D88" s="210"/>
      <c r="E88" s="262">
        <v>0</v>
      </c>
      <c r="F88" s="262">
        <v>0</v>
      </c>
      <c r="G88" s="217">
        <f>F88-E88</f>
        <v>0</v>
      </c>
      <c r="H88" s="1045"/>
      <c r="I88" s="1045"/>
      <c r="J88" s="1045"/>
      <c r="K88" s="1045"/>
      <c r="L88" s="1045"/>
      <c r="M88" s="1045"/>
      <c r="N88" s="1045"/>
      <c r="O88" s="1045"/>
      <c r="P88" s="1045"/>
      <c r="Q88" s="1046"/>
      <c r="R88" s="534" t="s">
        <v>441</v>
      </c>
      <c r="S88" s="521"/>
      <c r="T88" s="456"/>
      <c r="U88" s="455"/>
      <c r="V88" s="538">
        <f t="shared" si="2"/>
        <v>0</v>
      </c>
      <c r="W88" s="454"/>
    </row>
    <row r="89" spans="1:23" s="1" customFormat="1" ht="16.5" customHeight="1">
      <c r="A89" s="82" t="s">
        <v>29</v>
      </c>
      <c r="B89" s="952" t="s">
        <v>187</v>
      </c>
      <c r="C89" s="953"/>
      <c r="D89" s="57"/>
      <c r="E89" s="244">
        <v>0</v>
      </c>
      <c r="F89" s="244">
        <f>F90</f>
        <v>0</v>
      </c>
      <c r="G89" s="52">
        <f>G90</f>
        <v>0</v>
      </c>
      <c r="H89" s="1052"/>
      <c r="I89" s="1053"/>
      <c r="J89" s="1053"/>
      <c r="K89" s="1053"/>
      <c r="L89" s="1053"/>
      <c r="M89" s="1053"/>
      <c r="N89" s="1053"/>
      <c r="O89" s="1053"/>
      <c r="P89" s="1053"/>
      <c r="Q89" s="1054"/>
      <c r="R89" s="534"/>
      <c r="S89" s="521">
        <v>760000</v>
      </c>
      <c r="T89" s="456"/>
      <c r="U89" s="459">
        <v>240000</v>
      </c>
      <c r="V89" s="538">
        <f t="shared" si="2"/>
        <v>1000000</v>
      </c>
      <c r="W89" s="454"/>
    </row>
    <row r="90" spans="1:23" s="1" customFormat="1" ht="16.5" customHeight="1">
      <c r="A90" s="205"/>
      <c r="B90" s="83" t="s">
        <v>225</v>
      </c>
      <c r="C90" s="86" t="s">
        <v>117</v>
      </c>
      <c r="D90" s="57"/>
      <c r="E90" s="244">
        <v>0</v>
      </c>
      <c r="F90" s="244">
        <f>F91</f>
        <v>0</v>
      </c>
      <c r="G90" s="52">
        <f>F90-E90</f>
        <v>0</v>
      </c>
      <c r="H90" s="1052"/>
      <c r="I90" s="1053"/>
      <c r="J90" s="1053"/>
      <c r="K90" s="1053"/>
      <c r="L90" s="1053"/>
      <c r="M90" s="1053"/>
      <c r="N90" s="1053"/>
      <c r="O90" s="1053"/>
      <c r="P90" s="1053"/>
      <c r="Q90" s="1054"/>
      <c r="R90" s="534"/>
      <c r="S90" s="521"/>
      <c r="T90" s="456"/>
      <c r="U90" s="455"/>
      <c r="V90" s="538">
        <f t="shared" si="2"/>
        <v>0</v>
      </c>
      <c r="W90" s="454"/>
    </row>
    <row r="91" spans="1:23" s="1" customFormat="1" ht="16.5" customHeight="1">
      <c r="A91" s="215"/>
      <c r="B91" s="246"/>
      <c r="C91" s="312" t="s">
        <v>225</v>
      </c>
      <c r="D91" s="311"/>
      <c r="E91" s="247"/>
      <c r="F91" s="247"/>
      <c r="G91" s="89">
        <f>F91-E91</f>
        <v>0</v>
      </c>
      <c r="H91" s="1072"/>
      <c r="I91" s="1073"/>
      <c r="J91" s="1073"/>
      <c r="K91" s="1073"/>
      <c r="L91" s="1073"/>
      <c r="M91" s="1073"/>
      <c r="N91" s="1073"/>
      <c r="O91" s="1073"/>
      <c r="P91" s="1073"/>
      <c r="Q91" s="1074"/>
      <c r="R91" s="534" t="s">
        <v>441</v>
      </c>
      <c r="S91" s="521"/>
      <c r="T91" s="456"/>
      <c r="U91" s="455"/>
      <c r="V91" s="538">
        <f t="shared" si="2"/>
        <v>0</v>
      </c>
      <c r="W91" s="454"/>
    </row>
    <row r="92" spans="1:23">
      <c r="E92" s="76"/>
    </row>
  </sheetData>
  <mergeCells count="103">
    <mergeCell ref="H90:Q90"/>
    <mergeCell ref="H38:Q38"/>
    <mergeCell ref="H28:I28"/>
    <mergeCell ref="H42:Q42"/>
    <mergeCell ref="H31:Q31"/>
    <mergeCell ref="H29:Q29"/>
    <mergeCell ref="H41:Q41"/>
    <mergeCell ref="H43:Q43"/>
    <mergeCell ref="H39:Q39"/>
    <mergeCell ref="H40:Q40"/>
    <mergeCell ref="H52:Q52"/>
    <mergeCell ref="H65:Q65"/>
    <mergeCell ref="H63:Q63"/>
    <mergeCell ref="H48:Q48"/>
    <mergeCell ref="H53:Q53"/>
    <mergeCell ref="H91:Q91"/>
    <mergeCell ref="H84:Q84"/>
    <mergeCell ref="H89:Q89"/>
    <mergeCell ref="H86:Q86"/>
    <mergeCell ref="H44:Q44"/>
    <mergeCell ref="H71:Q71"/>
    <mergeCell ref="H64:Q64"/>
    <mergeCell ref="H72:Q72"/>
    <mergeCell ref="H87:Q87"/>
    <mergeCell ref="H70:Q70"/>
    <mergeCell ref="H54:Q54"/>
    <mergeCell ref="H66:Q66"/>
    <mergeCell ref="H60:Q60"/>
    <mergeCell ref="H49:Q49"/>
    <mergeCell ref="H46:Q46"/>
    <mergeCell ref="H55:Q55"/>
    <mergeCell ref="H62:Q62"/>
    <mergeCell ref="H68:Q68"/>
    <mergeCell ref="H81:Q81"/>
    <mergeCell ref="H75:Q75"/>
    <mergeCell ref="H82:Q82"/>
    <mergeCell ref="H69:Q69"/>
    <mergeCell ref="H77:Q77"/>
    <mergeCell ref="H47:Q47"/>
    <mergeCell ref="H14:Q14"/>
    <mergeCell ref="H19:Q19"/>
    <mergeCell ref="H6:Q6"/>
    <mergeCell ref="H10:Q10"/>
    <mergeCell ref="H17:Q17"/>
    <mergeCell ref="H23:Q23"/>
    <mergeCell ref="H25:Q25"/>
    <mergeCell ref="H35:Q35"/>
    <mergeCell ref="H1:Q1"/>
    <mergeCell ref="H2:Q2"/>
    <mergeCell ref="H3:Q3"/>
    <mergeCell ref="H4:Q5"/>
    <mergeCell ref="H21:Q21"/>
    <mergeCell ref="H11:Q11"/>
    <mergeCell ref="H15:Q15"/>
    <mergeCell ref="H7:Q7"/>
    <mergeCell ref="H8:Q8"/>
    <mergeCell ref="H9:Q9"/>
    <mergeCell ref="H13:Q13"/>
    <mergeCell ref="H12:Q12"/>
    <mergeCell ref="A2:C2"/>
    <mergeCell ref="E4:E5"/>
    <mergeCell ref="A4:D4"/>
    <mergeCell ref="B7:C7"/>
    <mergeCell ref="F4:F5"/>
    <mergeCell ref="A6:C6"/>
    <mergeCell ref="H18:Q18"/>
    <mergeCell ref="H22:Q22"/>
    <mergeCell ref="H45:Q45"/>
    <mergeCell ref="H34:Q34"/>
    <mergeCell ref="B45:C45"/>
    <mergeCell ref="H20:Q20"/>
    <mergeCell ref="H24:Q24"/>
    <mergeCell ref="H33:Q33"/>
    <mergeCell ref="J28:K28"/>
    <mergeCell ref="P28:Q28"/>
    <mergeCell ref="H26:Q26"/>
    <mergeCell ref="H32:Q32"/>
    <mergeCell ref="G4:G5"/>
    <mergeCell ref="H36:Q36"/>
    <mergeCell ref="H37:Q37"/>
    <mergeCell ref="H16:Q16"/>
    <mergeCell ref="H30:Q30"/>
    <mergeCell ref="H27:Q27"/>
    <mergeCell ref="B50:C50"/>
    <mergeCell ref="H61:Q61"/>
    <mergeCell ref="H57:Q57"/>
    <mergeCell ref="H58:Q58"/>
    <mergeCell ref="H51:Q51"/>
    <mergeCell ref="H59:Q59"/>
    <mergeCell ref="H56:Q56"/>
    <mergeCell ref="H50:Q50"/>
    <mergeCell ref="B89:C89"/>
    <mergeCell ref="B86:C86"/>
    <mergeCell ref="B83:C83"/>
    <mergeCell ref="H73:Q73"/>
    <mergeCell ref="H74:Q74"/>
    <mergeCell ref="H67:Q67"/>
    <mergeCell ref="H85:Q85"/>
    <mergeCell ref="H88:Q88"/>
    <mergeCell ref="H79:Q79"/>
    <mergeCell ref="H80:Q80"/>
    <mergeCell ref="H83:Q83"/>
    <mergeCell ref="H76:Q76"/>
  </mergeCells>
  <phoneticPr fontId="2" type="noConversion"/>
  <pageMargins left="0.23622047244094491" right="0.27559055118110237" top="0.59055118110236227" bottom="0.43307086614173229" header="0.39370078740157483" footer="0.27559055118110237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W95"/>
  <sheetViews>
    <sheetView workbookViewId="0">
      <selection activeCell="Y8" sqref="Y8"/>
    </sheetView>
  </sheetViews>
  <sheetFormatPr defaultRowHeight="13.5"/>
  <cols>
    <col min="1" max="1" width="7.21875" style="46" customWidth="1"/>
    <col min="2" max="2" width="7.44140625" style="46" bestFit="1" customWidth="1"/>
    <col min="3" max="3" width="9.21875" style="46" customWidth="1"/>
    <col min="4" max="4" width="8.77734375" style="46" customWidth="1"/>
    <col min="5" max="5" width="11.5546875" style="46" customWidth="1"/>
    <col min="6" max="6" width="12" style="47" customWidth="1"/>
    <col min="7" max="7" width="9.33203125" style="72" customWidth="1"/>
    <col min="8" max="8" width="3.6640625" style="46" customWidth="1"/>
    <col min="9" max="9" width="4" style="46" customWidth="1"/>
    <col min="10" max="10" width="3.21875" style="46" customWidth="1"/>
    <col min="11" max="11" width="4" style="46" customWidth="1"/>
    <col min="12" max="12" width="1.6640625" style="46" customWidth="1"/>
    <col min="13" max="13" width="5.44140625" style="46" bestFit="1" customWidth="1"/>
    <col min="14" max="14" width="2" style="46" customWidth="1"/>
    <col min="15" max="15" width="1.44140625" style="46" customWidth="1"/>
    <col min="16" max="16" width="3.6640625" style="46" customWidth="1"/>
    <col min="17" max="17" width="2.77734375" style="46" customWidth="1"/>
    <col min="18" max="18" width="8.88671875" customWidth="1"/>
    <col min="19" max="20" width="11.6640625" style="433" hidden="1" customWidth="1"/>
    <col min="21" max="21" width="14.44140625" hidden="1" customWidth="1"/>
    <col min="22" max="22" width="8.88671875" customWidth="1"/>
    <col min="23" max="23" width="13.21875" hidden="1" customWidth="1"/>
  </cols>
  <sheetData>
    <row r="1" spans="1:23" s="5" customFormat="1" ht="52.5" customHeight="1">
      <c r="A1" s="41" t="s">
        <v>945</v>
      </c>
      <c r="B1" s="44"/>
      <c r="C1" s="44"/>
      <c r="D1" s="44"/>
      <c r="E1" s="44"/>
      <c r="F1" s="43"/>
      <c r="G1" s="74"/>
      <c r="H1" s="1068"/>
      <c r="I1" s="1068"/>
      <c r="J1" s="1068"/>
      <c r="K1" s="1068"/>
      <c r="L1" s="1068"/>
      <c r="M1" s="1068"/>
      <c r="N1" s="1068"/>
      <c r="O1" s="1068"/>
      <c r="P1" s="1068"/>
      <c r="Q1" s="1068"/>
      <c r="S1" s="431"/>
      <c r="T1" s="431"/>
    </row>
    <row r="2" spans="1:23" s="5" customFormat="1" ht="42.75" customHeight="1">
      <c r="A2" s="1005" t="s">
        <v>389</v>
      </c>
      <c r="B2" s="1005"/>
      <c r="C2" s="1006"/>
      <c r="D2" s="34"/>
      <c r="E2" s="44"/>
      <c r="F2" s="43"/>
      <c r="G2" s="74"/>
      <c r="H2" s="1068"/>
      <c r="I2" s="1068"/>
      <c r="J2" s="1068"/>
      <c r="K2" s="1068"/>
      <c r="L2" s="1068"/>
      <c r="M2" s="1068"/>
      <c r="N2" s="1068"/>
      <c r="O2" s="1068"/>
      <c r="P2" s="1068"/>
      <c r="Q2" s="1068"/>
      <c r="R2" s="448"/>
      <c r="S2" s="449"/>
      <c r="T2" s="449"/>
      <c r="U2" s="448"/>
      <c r="V2" s="448"/>
    </row>
    <row r="3" spans="1:23" s="4" customFormat="1" ht="21.75" customHeight="1">
      <c r="A3" s="44"/>
      <c r="B3" s="44"/>
      <c r="C3" s="44"/>
      <c r="D3" s="44"/>
      <c r="E3" s="44"/>
      <c r="F3" s="43"/>
      <c r="G3" s="74"/>
      <c r="H3" s="1069" t="s">
        <v>0</v>
      </c>
      <c r="I3" s="1069"/>
      <c r="J3" s="1069"/>
      <c r="K3" s="1069"/>
      <c r="L3" s="1069"/>
      <c r="M3" s="1069"/>
      <c r="N3" s="1069"/>
      <c r="O3" s="1069"/>
      <c r="P3" s="1069"/>
      <c r="Q3" s="1069"/>
      <c r="R3" s="450"/>
      <c r="S3" s="464">
        <f>S6/U6</f>
        <v>0.79027281014665085</v>
      </c>
      <c r="T3" s="464">
        <f>T6/U6</f>
        <v>0.20972718985334918</v>
      </c>
      <c r="U3" s="465">
        <f>SUM(S3:T3)</f>
        <v>1</v>
      </c>
      <c r="V3" s="450"/>
    </row>
    <row r="4" spans="1:23" s="3" customFormat="1" ht="24.75" customHeight="1">
      <c r="A4" s="1010" t="s">
        <v>4</v>
      </c>
      <c r="B4" s="1011"/>
      <c r="C4" s="1011"/>
      <c r="D4" s="1012"/>
      <c r="E4" s="938" t="str">
        <f>'라-1.자부담세출내역'!E4:E5</f>
        <v>2015년도
1차추경
( A )</v>
      </c>
      <c r="F4" s="936" t="str">
        <f>'라-1.자부담세출내역'!F4:F5</f>
        <v>2015년도
2차추경
( B )</v>
      </c>
      <c r="G4" s="1063" t="s">
        <v>46</v>
      </c>
      <c r="H4" s="948" t="s">
        <v>70</v>
      </c>
      <c r="I4" s="948"/>
      <c r="J4" s="948"/>
      <c r="K4" s="948"/>
      <c r="L4" s="948"/>
      <c r="M4" s="948"/>
      <c r="N4" s="948"/>
      <c r="O4" s="948"/>
      <c r="P4" s="948"/>
      <c r="Q4" s="1070"/>
      <c r="R4" s="452"/>
      <c r="S4" s="453" t="s">
        <v>411</v>
      </c>
      <c r="T4" s="453" t="s">
        <v>412</v>
      </c>
      <c r="U4" s="452" t="s">
        <v>413</v>
      </c>
      <c r="V4" s="452"/>
    </row>
    <row r="5" spans="1:23" s="3" customFormat="1" ht="24.75" customHeight="1" thickBot="1">
      <c r="A5" s="180" t="s">
        <v>1</v>
      </c>
      <c r="B5" s="181" t="s">
        <v>2</v>
      </c>
      <c r="C5" s="181" t="s">
        <v>3</v>
      </c>
      <c r="D5" s="181" t="s">
        <v>357</v>
      </c>
      <c r="E5" s="939"/>
      <c r="F5" s="937"/>
      <c r="G5" s="1064"/>
      <c r="H5" s="949"/>
      <c r="I5" s="949"/>
      <c r="J5" s="949"/>
      <c r="K5" s="949"/>
      <c r="L5" s="949"/>
      <c r="M5" s="949"/>
      <c r="N5" s="949"/>
      <c r="O5" s="949"/>
      <c r="P5" s="949"/>
      <c r="Q5" s="1071"/>
      <c r="R5" s="452"/>
      <c r="S5" s="453"/>
      <c r="T5" s="453"/>
      <c r="U5" s="452"/>
      <c r="V5" s="452"/>
    </row>
    <row r="6" spans="1:23" s="3" customFormat="1" ht="21.75" customHeight="1" thickTop="1">
      <c r="A6" s="1008" t="s">
        <v>42</v>
      </c>
      <c r="B6" s="1009"/>
      <c r="C6" s="1009"/>
      <c r="D6" s="175"/>
      <c r="E6" s="90">
        <f>E7+E45+E50+E93+E90+E87+E84</f>
        <v>504600000</v>
      </c>
      <c r="F6" s="90">
        <f>F7+F45+F50+F93+F90+F87+F84</f>
        <v>504600000</v>
      </c>
      <c r="G6" s="91">
        <f>G7+G45+G50+G93+G90+G87+G84</f>
        <v>0</v>
      </c>
      <c r="H6" s="1090"/>
      <c r="I6" s="1090"/>
      <c r="J6" s="1090"/>
      <c r="K6" s="1090"/>
      <c r="L6" s="1090"/>
      <c r="M6" s="1090"/>
      <c r="N6" s="1090"/>
      <c r="O6" s="1090"/>
      <c r="P6" s="1090"/>
      <c r="Q6" s="1091"/>
      <c r="R6" s="452"/>
      <c r="S6" s="453">
        <f>SUM(S7:S95)</f>
        <v>398771660</v>
      </c>
      <c r="T6" s="453">
        <f>SUM(T7:T95)</f>
        <v>105828340</v>
      </c>
      <c r="U6" s="466">
        <f>SUM(S6:T6)</f>
        <v>504600000</v>
      </c>
      <c r="V6" s="452"/>
    </row>
    <row r="7" spans="1:23" s="1" customFormat="1" ht="21.75" customHeight="1">
      <c r="A7" s="82" t="s">
        <v>10</v>
      </c>
      <c r="B7" s="952" t="s">
        <v>30</v>
      </c>
      <c r="C7" s="953"/>
      <c r="D7" s="83"/>
      <c r="E7" s="280">
        <v>223890000</v>
      </c>
      <c r="F7" s="280">
        <f>F8+F33+F38</f>
        <v>198890000</v>
      </c>
      <c r="G7" s="50">
        <f>G8+G33+G38</f>
        <v>-25000000</v>
      </c>
      <c r="H7" s="1084"/>
      <c r="I7" s="1084"/>
      <c r="J7" s="1084"/>
      <c r="K7" s="1084"/>
      <c r="L7" s="1084"/>
      <c r="M7" s="1084"/>
      <c r="N7" s="1084"/>
      <c r="O7" s="1084"/>
      <c r="P7" s="1084"/>
      <c r="Q7" s="1085"/>
      <c r="R7" s="454"/>
      <c r="S7" s="455"/>
      <c r="T7" s="455"/>
      <c r="U7" s="454"/>
      <c r="V7" s="454"/>
      <c r="W7" s="584"/>
    </row>
    <row r="8" spans="1:23" s="1" customFormat="1" ht="21.75" customHeight="1">
      <c r="A8" s="205"/>
      <c r="B8" s="86" t="s">
        <v>56</v>
      </c>
      <c r="C8" s="83" t="s">
        <v>7</v>
      </c>
      <c r="D8" s="83"/>
      <c r="E8" s="244">
        <v>48900000</v>
      </c>
      <c r="F8" s="244">
        <f>F9+F10+F11+F12+F26+F27+F32</f>
        <v>28061660</v>
      </c>
      <c r="G8" s="52">
        <f>G9+G10+G11+G12+G26+G27+G32</f>
        <v>-20838340</v>
      </c>
      <c r="H8" s="1084"/>
      <c r="I8" s="1084"/>
      <c r="J8" s="1084"/>
      <c r="K8" s="1084"/>
      <c r="L8" s="1084"/>
      <c r="M8" s="1084"/>
      <c r="N8" s="1084"/>
      <c r="O8" s="1084"/>
      <c r="P8" s="1084"/>
      <c r="Q8" s="1085"/>
      <c r="R8" s="454"/>
      <c r="S8" s="455"/>
      <c r="T8" s="455"/>
      <c r="U8" s="454"/>
      <c r="V8" s="454"/>
      <c r="W8" s="583">
        <f>'다-2.후원금세입내역 '!E6</f>
        <v>504600000</v>
      </c>
    </row>
    <row r="9" spans="1:23" s="1" customFormat="1" ht="21.75" hidden="1" customHeight="1">
      <c r="A9" s="206"/>
      <c r="B9" s="213"/>
      <c r="C9" s="83" t="s">
        <v>11</v>
      </c>
      <c r="D9" s="83"/>
      <c r="E9" s="244">
        <v>0</v>
      </c>
      <c r="F9" s="244">
        <f>'인건비총계표(후원금)'!F49</f>
        <v>0</v>
      </c>
      <c r="G9" s="52">
        <f>F9-E9</f>
        <v>0</v>
      </c>
      <c r="H9" s="1084"/>
      <c r="I9" s="1084"/>
      <c r="J9" s="1084"/>
      <c r="K9" s="1084"/>
      <c r="L9" s="1084"/>
      <c r="M9" s="1084"/>
      <c r="N9" s="1084"/>
      <c r="O9" s="1084"/>
      <c r="P9" s="1084"/>
      <c r="Q9" s="1085"/>
      <c r="R9" s="454"/>
      <c r="S9" s="455">
        <f>F9</f>
        <v>0</v>
      </c>
      <c r="T9" s="455"/>
      <c r="U9" s="454"/>
      <c r="V9" s="454"/>
      <c r="W9" s="584">
        <f>W8-F6</f>
        <v>0</v>
      </c>
    </row>
    <row r="10" spans="1:23" s="1" customFormat="1" ht="21.75" hidden="1" customHeight="1">
      <c r="A10" s="206"/>
      <c r="B10" s="209"/>
      <c r="C10" s="83" t="s">
        <v>12</v>
      </c>
      <c r="D10" s="83"/>
      <c r="E10" s="244">
        <v>0</v>
      </c>
      <c r="F10" s="244">
        <f>'인건비총계표(후원금)'!G49+'인건비총계표(후원금)'!J49+'인건비총계표(후원금)'!H49</f>
        <v>0</v>
      </c>
      <c r="G10" s="52">
        <f>F10-E10</f>
        <v>0</v>
      </c>
      <c r="H10" s="1084"/>
      <c r="I10" s="1084"/>
      <c r="J10" s="1084"/>
      <c r="K10" s="1084"/>
      <c r="L10" s="1084"/>
      <c r="M10" s="1084"/>
      <c r="N10" s="1084"/>
      <c r="O10" s="1084"/>
      <c r="P10" s="1084"/>
      <c r="Q10" s="1085"/>
      <c r="R10" s="454"/>
      <c r="S10" s="455">
        <f>F10</f>
        <v>0</v>
      </c>
      <c r="T10" s="455"/>
      <c r="U10" s="454"/>
      <c r="V10" s="454"/>
    </row>
    <row r="11" spans="1:23" s="1" customFormat="1" ht="21.75" customHeight="1">
      <c r="A11" s="206"/>
      <c r="B11" s="209"/>
      <c r="C11" s="83" t="s">
        <v>13</v>
      </c>
      <c r="D11" s="83"/>
      <c r="E11" s="244">
        <v>9600000</v>
      </c>
      <c r="F11" s="244">
        <f>'인건비총계표(후원금)'!S115</f>
        <v>2000000</v>
      </c>
      <c r="G11" s="52">
        <f>F11-E11</f>
        <v>-7600000</v>
      </c>
      <c r="H11" s="1084" t="s">
        <v>646</v>
      </c>
      <c r="I11" s="1084"/>
      <c r="J11" s="1084"/>
      <c r="K11" s="1084"/>
      <c r="L11" s="1084"/>
      <c r="M11" s="1084"/>
      <c r="N11" s="1084"/>
      <c r="O11" s="1084"/>
      <c r="P11" s="1084"/>
      <c r="Q11" s="1085"/>
      <c r="R11" s="454"/>
      <c r="S11" s="455">
        <f>F11</f>
        <v>2000000</v>
      </c>
      <c r="T11" s="455"/>
      <c r="U11" s="454"/>
      <c r="V11" s="454"/>
    </row>
    <row r="12" spans="1:23" s="1" customFormat="1" ht="21.75" customHeight="1">
      <c r="A12" s="206"/>
      <c r="B12" s="209"/>
      <c r="C12" s="83" t="s">
        <v>14</v>
      </c>
      <c r="D12" s="83" t="s">
        <v>7</v>
      </c>
      <c r="E12" s="244">
        <v>13200000</v>
      </c>
      <c r="F12" s="244">
        <f>SUM(F13:F25)</f>
        <v>980000</v>
      </c>
      <c r="G12" s="52">
        <f>SUM(G13:G25)</f>
        <v>-12220000</v>
      </c>
      <c r="H12" s="1084"/>
      <c r="I12" s="1084"/>
      <c r="J12" s="1084"/>
      <c r="K12" s="1084"/>
      <c r="L12" s="1084"/>
      <c r="M12" s="1084"/>
      <c r="N12" s="1084"/>
      <c r="O12" s="1084"/>
      <c r="P12" s="1084"/>
      <c r="Q12" s="1085"/>
      <c r="R12" s="454"/>
      <c r="S12" s="455">
        <f>F12</f>
        <v>980000</v>
      </c>
      <c r="T12" s="455"/>
      <c r="U12" s="454"/>
      <c r="V12" s="454"/>
    </row>
    <row r="13" spans="1:23" s="1" customFormat="1" ht="15.75" hidden="1" customHeight="1">
      <c r="A13" s="206"/>
      <c r="B13" s="209"/>
      <c r="C13" s="213"/>
      <c r="D13" s="49" t="s">
        <v>358</v>
      </c>
      <c r="E13" s="244">
        <v>0</v>
      </c>
      <c r="F13" s="244">
        <f>'인건비총계표(후원금)'!K49</f>
        <v>0</v>
      </c>
      <c r="G13" s="52">
        <f t="shared" ref="G13:G26" si="0">F13-E13</f>
        <v>0</v>
      </c>
      <c r="H13" s="1084"/>
      <c r="I13" s="1084"/>
      <c r="J13" s="1084"/>
      <c r="K13" s="1084"/>
      <c r="L13" s="1084"/>
      <c r="M13" s="1084"/>
      <c r="N13" s="1084"/>
      <c r="O13" s="1084"/>
      <c r="P13" s="1084"/>
      <c r="Q13" s="1085"/>
      <c r="R13" s="454"/>
      <c r="S13" s="455"/>
      <c r="T13" s="455"/>
      <c r="U13" s="454"/>
      <c r="V13" s="454"/>
    </row>
    <row r="14" spans="1:23" s="1" customFormat="1" ht="24" customHeight="1">
      <c r="A14" s="206"/>
      <c r="B14" s="209"/>
      <c r="C14" s="209"/>
      <c r="D14" s="83" t="s">
        <v>359</v>
      </c>
      <c r="E14" s="244">
        <v>13200000</v>
      </c>
      <c r="F14" s="244">
        <f>'인건비총계표(후원금)'!L6+'인건비총계표(후원금)'!L49</f>
        <v>980000</v>
      </c>
      <c r="G14" s="52">
        <f t="shared" si="0"/>
        <v>-12220000</v>
      </c>
      <c r="H14" s="1086" t="s">
        <v>772</v>
      </c>
      <c r="I14" s="1076"/>
      <c r="J14" s="1076"/>
      <c r="K14" s="1076"/>
      <c r="L14" s="1076"/>
      <c r="M14" s="1076"/>
      <c r="N14" s="1076"/>
      <c r="O14" s="1076"/>
      <c r="P14" s="1076"/>
      <c r="Q14" s="1077"/>
      <c r="R14" s="454"/>
      <c r="S14" s="455"/>
      <c r="T14" s="455"/>
      <c r="U14" s="454"/>
      <c r="V14" s="454"/>
    </row>
    <row r="15" spans="1:23" s="1" customFormat="1" ht="21" hidden="1" customHeight="1">
      <c r="A15" s="206"/>
      <c r="B15" s="209"/>
      <c r="C15" s="252"/>
      <c r="D15" s="86" t="s">
        <v>31</v>
      </c>
      <c r="E15" s="244">
        <v>0</v>
      </c>
      <c r="F15" s="244">
        <f>'인건비총계표(후원금)'!M49</f>
        <v>0</v>
      </c>
      <c r="G15" s="52">
        <f t="shared" si="0"/>
        <v>0</v>
      </c>
      <c r="H15" s="1084"/>
      <c r="I15" s="1084"/>
      <c r="J15" s="1084"/>
      <c r="K15" s="1084"/>
      <c r="L15" s="1084"/>
      <c r="M15" s="1084"/>
      <c r="N15" s="1084"/>
      <c r="O15" s="1084"/>
      <c r="P15" s="1084"/>
      <c r="Q15" s="1085"/>
      <c r="R15" s="454"/>
      <c r="S15" s="455"/>
      <c r="T15" s="455"/>
      <c r="U15" s="454"/>
      <c r="V15" s="454"/>
    </row>
    <row r="16" spans="1:23" s="1" customFormat="1" ht="15.75" hidden="1" customHeight="1">
      <c r="A16" s="206"/>
      <c r="B16" s="209"/>
      <c r="C16" s="252"/>
      <c r="D16" s="87" t="s">
        <v>315</v>
      </c>
      <c r="E16" s="244">
        <v>0</v>
      </c>
      <c r="F16" s="244">
        <v>0</v>
      </c>
      <c r="G16" s="52">
        <f t="shared" si="0"/>
        <v>0</v>
      </c>
      <c r="H16" s="1060"/>
      <c r="I16" s="1061"/>
      <c r="J16" s="1061"/>
      <c r="K16" s="1061"/>
      <c r="L16" s="1061"/>
      <c r="M16" s="1061"/>
      <c r="N16" s="1061"/>
      <c r="O16" s="1061"/>
      <c r="P16" s="1061"/>
      <c r="Q16" s="1062"/>
      <c r="R16" s="454"/>
      <c r="S16" s="455"/>
      <c r="T16" s="455"/>
      <c r="U16" s="454"/>
      <c r="V16" s="454"/>
    </row>
    <row r="17" spans="1:22" s="1" customFormat="1" ht="15.75" hidden="1" customHeight="1">
      <c r="A17" s="206"/>
      <c r="B17" s="209"/>
      <c r="C17" s="252"/>
      <c r="D17" s="87" t="s">
        <v>316</v>
      </c>
      <c r="E17" s="244">
        <v>0</v>
      </c>
      <c r="F17" s="244">
        <f>'인건비총계표(후원금)'!N49</f>
        <v>0</v>
      </c>
      <c r="G17" s="52">
        <f t="shared" si="0"/>
        <v>0</v>
      </c>
      <c r="H17" s="1060"/>
      <c r="I17" s="1061"/>
      <c r="J17" s="1061"/>
      <c r="K17" s="1061"/>
      <c r="L17" s="1061"/>
      <c r="M17" s="1061"/>
      <c r="N17" s="1061"/>
      <c r="O17" s="1061"/>
      <c r="P17" s="1061"/>
      <c r="Q17" s="1062"/>
      <c r="R17" s="454"/>
      <c r="S17" s="455"/>
      <c r="T17" s="455"/>
      <c r="U17" s="454"/>
      <c r="V17" s="454"/>
    </row>
    <row r="18" spans="1:22" s="1" customFormat="1" ht="15.75" hidden="1" customHeight="1">
      <c r="A18" s="206"/>
      <c r="B18" s="209"/>
      <c r="C18" s="252"/>
      <c r="D18" s="49" t="s">
        <v>317</v>
      </c>
      <c r="E18" s="244">
        <v>0</v>
      </c>
      <c r="F18" s="244">
        <v>0</v>
      </c>
      <c r="G18" s="52">
        <f t="shared" si="0"/>
        <v>0</v>
      </c>
      <c r="H18" s="1075"/>
      <c r="I18" s="1076"/>
      <c r="J18" s="1076"/>
      <c r="K18" s="1076"/>
      <c r="L18" s="1076"/>
      <c r="M18" s="1076"/>
      <c r="N18" s="1076"/>
      <c r="O18" s="1076"/>
      <c r="P18" s="1076"/>
      <c r="Q18" s="1077"/>
      <c r="R18" s="454"/>
      <c r="S18" s="455"/>
      <c r="T18" s="455"/>
      <c r="U18" s="454"/>
      <c r="V18" s="454"/>
    </row>
    <row r="19" spans="1:22" s="1" customFormat="1" ht="15.75" hidden="1" customHeight="1">
      <c r="A19" s="206"/>
      <c r="B19" s="209"/>
      <c r="C19" s="252"/>
      <c r="D19" s="57" t="s">
        <v>43</v>
      </c>
      <c r="E19" s="244">
        <v>0</v>
      </c>
      <c r="F19" s="244">
        <f>'인건비총계표(후원금)'!P49</f>
        <v>0</v>
      </c>
      <c r="G19" s="52">
        <f t="shared" si="0"/>
        <v>0</v>
      </c>
      <c r="H19" s="1084"/>
      <c r="I19" s="1084"/>
      <c r="J19" s="1084"/>
      <c r="K19" s="1084"/>
      <c r="L19" s="1084"/>
      <c r="M19" s="1084"/>
      <c r="N19" s="1084"/>
      <c r="O19" s="1084"/>
      <c r="P19" s="1084"/>
      <c r="Q19" s="1085"/>
      <c r="R19" s="454"/>
      <c r="S19" s="455"/>
      <c r="T19" s="455"/>
      <c r="U19" s="454"/>
      <c r="V19" s="454"/>
    </row>
    <row r="20" spans="1:22" s="1" customFormat="1" ht="15.75" hidden="1" customHeight="1">
      <c r="A20" s="206"/>
      <c r="B20" s="209"/>
      <c r="C20" s="252"/>
      <c r="D20" s="86" t="s">
        <v>9</v>
      </c>
      <c r="E20" s="244">
        <v>0</v>
      </c>
      <c r="F20" s="244">
        <f>'인건비총계표(후원금)'!O49</f>
        <v>0</v>
      </c>
      <c r="G20" s="52">
        <f t="shared" si="0"/>
        <v>0</v>
      </c>
      <c r="H20" s="1084"/>
      <c r="I20" s="1084"/>
      <c r="J20" s="1084"/>
      <c r="K20" s="1084"/>
      <c r="L20" s="1084"/>
      <c r="M20" s="1084"/>
      <c r="N20" s="1084"/>
      <c r="O20" s="1084"/>
      <c r="P20" s="1084"/>
      <c r="Q20" s="1085"/>
      <c r="R20" s="454"/>
      <c r="S20" s="455"/>
      <c r="T20" s="455"/>
      <c r="U20" s="454"/>
      <c r="V20" s="454"/>
    </row>
    <row r="21" spans="1:22" s="1" customFormat="1" ht="15.75" hidden="1" customHeight="1">
      <c r="A21" s="206"/>
      <c r="B21" s="209"/>
      <c r="C21" s="252"/>
      <c r="D21" s="86" t="s">
        <v>16</v>
      </c>
      <c r="E21" s="244">
        <v>0</v>
      </c>
      <c r="F21" s="244">
        <f>'인건비총계표(후원금)'!R49</f>
        <v>0</v>
      </c>
      <c r="G21" s="52">
        <f t="shared" si="0"/>
        <v>0</v>
      </c>
      <c r="H21" s="1084"/>
      <c r="I21" s="1084"/>
      <c r="J21" s="1084"/>
      <c r="K21" s="1084"/>
      <c r="L21" s="1084"/>
      <c r="M21" s="1084"/>
      <c r="N21" s="1084"/>
      <c r="O21" s="1084"/>
      <c r="P21" s="1084"/>
      <c r="Q21" s="1085"/>
      <c r="R21" s="454"/>
      <c r="S21" s="455"/>
      <c r="T21" s="455"/>
      <c r="U21" s="454"/>
      <c r="V21" s="454"/>
    </row>
    <row r="22" spans="1:22" s="1" customFormat="1" ht="15.75" hidden="1" customHeight="1">
      <c r="A22" s="206"/>
      <c r="B22" s="209"/>
      <c r="C22" s="254"/>
      <c r="D22" s="56" t="s">
        <v>360</v>
      </c>
      <c r="E22" s="244">
        <v>0</v>
      </c>
      <c r="F22" s="244">
        <v>0</v>
      </c>
      <c r="G22" s="52">
        <f t="shared" si="0"/>
        <v>0</v>
      </c>
      <c r="H22" s="1084"/>
      <c r="I22" s="1084"/>
      <c r="J22" s="1084"/>
      <c r="K22" s="1084"/>
      <c r="L22" s="1084"/>
      <c r="M22" s="1084"/>
      <c r="N22" s="1084"/>
      <c r="O22" s="1084"/>
      <c r="P22" s="1084"/>
      <c r="Q22" s="1085"/>
      <c r="R22" s="454"/>
      <c r="S22" s="455"/>
      <c r="T22" s="455"/>
      <c r="U22" s="454"/>
      <c r="V22" s="454"/>
    </row>
    <row r="23" spans="1:22" s="1" customFormat="1" ht="21" hidden="1" customHeight="1">
      <c r="A23" s="206"/>
      <c r="B23" s="209"/>
      <c r="C23" s="252"/>
      <c r="D23" s="56" t="s">
        <v>320</v>
      </c>
      <c r="E23" s="244">
        <v>0</v>
      </c>
      <c r="F23" s="244">
        <f>'인건비총계표(후원금)'!S49</f>
        <v>0</v>
      </c>
      <c r="G23" s="52">
        <f t="shared" si="0"/>
        <v>0</v>
      </c>
      <c r="H23" s="1060"/>
      <c r="I23" s="1061"/>
      <c r="J23" s="1061"/>
      <c r="K23" s="1061"/>
      <c r="L23" s="1061"/>
      <c r="M23" s="1061"/>
      <c r="N23" s="1061"/>
      <c r="O23" s="1061"/>
      <c r="P23" s="1061"/>
      <c r="Q23" s="1062"/>
      <c r="R23" s="454"/>
      <c r="S23" s="455"/>
      <c r="T23" s="455"/>
      <c r="U23" s="454"/>
      <c r="V23" s="454"/>
    </row>
    <row r="24" spans="1:22" s="1" customFormat="1" ht="15.75" hidden="1" customHeight="1">
      <c r="A24" s="206"/>
      <c r="B24" s="209"/>
      <c r="C24" s="252"/>
      <c r="D24" s="57" t="s">
        <v>383</v>
      </c>
      <c r="E24" s="244">
        <v>0</v>
      </c>
      <c r="F24" s="244">
        <v>0</v>
      </c>
      <c r="G24" s="52">
        <f t="shared" si="0"/>
        <v>0</v>
      </c>
      <c r="H24" s="1075"/>
      <c r="I24" s="1076"/>
      <c r="J24" s="1076"/>
      <c r="K24" s="1076"/>
      <c r="L24" s="1076"/>
      <c r="M24" s="1076"/>
      <c r="N24" s="1076"/>
      <c r="O24" s="1076"/>
      <c r="P24" s="1076"/>
      <c r="Q24" s="1077"/>
      <c r="R24" s="454"/>
      <c r="S24" s="455"/>
      <c r="T24" s="455"/>
      <c r="U24" s="454"/>
      <c r="V24" s="454"/>
    </row>
    <row r="25" spans="1:22" s="1" customFormat="1" ht="15.75" hidden="1" customHeight="1">
      <c r="A25" s="206"/>
      <c r="B25" s="209"/>
      <c r="C25" s="234"/>
      <c r="D25" s="57" t="s">
        <v>410</v>
      </c>
      <c r="E25" s="244"/>
      <c r="F25" s="244"/>
      <c r="G25" s="52">
        <f>F25-E25</f>
        <v>0</v>
      </c>
      <c r="H25" s="1060"/>
      <c r="I25" s="1061"/>
      <c r="J25" s="1061"/>
      <c r="K25" s="1061"/>
      <c r="L25" s="1061"/>
      <c r="M25" s="1061"/>
      <c r="N25" s="1061"/>
      <c r="O25" s="1061"/>
      <c r="P25" s="1061"/>
      <c r="Q25" s="1062"/>
      <c r="R25" s="454"/>
      <c r="S25" s="455"/>
      <c r="T25" s="455"/>
      <c r="U25" s="454"/>
      <c r="V25" s="454"/>
    </row>
    <row r="26" spans="1:22" s="1" customFormat="1" ht="22.5" customHeight="1">
      <c r="A26" s="206"/>
      <c r="B26" s="209"/>
      <c r="C26" s="56" t="s">
        <v>361</v>
      </c>
      <c r="D26" s="56"/>
      <c r="E26" s="244">
        <v>1100000</v>
      </c>
      <c r="F26" s="244">
        <f>'인건비총계표(후원금)'!U5+'인건비총계표(후원금)'!V49</f>
        <v>81660</v>
      </c>
      <c r="G26" s="52">
        <f t="shared" si="0"/>
        <v>-1018340</v>
      </c>
      <c r="H26" s="1084"/>
      <c r="I26" s="1084"/>
      <c r="J26" s="1084"/>
      <c r="K26" s="1084"/>
      <c r="L26" s="1084"/>
      <c r="M26" s="1084"/>
      <c r="N26" s="1084"/>
      <c r="O26" s="1084"/>
      <c r="P26" s="1084"/>
      <c r="Q26" s="1085"/>
      <c r="R26" s="454"/>
      <c r="S26" s="455">
        <f>F26</f>
        <v>81660</v>
      </c>
      <c r="T26" s="455"/>
      <c r="U26" s="454"/>
      <c r="V26" s="454"/>
    </row>
    <row r="27" spans="1:22" s="1" customFormat="1" ht="22.5" hidden="1" customHeight="1">
      <c r="A27" s="206"/>
      <c r="B27" s="209"/>
      <c r="C27" s="85" t="s">
        <v>362</v>
      </c>
      <c r="D27" s="86" t="s">
        <v>7</v>
      </c>
      <c r="E27" s="244">
        <v>0</v>
      </c>
      <c r="F27" s="244">
        <f>SUM(F28:F31)</f>
        <v>0</v>
      </c>
      <c r="G27" s="52">
        <f>SUM(G28:G31)</f>
        <v>0</v>
      </c>
      <c r="H27" s="1060"/>
      <c r="I27" s="1061"/>
      <c r="J27" s="1061"/>
      <c r="K27" s="1061"/>
      <c r="L27" s="1061"/>
      <c r="M27" s="1061"/>
      <c r="N27" s="1061"/>
      <c r="O27" s="1061"/>
      <c r="P27" s="1061"/>
      <c r="Q27" s="1062"/>
      <c r="R27" s="454"/>
      <c r="S27" s="455">
        <f>F27</f>
        <v>0</v>
      </c>
      <c r="T27" s="455"/>
      <c r="U27" s="454"/>
      <c r="V27" s="454"/>
    </row>
    <row r="28" spans="1:22" s="1" customFormat="1" ht="22.5" hidden="1" customHeight="1">
      <c r="A28" s="206"/>
      <c r="B28" s="209"/>
      <c r="C28" s="253"/>
      <c r="D28" s="253" t="s">
        <v>319</v>
      </c>
      <c r="E28" s="272">
        <v>0</v>
      </c>
      <c r="F28" s="272">
        <v>0</v>
      </c>
      <c r="G28" s="594">
        <f>F28-E28</f>
        <v>0</v>
      </c>
      <c r="H28" s="1060"/>
      <c r="I28" s="1061"/>
      <c r="J28" s="1061"/>
      <c r="K28" s="1061"/>
      <c r="L28" s="1061"/>
      <c r="M28" s="1061"/>
      <c r="N28" s="1061"/>
      <c r="O28" s="1061"/>
      <c r="P28" s="1061"/>
      <c r="Q28" s="1062"/>
      <c r="R28" s="454"/>
      <c r="S28" s="455"/>
      <c r="T28" s="455"/>
      <c r="U28" s="454"/>
      <c r="V28" s="454"/>
    </row>
    <row r="29" spans="1:22" s="1" customFormat="1" ht="22.5" hidden="1" customHeight="1">
      <c r="A29" s="206"/>
      <c r="B29" s="209"/>
      <c r="C29" s="254"/>
      <c r="D29" s="56" t="s">
        <v>5</v>
      </c>
      <c r="E29" s="244">
        <v>0</v>
      </c>
      <c r="F29" s="244">
        <f>'인건비총계표(후원금)'!W49</f>
        <v>0</v>
      </c>
      <c r="G29" s="52">
        <f>F29-E29</f>
        <v>0</v>
      </c>
      <c r="H29" s="1084"/>
      <c r="I29" s="1084"/>
      <c r="J29" s="1084"/>
      <c r="K29" s="1084"/>
      <c r="L29" s="1084"/>
      <c r="M29" s="1084"/>
      <c r="N29" s="1084"/>
      <c r="O29" s="1084"/>
      <c r="P29" s="1084"/>
      <c r="Q29" s="1085"/>
      <c r="R29" s="454"/>
      <c r="S29" s="455"/>
      <c r="T29" s="455"/>
      <c r="U29" s="454"/>
      <c r="V29" s="454"/>
    </row>
    <row r="30" spans="1:22" s="1" customFormat="1" ht="22.5" hidden="1" customHeight="1">
      <c r="A30" s="206"/>
      <c r="B30" s="209"/>
      <c r="C30" s="254"/>
      <c r="D30" s="56" t="s">
        <v>6</v>
      </c>
      <c r="E30" s="244">
        <v>0</v>
      </c>
      <c r="F30" s="244">
        <f>'인건비총계표(후원금)'!Y5+'인건비총계표(후원금)'!Z49</f>
        <v>0</v>
      </c>
      <c r="G30" s="52">
        <f>F30-E30</f>
        <v>0</v>
      </c>
      <c r="H30" s="1084"/>
      <c r="I30" s="1084"/>
      <c r="J30" s="1084"/>
      <c r="K30" s="1084"/>
      <c r="L30" s="1084"/>
      <c r="M30" s="1084"/>
      <c r="N30" s="1084"/>
      <c r="O30" s="1084"/>
      <c r="P30" s="1084"/>
      <c r="Q30" s="1085"/>
      <c r="R30" s="454"/>
      <c r="S30" s="455"/>
      <c r="T30" s="455"/>
      <c r="U30" s="454"/>
      <c r="V30" s="454"/>
    </row>
    <row r="31" spans="1:22" s="1" customFormat="1" ht="22.5" hidden="1" customHeight="1">
      <c r="A31" s="206"/>
      <c r="B31" s="209"/>
      <c r="C31" s="242"/>
      <c r="D31" s="87" t="s">
        <v>40</v>
      </c>
      <c r="E31" s="244">
        <v>0</v>
      </c>
      <c r="F31" s="244">
        <v>0</v>
      </c>
      <c r="G31" s="52">
        <f>F31-E31</f>
        <v>0</v>
      </c>
      <c r="H31" s="1092"/>
      <c r="I31" s="1084"/>
      <c r="J31" s="1084"/>
      <c r="K31" s="1084"/>
      <c r="L31" s="1084"/>
      <c r="M31" s="1084"/>
      <c r="N31" s="1084"/>
      <c r="O31" s="1084"/>
      <c r="P31" s="1084"/>
      <c r="Q31" s="1085"/>
      <c r="R31" s="454"/>
      <c r="S31" s="455"/>
      <c r="T31" s="455"/>
      <c r="U31" s="454"/>
      <c r="V31" s="454"/>
    </row>
    <row r="32" spans="1:22" s="1" customFormat="1" ht="22.5" customHeight="1">
      <c r="A32" s="206"/>
      <c r="B32" s="214"/>
      <c r="C32" s="83" t="s">
        <v>363</v>
      </c>
      <c r="D32" s="83"/>
      <c r="E32" s="244">
        <v>25000000</v>
      </c>
      <c r="F32" s="244">
        <v>25000000</v>
      </c>
      <c r="G32" s="52">
        <f>F32-E32</f>
        <v>0</v>
      </c>
      <c r="H32" s="1084" t="s">
        <v>474</v>
      </c>
      <c r="I32" s="1084"/>
      <c r="J32" s="1084"/>
      <c r="K32" s="1084"/>
      <c r="L32" s="1084"/>
      <c r="M32" s="1084"/>
      <c r="N32" s="1084"/>
      <c r="O32" s="1084"/>
      <c r="P32" s="1084"/>
      <c r="Q32" s="1085"/>
      <c r="R32" s="454"/>
      <c r="S32" s="455">
        <f>F32</f>
        <v>25000000</v>
      </c>
      <c r="T32" s="455"/>
      <c r="U32" s="454"/>
      <c r="V32" s="454"/>
    </row>
    <row r="33" spans="1:22" s="1" customFormat="1" ht="22.5" customHeight="1">
      <c r="A33" s="206"/>
      <c r="B33" s="49" t="s">
        <v>57</v>
      </c>
      <c r="C33" s="83" t="s">
        <v>7</v>
      </c>
      <c r="D33" s="83"/>
      <c r="E33" s="280">
        <v>27000000</v>
      </c>
      <c r="F33" s="280">
        <f>SUM(F34:F37)</f>
        <v>25000000</v>
      </c>
      <c r="G33" s="50">
        <f>SUM(G34:G37)</f>
        <v>-2000000</v>
      </c>
      <c r="H33" s="1084"/>
      <c r="I33" s="1084"/>
      <c r="J33" s="1084"/>
      <c r="K33" s="1084"/>
      <c r="L33" s="1084"/>
      <c r="M33" s="1084"/>
      <c r="N33" s="1084"/>
      <c r="O33" s="1084"/>
      <c r="P33" s="1084"/>
      <c r="Q33" s="1085"/>
      <c r="R33" s="454"/>
      <c r="S33" s="455"/>
      <c r="T33" s="455">
        <f>F33</f>
        <v>25000000</v>
      </c>
      <c r="U33" s="454"/>
      <c r="V33" s="454"/>
    </row>
    <row r="34" spans="1:22" s="1" customFormat="1" ht="15.75" hidden="1" customHeight="1">
      <c r="A34" s="206"/>
      <c r="B34" s="208"/>
      <c r="C34" s="83" t="s">
        <v>280</v>
      </c>
      <c r="D34" s="83"/>
      <c r="E34" s="244">
        <v>0</v>
      </c>
      <c r="F34" s="244">
        <v>0</v>
      </c>
      <c r="G34" s="52">
        <f>F34-E34</f>
        <v>0</v>
      </c>
      <c r="H34" s="1084"/>
      <c r="I34" s="1084"/>
      <c r="J34" s="1084"/>
      <c r="K34" s="1084"/>
      <c r="L34" s="1084"/>
      <c r="M34" s="1084"/>
      <c r="N34" s="1084"/>
      <c r="O34" s="1084"/>
      <c r="P34" s="1084"/>
      <c r="Q34" s="1085"/>
      <c r="R34" s="454"/>
      <c r="S34" s="455"/>
      <c r="T34" s="455"/>
      <c r="U34" s="454"/>
      <c r="V34" s="454"/>
    </row>
    <row r="35" spans="1:22" s="1" customFormat="1" ht="15.75" hidden="1" customHeight="1">
      <c r="A35" s="206"/>
      <c r="B35" s="209"/>
      <c r="C35" s="83" t="s">
        <v>16</v>
      </c>
      <c r="D35" s="83"/>
      <c r="E35" s="244">
        <v>0</v>
      </c>
      <c r="F35" s="244">
        <v>0</v>
      </c>
      <c r="G35" s="52">
        <f>F35-E35</f>
        <v>0</v>
      </c>
      <c r="H35" s="1084"/>
      <c r="I35" s="1084"/>
      <c r="J35" s="1084"/>
      <c r="K35" s="1084"/>
      <c r="L35" s="1084"/>
      <c r="M35" s="1084"/>
      <c r="N35" s="1084"/>
      <c r="O35" s="1084"/>
      <c r="P35" s="1084"/>
      <c r="Q35" s="1085"/>
      <c r="R35" s="454"/>
      <c r="S35" s="455"/>
      <c r="T35" s="455"/>
      <c r="U35" s="454"/>
      <c r="V35" s="454"/>
    </row>
    <row r="36" spans="1:22" s="1" customFormat="1" ht="24" customHeight="1">
      <c r="A36" s="206"/>
      <c r="B36" s="209"/>
      <c r="C36" s="83" t="s">
        <v>301</v>
      </c>
      <c r="D36" s="83"/>
      <c r="E36" s="244">
        <v>25000000</v>
      </c>
      <c r="F36" s="244">
        <v>25000000</v>
      </c>
      <c r="G36" s="52">
        <f>F36-E36</f>
        <v>0</v>
      </c>
      <c r="H36" s="1084" t="s">
        <v>465</v>
      </c>
      <c r="I36" s="1084"/>
      <c r="J36" s="1084"/>
      <c r="K36" s="1084"/>
      <c r="L36" s="1084"/>
      <c r="M36" s="1084"/>
      <c r="N36" s="1084"/>
      <c r="O36" s="1084"/>
      <c r="P36" s="1084"/>
      <c r="Q36" s="1085"/>
      <c r="R36" s="454"/>
      <c r="S36" s="455"/>
      <c r="T36" s="455"/>
      <c r="U36" s="454"/>
      <c r="V36" s="454"/>
    </row>
    <row r="37" spans="1:22" s="1" customFormat="1" ht="24" customHeight="1">
      <c r="A37" s="206"/>
      <c r="B37" s="214"/>
      <c r="C37" s="83" t="s">
        <v>281</v>
      </c>
      <c r="D37" s="83"/>
      <c r="E37" s="244">
        <v>2000000</v>
      </c>
      <c r="F37" s="244">
        <v>0</v>
      </c>
      <c r="G37" s="52">
        <f>F37-E37</f>
        <v>-2000000</v>
      </c>
      <c r="H37" s="1084"/>
      <c r="I37" s="1084"/>
      <c r="J37" s="1084"/>
      <c r="K37" s="1084"/>
      <c r="L37" s="1084"/>
      <c r="M37" s="1084"/>
      <c r="N37" s="1084"/>
      <c r="O37" s="1084"/>
      <c r="P37" s="1084"/>
      <c r="Q37" s="1085"/>
      <c r="R37" s="454"/>
      <c r="S37" s="455"/>
      <c r="T37" s="455"/>
      <c r="U37" s="454"/>
      <c r="V37" s="454"/>
    </row>
    <row r="38" spans="1:22" s="1" customFormat="1" ht="24" customHeight="1">
      <c r="A38" s="206"/>
      <c r="B38" s="83" t="s">
        <v>17</v>
      </c>
      <c r="C38" s="83" t="s">
        <v>7</v>
      </c>
      <c r="D38" s="83"/>
      <c r="E38" s="244">
        <v>147990000</v>
      </c>
      <c r="F38" s="244">
        <f>SUM(F39:F44)</f>
        <v>145828340</v>
      </c>
      <c r="G38" s="52">
        <f>SUM(G39:G44)</f>
        <v>-2161660</v>
      </c>
      <c r="H38" s="1084"/>
      <c r="I38" s="1084"/>
      <c r="J38" s="1084"/>
      <c r="K38" s="1084"/>
      <c r="L38" s="1084"/>
      <c r="M38" s="1084"/>
      <c r="N38" s="1084"/>
      <c r="O38" s="1084"/>
      <c r="P38" s="1084"/>
      <c r="Q38" s="1085"/>
      <c r="R38" s="454"/>
      <c r="S38" s="455"/>
      <c r="T38" s="455"/>
      <c r="U38" s="454"/>
      <c r="V38" s="454"/>
    </row>
    <row r="39" spans="1:22" s="1" customFormat="1" ht="24" customHeight="1">
      <c r="A39" s="206"/>
      <c r="B39" s="213"/>
      <c r="C39" s="83" t="s">
        <v>18</v>
      </c>
      <c r="D39" s="83"/>
      <c r="E39" s="244">
        <v>10000000</v>
      </c>
      <c r="F39" s="244">
        <v>10000000</v>
      </c>
      <c r="G39" s="52">
        <f t="shared" ref="G39:G44" si="1">F39-E39</f>
        <v>0</v>
      </c>
      <c r="H39" s="1084" t="s">
        <v>384</v>
      </c>
      <c r="I39" s="1084"/>
      <c r="J39" s="1084"/>
      <c r="K39" s="1084"/>
      <c r="L39" s="1084"/>
      <c r="M39" s="1084"/>
      <c r="N39" s="1084"/>
      <c r="O39" s="1084"/>
      <c r="P39" s="1084"/>
      <c r="Q39" s="1085"/>
      <c r="R39" s="454"/>
      <c r="S39" s="455"/>
      <c r="T39" s="455">
        <f>F39</f>
        <v>10000000</v>
      </c>
      <c r="U39" s="454"/>
      <c r="V39" s="454"/>
    </row>
    <row r="40" spans="1:22" s="1" customFormat="1" ht="24" customHeight="1">
      <c r="A40" s="206"/>
      <c r="B40" s="209"/>
      <c r="C40" s="87" t="s">
        <v>364</v>
      </c>
      <c r="D40" s="87"/>
      <c r="E40" s="244">
        <v>23590000</v>
      </c>
      <c r="F40" s="244">
        <v>25828340</v>
      </c>
      <c r="G40" s="52">
        <f t="shared" si="1"/>
        <v>2238340</v>
      </c>
      <c r="H40" s="1084" t="s">
        <v>743</v>
      </c>
      <c r="I40" s="1084"/>
      <c r="J40" s="1084"/>
      <c r="K40" s="1084"/>
      <c r="L40" s="1084"/>
      <c r="M40" s="1084"/>
      <c r="N40" s="1084"/>
      <c r="O40" s="1084"/>
      <c r="P40" s="1084"/>
      <c r="Q40" s="1085"/>
      <c r="R40" s="454"/>
      <c r="S40" s="455"/>
      <c r="T40" s="455">
        <f>F40</f>
        <v>25828340</v>
      </c>
      <c r="U40" s="454"/>
      <c r="V40" s="454"/>
    </row>
    <row r="41" spans="1:22" s="1" customFormat="1" ht="24" customHeight="1">
      <c r="A41" s="206"/>
      <c r="B41" s="209"/>
      <c r="C41" s="86" t="s">
        <v>19</v>
      </c>
      <c r="D41" s="86"/>
      <c r="E41" s="244">
        <v>50000000</v>
      </c>
      <c r="F41" s="244">
        <v>50000000</v>
      </c>
      <c r="G41" s="52">
        <f t="shared" si="1"/>
        <v>0</v>
      </c>
      <c r="H41" s="1084" t="s">
        <v>744</v>
      </c>
      <c r="I41" s="1084"/>
      <c r="J41" s="1084"/>
      <c r="K41" s="1084"/>
      <c r="L41" s="1084"/>
      <c r="M41" s="1084"/>
      <c r="N41" s="1084"/>
      <c r="O41" s="1084"/>
      <c r="P41" s="1084"/>
      <c r="Q41" s="1085"/>
      <c r="R41" s="454"/>
      <c r="S41" s="455">
        <f>F41</f>
        <v>50000000</v>
      </c>
      <c r="T41" s="455"/>
      <c r="U41" s="454"/>
      <c r="V41" s="454"/>
    </row>
    <row r="42" spans="1:22" s="1" customFormat="1" ht="24" customHeight="1">
      <c r="A42" s="206"/>
      <c r="B42" s="209"/>
      <c r="C42" s="86" t="s">
        <v>20</v>
      </c>
      <c r="D42" s="86"/>
      <c r="E42" s="244">
        <v>10000000</v>
      </c>
      <c r="F42" s="244">
        <v>10000000</v>
      </c>
      <c r="G42" s="52">
        <f t="shared" si="1"/>
        <v>0</v>
      </c>
      <c r="H42" s="1084" t="s">
        <v>421</v>
      </c>
      <c r="I42" s="1084"/>
      <c r="J42" s="1084"/>
      <c r="K42" s="1084"/>
      <c r="L42" s="1084"/>
      <c r="M42" s="1084"/>
      <c r="N42" s="1084"/>
      <c r="O42" s="1084"/>
      <c r="P42" s="1084"/>
      <c r="Q42" s="1085"/>
      <c r="R42" s="454"/>
      <c r="S42" s="455"/>
      <c r="T42" s="455">
        <f>F42</f>
        <v>10000000</v>
      </c>
      <c r="U42" s="454"/>
      <c r="V42" s="454"/>
    </row>
    <row r="43" spans="1:22" s="1" customFormat="1" ht="24" customHeight="1">
      <c r="A43" s="206"/>
      <c r="B43" s="209"/>
      <c r="C43" s="86" t="s">
        <v>21</v>
      </c>
      <c r="D43" s="86"/>
      <c r="E43" s="244">
        <v>44400000</v>
      </c>
      <c r="F43" s="244">
        <v>40000000</v>
      </c>
      <c r="G43" s="52">
        <f t="shared" si="1"/>
        <v>-4400000</v>
      </c>
      <c r="H43" s="1084" t="s">
        <v>481</v>
      </c>
      <c r="I43" s="1084"/>
      <c r="J43" s="1084"/>
      <c r="K43" s="1084"/>
      <c r="L43" s="1084"/>
      <c r="M43" s="1084"/>
      <c r="N43" s="1084"/>
      <c r="O43" s="1084"/>
      <c r="P43" s="1084"/>
      <c r="Q43" s="1085"/>
      <c r="R43" s="454"/>
      <c r="S43" s="455">
        <f>F43</f>
        <v>40000000</v>
      </c>
      <c r="T43" s="455"/>
      <c r="U43" s="454"/>
      <c r="V43" s="454"/>
    </row>
    <row r="44" spans="1:22" s="1" customFormat="1" ht="24" customHeight="1">
      <c r="A44" s="212"/>
      <c r="B44" s="214"/>
      <c r="C44" s="86" t="s">
        <v>282</v>
      </c>
      <c r="D44" s="86"/>
      <c r="E44" s="244">
        <v>10000000</v>
      </c>
      <c r="F44" s="244">
        <v>10000000</v>
      </c>
      <c r="G44" s="52">
        <f t="shared" si="1"/>
        <v>0</v>
      </c>
      <c r="H44" s="1075" t="s">
        <v>949</v>
      </c>
      <c r="I44" s="1076"/>
      <c r="J44" s="1076"/>
      <c r="K44" s="1076"/>
      <c r="L44" s="1076"/>
      <c r="M44" s="1076"/>
      <c r="N44" s="1076"/>
      <c r="O44" s="1076"/>
      <c r="P44" s="1076"/>
      <c r="Q44" s="1077"/>
      <c r="R44" s="454"/>
      <c r="S44" s="455"/>
      <c r="T44" s="455">
        <f>F44</f>
        <v>10000000</v>
      </c>
      <c r="U44" s="454"/>
      <c r="V44" s="454"/>
    </row>
    <row r="45" spans="1:22" s="1" customFormat="1" ht="24" customHeight="1">
      <c r="A45" s="48" t="s">
        <v>24</v>
      </c>
      <c r="B45" s="954" t="s">
        <v>30</v>
      </c>
      <c r="C45" s="955"/>
      <c r="D45" s="86"/>
      <c r="E45" s="244">
        <v>154500000</v>
      </c>
      <c r="F45" s="244">
        <f>F46</f>
        <v>185000000</v>
      </c>
      <c r="G45" s="52">
        <f>SUM(G47:G49)</f>
        <v>30500000</v>
      </c>
      <c r="H45" s="1084"/>
      <c r="I45" s="1084"/>
      <c r="J45" s="1084"/>
      <c r="K45" s="1084"/>
      <c r="L45" s="1084"/>
      <c r="M45" s="1084"/>
      <c r="N45" s="1084"/>
      <c r="O45" s="1084"/>
      <c r="P45" s="1084"/>
      <c r="Q45" s="1085"/>
      <c r="R45" s="454"/>
      <c r="S45" s="455"/>
      <c r="T45" s="455"/>
      <c r="U45" s="454"/>
      <c r="V45" s="454"/>
    </row>
    <row r="46" spans="1:22" s="1" customFormat="1" ht="24" customHeight="1">
      <c r="A46" s="201"/>
      <c r="B46" s="83" t="s">
        <v>23</v>
      </c>
      <c r="C46" s="86" t="s">
        <v>7</v>
      </c>
      <c r="D46" s="86"/>
      <c r="E46" s="244">
        <v>154500000</v>
      </c>
      <c r="F46" s="244">
        <f>SUM(F47:F49)</f>
        <v>185000000</v>
      </c>
      <c r="G46" s="52">
        <f>SUM(G47:G49)</f>
        <v>30500000</v>
      </c>
      <c r="H46" s="1060"/>
      <c r="I46" s="1061"/>
      <c r="J46" s="1061"/>
      <c r="K46" s="1061"/>
      <c r="L46" s="1061"/>
      <c r="M46" s="1061"/>
      <c r="N46" s="1061"/>
      <c r="O46" s="1061"/>
      <c r="P46" s="1061"/>
      <c r="Q46" s="1062"/>
      <c r="R46" s="454"/>
      <c r="S46" s="455"/>
      <c r="T46" s="455"/>
      <c r="U46" s="454"/>
      <c r="V46" s="454"/>
    </row>
    <row r="47" spans="1:22" s="1" customFormat="1" ht="24" customHeight="1">
      <c r="A47" s="206"/>
      <c r="B47" s="213"/>
      <c r="C47" s="86" t="s">
        <v>23</v>
      </c>
      <c r="D47" s="86"/>
      <c r="E47" s="244">
        <v>10000000</v>
      </c>
      <c r="F47" s="244">
        <v>5000000</v>
      </c>
      <c r="G47" s="52">
        <f>F47-E47</f>
        <v>-5000000</v>
      </c>
      <c r="H47" s="1084" t="s">
        <v>746</v>
      </c>
      <c r="I47" s="1084"/>
      <c r="J47" s="1084"/>
      <c r="K47" s="1084"/>
      <c r="L47" s="1084"/>
      <c r="M47" s="1084"/>
      <c r="N47" s="1084"/>
      <c r="O47" s="1084"/>
      <c r="P47" s="1084"/>
      <c r="Q47" s="1085"/>
      <c r="R47" s="454"/>
      <c r="S47" s="455"/>
      <c r="T47" s="455">
        <f>F47</f>
        <v>5000000</v>
      </c>
      <c r="U47" s="454"/>
      <c r="V47" s="454"/>
    </row>
    <row r="48" spans="1:22" s="1" customFormat="1" ht="24" customHeight="1">
      <c r="A48" s="206"/>
      <c r="B48" s="209"/>
      <c r="C48" s="86" t="s">
        <v>58</v>
      </c>
      <c r="D48" s="86"/>
      <c r="E48" s="244">
        <v>30000000</v>
      </c>
      <c r="F48" s="244">
        <v>20000000</v>
      </c>
      <c r="G48" s="52">
        <f>F48-E48</f>
        <v>-10000000</v>
      </c>
      <c r="H48" s="1084" t="s">
        <v>747</v>
      </c>
      <c r="I48" s="1084"/>
      <c r="J48" s="1084"/>
      <c r="K48" s="1084"/>
      <c r="L48" s="1084"/>
      <c r="M48" s="1084"/>
      <c r="N48" s="1084"/>
      <c r="O48" s="1084"/>
      <c r="P48" s="1084"/>
      <c r="Q48" s="1085"/>
      <c r="R48" s="454"/>
      <c r="S48" s="455"/>
      <c r="T48" s="455">
        <f>F48</f>
        <v>20000000</v>
      </c>
      <c r="U48" s="454"/>
      <c r="V48" s="454"/>
    </row>
    <row r="49" spans="1:22" s="1" customFormat="1" ht="24" customHeight="1">
      <c r="A49" s="215"/>
      <c r="B49" s="216"/>
      <c r="C49" s="107" t="s">
        <v>365</v>
      </c>
      <c r="D49" s="107"/>
      <c r="E49" s="247">
        <v>114500000</v>
      </c>
      <c r="F49" s="247">
        <v>160000000</v>
      </c>
      <c r="G49" s="89">
        <f>F49-E49</f>
        <v>45500000</v>
      </c>
      <c r="H49" s="1104" t="s">
        <v>381</v>
      </c>
      <c r="I49" s="1104"/>
      <c r="J49" s="1104"/>
      <c r="K49" s="1104"/>
      <c r="L49" s="1104"/>
      <c r="M49" s="1104"/>
      <c r="N49" s="1104"/>
      <c r="O49" s="1104"/>
      <c r="P49" s="1104"/>
      <c r="Q49" s="1105"/>
      <c r="R49" s="454"/>
      <c r="S49" s="455">
        <f>F49</f>
        <v>160000000</v>
      </c>
      <c r="T49" s="455"/>
      <c r="U49" s="454"/>
      <c r="V49" s="454"/>
    </row>
    <row r="50" spans="1:22" s="1" customFormat="1" ht="21" customHeight="1">
      <c r="A50" s="212" t="s">
        <v>25</v>
      </c>
      <c r="B50" s="1038" t="s">
        <v>30</v>
      </c>
      <c r="C50" s="1039"/>
      <c r="D50" s="227"/>
      <c r="E50" s="284">
        <v>125210000</v>
      </c>
      <c r="F50" s="284">
        <f>F51+F62+F73</f>
        <v>119710000</v>
      </c>
      <c r="G50" s="105">
        <f>F50-E50</f>
        <v>-5500000</v>
      </c>
      <c r="H50" s="1087"/>
      <c r="I50" s="1088"/>
      <c r="J50" s="1088"/>
      <c r="K50" s="1088"/>
      <c r="L50" s="1088"/>
      <c r="M50" s="1088"/>
      <c r="N50" s="1088"/>
      <c r="O50" s="1088"/>
      <c r="P50" s="1088"/>
      <c r="Q50" s="1089"/>
      <c r="R50" s="454"/>
      <c r="S50" s="455">
        <f>F50</f>
        <v>119710000</v>
      </c>
      <c r="T50" s="455"/>
      <c r="U50" s="454"/>
      <c r="V50" s="454"/>
    </row>
    <row r="51" spans="1:22" s="1" customFormat="1" ht="21" customHeight="1">
      <c r="A51" s="205"/>
      <c r="B51" s="214" t="s">
        <v>17</v>
      </c>
      <c r="C51" s="214" t="s">
        <v>7</v>
      </c>
      <c r="D51" s="102"/>
      <c r="E51" s="279">
        <v>53000000</v>
      </c>
      <c r="F51" s="279">
        <f>SUM(F52:F61)</f>
        <v>47500000</v>
      </c>
      <c r="G51" s="108">
        <f>SUM(G52:G61)</f>
        <v>-5500000</v>
      </c>
      <c r="H51" s="1090"/>
      <c r="I51" s="1090"/>
      <c r="J51" s="1090"/>
      <c r="K51" s="1090"/>
      <c r="L51" s="1090"/>
      <c r="M51" s="1090"/>
      <c r="N51" s="1090"/>
      <c r="O51" s="1090"/>
      <c r="P51" s="1090"/>
      <c r="Q51" s="1091"/>
      <c r="R51" s="454"/>
      <c r="S51" s="455"/>
      <c r="T51" s="455"/>
      <c r="U51" s="454"/>
      <c r="V51" s="454"/>
    </row>
    <row r="52" spans="1:22" s="1" customFormat="1" ht="21" customHeight="1">
      <c r="A52" s="203"/>
      <c r="B52" s="208"/>
      <c r="C52" s="627" t="s">
        <v>238</v>
      </c>
      <c r="D52" s="49"/>
      <c r="E52" s="244">
        <v>35000000</v>
      </c>
      <c r="F52" s="244">
        <v>35000000</v>
      </c>
      <c r="G52" s="52">
        <f t="shared" ref="G52:G61" si="2">F52-E52</f>
        <v>0</v>
      </c>
      <c r="H52" s="1084"/>
      <c r="I52" s="1084"/>
      <c r="J52" s="1084"/>
      <c r="K52" s="1084"/>
      <c r="L52" s="1084"/>
      <c r="M52" s="1084"/>
      <c r="N52" s="1084"/>
      <c r="O52" s="1084"/>
      <c r="P52" s="1084"/>
      <c r="Q52" s="1085"/>
      <c r="R52" s="454"/>
      <c r="S52" s="455"/>
      <c r="T52" s="455"/>
      <c r="U52" s="454"/>
      <c r="V52" s="454"/>
    </row>
    <row r="53" spans="1:22" s="1" customFormat="1" ht="22.5" customHeight="1">
      <c r="A53" s="203"/>
      <c r="B53" s="209"/>
      <c r="C53" s="83" t="s">
        <v>366</v>
      </c>
      <c r="D53" s="49"/>
      <c r="E53" s="244">
        <v>15000000</v>
      </c>
      <c r="F53" s="244">
        <v>10000000</v>
      </c>
      <c r="G53" s="649">
        <f t="shared" si="2"/>
        <v>-5000000</v>
      </c>
      <c r="H53" s="1084"/>
      <c r="I53" s="1084"/>
      <c r="J53" s="1084"/>
      <c r="K53" s="1084"/>
      <c r="L53" s="1084"/>
      <c r="M53" s="1084"/>
      <c r="N53" s="1084"/>
      <c r="O53" s="1084"/>
      <c r="P53" s="1084"/>
      <c r="Q53" s="1085"/>
      <c r="R53" s="454"/>
      <c r="S53" s="455"/>
      <c r="T53" s="455"/>
      <c r="U53" s="454"/>
      <c r="V53" s="454"/>
    </row>
    <row r="54" spans="1:22" s="1" customFormat="1" ht="19.5" customHeight="1">
      <c r="A54" s="203"/>
      <c r="B54" s="209"/>
      <c r="C54" s="83" t="s">
        <v>193</v>
      </c>
      <c r="D54" s="49"/>
      <c r="E54" s="244">
        <v>1000000</v>
      </c>
      <c r="F54" s="244">
        <v>1000000</v>
      </c>
      <c r="G54" s="52">
        <f t="shared" si="2"/>
        <v>0</v>
      </c>
      <c r="H54" s="1084"/>
      <c r="I54" s="1084"/>
      <c r="J54" s="1084"/>
      <c r="K54" s="1084"/>
      <c r="L54" s="1084"/>
      <c r="M54" s="1084"/>
      <c r="N54" s="1084"/>
      <c r="O54" s="1084"/>
      <c r="P54" s="1084"/>
      <c r="Q54" s="1085"/>
      <c r="R54" s="454"/>
      <c r="S54" s="455"/>
      <c r="T54" s="455"/>
      <c r="U54" s="454"/>
      <c r="V54" s="454"/>
    </row>
    <row r="55" spans="1:22" s="1" customFormat="1" ht="15.75" hidden="1" customHeight="1">
      <c r="A55" s="203"/>
      <c r="B55" s="209"/>
      <c r="C55" s="83" t="s">
        <v>26</v>
      </c>
      <c r="D55" s="49"/>
      <c r="E55" s="244">
        <v>0</v>
      </c>
      <c r="F55" s="244">
        <v>0</v>
      </c>
      <c r="G55" s="52">
        <f t="shared" si="2"/>
        <v>0</v>
      </c>
      <c r="H55" s="1084"/>
      <c r="I55" s="1084"/>
      <c r="J55" s="1084"/>
      <c r="K55" s="1084"/>
      <c r="L55" s="1084"/>
      <c r="M55" s="1084"/>
      <c r="N55" s="1084"/>
      <c r="O55" s="1084"/>
      <c r="P55" s="1084"/>
      <c r="Q55" s="1085"/>
      <c r="R55" s="454"/>
      <c r="S55" s="455"/>
      <c r="T55" s="455"/>
      <c r="U55" s="454"/>
      <c r="V55" s="454"/>
    </row>
    <row r="56" spans="1:22" s="1" customFormat="1" ht="15.75" customHeight="1">
      <c r="A56" s="203"/>
      <c r="B56" s="209"/>
      <c r="C56" s="83" t="s">
        <v>27</v>
      </c>
      <c r="D56" s="49"/>
      <c r="E56" s="244">
        <v>1500000</v>
      </c>
      <c r="F56" s="244">
        <v>1500000</v>
      </c>
      <c r="G56" s="52">
        <f t="shared" si="2"/>
        <v>0</v>
      </c>
      <c r="H56" s="1084"/>
      <c r="I56" s="1084"/>
      <c r="J56" s="1084"/>
      <c r="K56" s="1084"/>
      <c r="L56" s="1084"/>
      <c r="M56" s="1084"/>
      <c r="N56" s="1084"/>
      <c r="O56" s="1084"/>
      <c r="P56" s="1084"/>
      <c r="Q56" s="1085"/>
      <c r="R56" s="454"/>
      <c r="S56" s="455"/>
      <c r="T56" s="455"/>
      <c r="U56" s="454"/>
      <c r="V56" s="454"/>
    </row>
    <row r="57" spans="1:22" s="1" customFormat="1" ht="15.75" hidden="1" customHeight="1">
      <c r="A57" s="203"/>
      <c r="B57" s="209"/>
      <c r="C57" s="83" t="s">
        <v>284</v>
      </c>
      <c r="D57" s="49"/>
      <c r="E57" s="244">
        <v>0</v>
      </c>
      <c r="F57" s="244">
        <v>0</v>
      </c>
      <c r="G57" s="52">
        <f t="shared" si="2"/>
        <v>0</v>
      </c>
      <c r="H57" s="1084"/>
      <c r="I57" s="1084"/>
      <c r="J57" s="1084"/>
      <c r="K57" s="1084"/>
      <c r="L57" s="1084"/>
      <c r="M57" s="1084"/>
      <c r="N57" s="1084"/>
      <c r="O57" s="1084"/>
      <c r="P57" s="1084"/>
      <c r="Q57" s="1085"/>
      <c r="R57" s="454"/>
      <c r="S57" s="455"/>
      <c r="T57" s="455"/>
      <c r="U57" s="454"/>
      <c r="V57" s="454"/>
    </row>
    <row r="58" spans="1:22" s="1" customFormat="1" ht="15.75" hidden="1" customHeight="1">
      <c r="A58" s="203"/>
      <c r="B58" s="209"/>
      <c r="C58" s="83" t="s">
        <v>28</v>
      </c>
      <c r="D58" s="49"/>
      <c r="E58" s="244">
        <v>0</v>
      </c>
      <c r="F58" s="244">
        <v>0</v>
      </c>
      <c r="G58" s="52">
        <f t="shared" si="2"/>
        <v>0</v>
      </c>
      <c r="H58" s="1060"/>
      <c r="I58" s="1061"/>
      <c r="J58" s="1061"/>
      <c r="K58" s="1061"/>
      <c r="L58" s="1061"/>
      <c r="M58" s="1061"/>
      <c r="N58" s="1061"/>
      <c r="O58" s="1061"/>
      <c r="P58" s="1061"/>
      <c r="Q58" s="1062"/>
      <c r="R58" s="454"/>
      <c r="S58" s="455"/>
      <c r="T58" s="455"/>
      <c r="U58" s="454"/>
      <c r="V58" s="454"/>
    </row>
    <row r="59" spans="1:22" s="1" customFormat="1" ht="15.75" hidden="1" customHeight="1">
      <c r="A59" s="203"/>
      <c r="B59" s="209"/>
      <c r="C59" s="83" t="s">
        <v>285</v>
      </c>
      <c r="D59" s="49"/>
      <c r="E59" s="244">
        <v>0</v>
      </c>
      <c r="F59" s="244">
        <v>0</v>
      </c>
      <c r="G59" s="52">
        <f t="shared" si="2"/>
        <v>0</v>
      </c>
      <c r="H59" s="1060"/>
      <c r="I59" s="1061"/>
      <c r="J59" s="1061"/>
      <c r="K59" s="1061"/>
      <c r="L59" s="1061"/>
      <c r="M59" s="1061"/>
      <c r="N59" s="1061"/>
      <c r="O59" s="1061"/>
      <c r="P59" s="1061"/>
      <c r="Q59" s="1062"/>
      <c r="R59" s="454"/>
      <c r="S59" s="455"/>
      <c r="T59" s="455"/>
      <c r="U59" s="454"/>
      <c r="V59" s="454"/>
    </row>
    <row r="60" spans="1:22" s="1" customFormat="1" ht="15.75" hidden="1" customHeight="1">
      <c r="A60" s="203"/>
      <c r="B60" s="209"/>
      <c r="C60" s="83" t="s">
        <v>286</v>
      </c>
      <c r="D60" s="87"/>
      <c r="E60" s="244">
        <v>0</v>
      </c>
      <c r="F60" s="244">
        <v>0</v>
      </c>
      <c r="G60" s="52">
        <f t="shared" si="2"/>
        <v>0</v>
      </c>
      <c r="H60" s="1084"/>
      <c r="I60" s="1084"/>
      <c r="J60" s="1084"/>
      <c r="K60" s="1084"/>
      <c r="L60" s="1084"/>
      <c r="M60" s="1084"/>
      <c r="N60" s="1084"/>
      <c r="O60" s="1084"/>
      <c r="P60" s="1084"/>
      <c r="Q60" s="1085"/>
      <c r="R60" s="454"/>
      <c r="S60" s="455"/>
      <c r="T60" s="455"/>
      <c r="U60" s="454"/>
      <c r="V60" s="454"/>
    </row>
    <row r="61" spans="1:22" s="1" customFormat="1" ht="15.75" customHeight="1">
      <c r="A61" s="203"/>
      <c r="B61" s="214"/>
      <c r="C61" s="83" t="s">
        <v>22</v>
      </c>
      <c r="D61" s="49"/>
      <c r="E61" s="244">
        <v>500000</v>
      </c>
      <c r="F61" s="244">
        <v>0</v>
      </c>
      <c r="G61" s="52">
        <f t="shared" si="2"/>
        <v>-500000</v>
      </c>
      <c r="H61" s="1075"/>
      <c r="I61" s="1076"/>
      <c r="J61" s="1076"/>
      <c r="K61" s="1076"/>
      <c r="L61" s="1076"/>
      <c r="M61" s="1076"/>
      <c r="N61" s="1076"/>
      <c r="O61" s="1076"/>
      <c r="P61" s="1076"/>
      <c r="Q61" s="1077"/>
      <c r="R61" s="454"/>
      <c r="S61" s="455"/>
      <c r="T61" s="455"/>
      <c r="U61" s="454"/>
      <c r="V61" s="454"/>
    </row>
    <row r="62" spans="1:22" s="20" customFormat="1" ht="15.75" hidden="1" customHeight="1">
      <c r="A62" s="206"/>
      <c r="B62" s="86" t="s">
        <v>287</v>
      </c>
      <c r="C62" s="83" t="s">
        <v>7</v>
      </c>
      <c r="D62" s="83"/>
      <c r="E62" s="244">
        <v>0</v>
      </c>
      <c r="F62" s="244">
        <f>SUM(F63:F72)</f>
        <v>0</v>
      </c>
      <c r="G62" s="52">
        <f>SUM(G63:G72)</f>
        <v>0</v>
      </c>
      <c r="H62" s="1098"/>
      <c r="I62" s="1099"/>
      <c r="J62" s="1099"/>
      <c r="K62" s="1099"/>
      <c r="L62" s="1099"/>
      <c r="M62" s="1099"/>
      <c r="N62" s="1099"/>
      <c r="O62" s="1099"/>
      <c r="P62" s="1099"/>
      <c r="Q62" s="1100"/>
      <c r="R62" s="461"/>
      <c r="S62" s="462"/>
      <c r="T62" s="462"/>
      <c r="U62" s="461"/>
      <c r="V62" s="461"/>
    </row>
    <row r="63" spans="1:22" s="20" customFormat="1" ht="15.75" hidden="1" customHeight="1">
      <c r="A63" s="206"/>
      <c r="B63" s="252"/>
      <c r="C63" s="83" t="s">
        <v>367</v>
      </c>
      <c r="D63" s="83"/>
      <c r="E63" s="244">
        <v>0</v>
      </c>
      <c r="F63" s="244">
        <v>0</v>
      </c>
      <c r="G63" s="50">
        <f t="shared" ref="G63:G72" si="3">F63-E63</f>
        <v>0</v>
      </c>
      <c r="H63" s="1098"/>
      <c r="I63" s="1099"/>
      <c r="J63" s="1099"/>
      <c r="K63" s="1099"/>
      <c r="L63" s="1099"/>
      <c r="M63" s="1099"/>
      <c r="N63" s="1099"/>
      <c r="O63" s="1099"/>
      <c r="P63" s="1099"/>
      <c r="Q63" s="1100"/>
      <c r="R63" s="461"/>
      <c r="S63" s="462"/>
      <c r="T63" s="462"/>
      <c r="U63" s="461"/>
      <c r="V63" s="461"/>
    </row>
    <row r="64" spans="1:22" s="20" customFormat="1" ht="15.75" hidden="1" customHeight="1">
      <c r="A64" s="206"/>
      <c r="B64" s="252"/>
      <c r="C64" s="83" t="s">
        <v>368</v>
      </c>
      <c r="D64" s="83"/>
      <c r="E64" s="244">
        <v>0</v>
      </c>
      <c r="F64" s="244">
        <v>0</v>
      </c>
      <c r="G64" s="50">
        <f t="shared" si="3"/>
        <v>0</v>
      </c>
      <c r="H64" s="1098"/>
      <c r="I64" s="1099"/>
      <c r="J64" s="1099"/>
      <c r="K64" s="1099"/>
      <c r="L64" s="1099"/>
      <c r="M64" s="1099"/>
      <c r="N64" s="1099"/>
      <c r="O64" s="1099"/>
      <c r="P64" s="1099"/>
      <c r="Q64" s="1100"/>
      <c r="R64" s="461"/>
      <c r="S64" s="462"/>
      <c r="T64" s="462"/>
      <c r="U64" s="461"/>
      <c r="V64" s="461"/>
    </row>
    <row r="65" spans="1:22" s="20" customFormat="1" ht="15.75" hidden="1" customHeight="1">
      <c r="A65" s="206"/>
      <c r="B65" s="209"/>
      <c r="C65" s="83" t="s">
        <v>369</v>
      </c>
      <c r="D65" s="83"/>
      <c r="E65" s="244">
        <v>0</v>
      </c>
      <c r="F65" s="244">
        <v>0</v>
      </c>
      <c r="G65" s="50">
        <f t="shared" si="3"/>
        <v>0</v>
      </c>
      <c r="H65" s="1098"/>
      <c r="I65" s="1099"/>
      <c r="J65" s="1099"/>
      <c r="K65" s="1099"/>
      <c r="L65" s="1099"/>
      <c r="M65" s="1099"/>
      <c r="N65" s="1099"/>
      <c r="O65" s="1099"/>
      <c r="P65" s="1099"/>
      <c r="Q65" s="1100"/>
      <c r="R65" s="461"/>
      <c r="S65" s="462"/>
      <c r="T65" s="462"/>
      <c r="U65" s="461"/>
      <c r="V65" s="461"/>
    </row>
    <row r="66" spans="1:22" s="20" customFormat="1" ht="15.75" hidden="1" customHeight="1">
      <c r="A66" s="206"/>
      <c r="B66" s="209"/>
      <c r="C66" s="83" t="s">
        <v>370</v>
      </c>
      <c r="D66" s="257"/>
      <c r="E66" s="244">
        <v>0</v>
      </c>
      <c r="F66" s="244">
        <v>0</v>
      </c>
      <c r="G66" s="50">
        <f t="shared" si="3"/>
        <v>0</v>
      </c>
      <c r="H66" s="1098"/>
      <c r="I66" s="1099"/>
      <c r="J66" s="1099"/>
      <c r="K66" s="1099"/>
      <c r="L66" s="1099"/>
      <c r="M66" s="1099"/>
      <c r="N66" s="1099"/>
      <c r="O66" s="1099"/>
      <c r="P66" s="1099"/>
      <c r="Q66" s="1100"/>
      <c r="R66" s="461"/>
      <c r="S66" s="462"/>
      <c r="T66" s="462"/>
      <c r="U66" s="461"/>
      <c r="V66" s="461"/>
    </row>
    <row r="67" spans="1:22" s="20" customFormat="1" ht="15.75" hidden="1" customHeight="1">
      <c r="A67" s="206"/>
      <c r="B67" s="209"/>
      <c r="C67" s="83" t="s">
        <v>371</v>
      </c>
      <c r="D67" s="83"/>
      <c r="E67" s="244">
        <v>0</v>
      </c>
      <c r="F67" s="244">
        <v>0</v>
      </c>
      <c r="G67" s="50">
        <f t="shared" si="3"/>
        <v>0</v>
      </c>
      <c r="H67" s="1098"/>
      <c r="I67" s="1099"/>
      <c r="J67" s="1099"/>
      <c r="K67" s="1099"/>
      <c r="L67" s="1099"/>
      <c r="M67" s="1099"/>
      <c r="N67" s="1099"/>
      <c r="O67" s="1099"/>
      <c r="P67" s="1099"/>
      <c r="Q67" s="1100"/>
      <c r="R67" s="461"/>
      <c r="S67" s="462"/>
      <c r="T67" s="462"/>
      <c r="U67" s="461"/>
      <c r="V67" s="461"/>
    </row>
    <row r="68" spans="1:22" s="20" customFormat="1" ht="15.75" hidden="1" customHeight="1">
      <c r="A68" s="206"/>
      <c r="B68" s="209"/>
      <c r="C68" s="83" t="s">
        <v>372</v>
      </c>
      <c r="D68" s="83"/>
      <c r="E68" s="244">
        <v>0</v>
      </c>
      <c r="F68" s="244">
        <v>0</v>
      </c>
      <c r="G68" s="50">
        <f t="shared" si="3"/>
        <v>0</v>
      </c>
      <c r="H68" s="1098"/>
      <c r="I68" s="1099"/>
      <c r="J68" s="1099"/>
      <c r="K68" s="1099"/>
      <c r="L68" s="1099"/>
      <c r="M68" s="1099"/>
      <c r="N68" s="1099"/>
      <c r="O68" s="1099"/>
      <c r="P68" s="1099"/>
      <c r="Q68" s="1100"/>
      <c r="R68" s="461"/>
      <c r="S68" s="462"/>
      <c r="T68" s="462"/>
      <c r="U68" s="461"/>
      <c r="V68" s="461"/>
    </row>
    <row r="69" spans="1:22" s="20" customFormat="1" ht="15.75" hidden="1" customHeight="1">
      <c r="A69" s="206"/>
      <c r="B69" s="209"/>
      <c r="C69" s="83" t="s">
        <v>373</v>
      </c>
      <c r="D69" s="83"/>
      <c r="E69" s="244">
        <v>0</v>
      </c>
      <c r="F69" s="244">
        <v>0</v>
      </c>
      <c r="G69" s="50">
        <f t="shared" si="3"/>
        <v>0</v>
      </c>
      <c r="H69" s="1098"/>
      <c r="I69" s="1099"/>
      <c r="J69" s="1099"/>
      <c r="K69" s="1099"/>
      <c r="L69" s="1099"/>
      <c r="M69" s="1099"/>
      <c r="N69" s="1099"/>
      <c r="O69" s="1099"/>
      <c r="P69" s="1099"/>
      <c r="Q69" s="1100"/>
      <c r="R69" s="461"/>
      <c r="S69" s="462"/>
      <c r="T69" s="462"/>
      <c r="U69" s="461"/>
      <c r="V69" s="461"/>
    </row>
    <row r="70" spans="1:22" s="20" customFormat="1" ht="15.75" hidden="1" customHeight="1">
      <c r="A70" s="206"/>
      <c r="B70" s="209"/>
      <c r="C70" s="83" t="s">
        <v>374</v>
      </c>
      <c r="D70" s="83"/>
      <c r="E70" s="244">
        <v>0</v>
      </c>
      <c r="F70" s="244">
        <v>0</v>
      </c>
      <c r="G70" s="50">
        <f t="shared" si="3"/>
        <v>0</v>
      </c>
      <c r="H70" s="1098"/>
      <c r="I70" s="1099"/>
      <c r="J70" s="1099"/>
      <c r="K70" s="1099"/>
      <c r="L70" s="1099"/>
      <c r="M70" s="1099"/>
      <c r="N70" s="1099"/>
      <c r="O70" s="1099"/>
      <c r="P70" s="1099"/>
      <c r="Q70" s="1100"/>
      <c r="R70" s="461"/>
      <c r="S70" s="462"/>
      <c r="T70" s="462"/>
      <c r="U70" s="461"/>
      <c r="V70" s="461"/>
    </row>
    <row r="71" spans="1:22" s="20" customFormat="1" ht="15.75" hidden="1" customHeight="1">
      <c r="A71" s="206"/>
      <c r="B71" s="209"/>
      <c r="C71" s="83" t="s">
        <v>160</v>
      </c>
      <c r="D71" s="100"/>
      <c r="E71" s="244">
        <v>0</v>
      </c>
      <c r="F71" s="244">
        <v>0</v>
      </c>
      <c r="G71" s="50">
        <f t="shared" si="3"/>
        <v>0</v>
      </c>
      <c r="H71" s="1098"/>
      <c r="I71" s="1099"/>
      <c r="J71" s="1099"/>
      <c r="K71" s="1099"/>
      <c r="L71" s="1099"/>
      <c r="M71" s="1099"/>
      <c r="N71" s="1099"/>
      <c r="O71" s="1099"/>
      <c r="P71" s="1099"/>
      <c r="Q71" s="1100"/>
      <c r="R71" s="461"/>
      <c r="S71" s="462"/>
      <c r="T71" s="462"/>
      <c r="U71" s="461"/>
      <c r="V71" s="461"/>
    </row>
    <row r="72" spans="1:22" s="20" customFormat="1" ht="15.75" hidden="1" customHeight="1">
      <c r="A72" s="206"/>
      <c r="B72" s="209"/>
      <c r="C72" s="86" t="s">
        <v>161</v>
      </c>
      <c r="D72" s="86"/>
      <c r="E72" s="244">
        <v>0</v>
      </c>
      <c r="F72" s="244">
        <v>0</v>
      </c>
      <c r="G72" s="50">
        <f t="shared" si="3"/>
        <v>0</v>
      </c>
      <c r="H72" s="1098"/>
      <c r="I72" s="1099"/>
      <c r="J72" s="1099"/>
      <c r="K72" s="1099"/>
      <c r="L72" s="1099"/>
      <c r="M72" s="1099"/>
      <c r="N72" s="1099"/>
      <c r="O72" s="1099"/>
      <c r="P72" s="1099"/>
      <c r="Q72" s="1100"/>
      <c r="R72" s="461"/>
      <c r="S72" s="462"/>
      <c r="T72" s="462"/>
      <c r="U72" s="461"/>
      <c r="V72" s="461"/>
    </row>
    <row r="73" spans="1:22" s="20" customFormat="1" ht="17.25" customHeight="1">
      <c r="A73" s="206"/>
      <c r="B73" s="83" t="s">
        <v>25</v>
      </c>
      <c r="C73" s="86" t="s">
        <v>7</v>
      </c>
      <c r="D73" s="86"/>
      <c r="E73" s="244">
        <v>72210000</v>
      </c>
      <c r="F73" s="244">
        <f>F74+F75+F76+F77+F78+F80+F82</f>
        <v>72210000</v>
      </c>
      <c r="G73" s="52">
        <f>G74+G75+G76+G77+G78</f>
        <v>0</v>
      </c>
      <c r="H73" s="1060"/>
      <c r="I73" s="1061"/>
      <c r="J73" s="1061"/>
      <c r="K73" s="1061"/>
      <c r="L73" s="1061"/>
      <c r="M73" s="1061"/>
      <c r="N73" s="1061"/>
      <c r="O73" s="1061"/>
      <c r="P73" s="1061"/>
      <c r="Q73" s="1062"/>
      <c r="R73" s="461"/>
      <c r="S73" s="462"/>
      <c r="T73" s="462"/>
      <c r="U73" s="461"/>
      <c r="V73" s="461"/>
    </row>
    <row r="74" spans="1:22" s="20" customFormat="1" ht="15.75" customHeight="1">
      <c r="A74" s="206"/>
      <c r="B74" s="264"/>
      <c r="C74" s="57" t="s">
        <v>375</v>
      </c>
      <c r="D74" s="86"/>
      <c r="E74" s="244">
        <v>0</v>
      </c>
      <c r="F74" s="244">
        <v>0</v>
      </c>
      <c r="G74" s="50">
        <f>F74-E74</f>
        <v>0</v>
      </c>
      <c r="H74" s="1101"/>
      <c r="I74" s="1102"/>
      <c r="J74" s="1102"/>
      <c r="K74" s="1102"/>
      <c r="L74" s="1102"/>
      <c r="M74" s="1102"/>
      <c r="N74" s="1102"/>
      <c r="O74" s="1102"/>
      <c r="P74" s="1102"/>
      <c r="Q74" s="1103"/>
      <c r="R74" s="461"/>
      <c r="S74" s="462"/>
      <c r="T74" s="462"/>
      <c r="U74" s="461"/>
      <c r="V74" s="461"/>
    </row>
    <row r="75" spans="1:22" s="20" customFormat="1" ht="24.75" customHeight="1">
      <c r="A75" s="206"/>
      <c r="B75" s="209"/>
      <c r="C75" s="86" t="s">
        <v>376</v>
      </c>
      <c r="D75" s="86"/>
      <c r="E75" s="244">
        <v>50000000</v>
      </c>
      <c r="F75" s="244">
        <v>50000000</v>
      </c>
      <c r="G75" s="50">
        <f>F75-E75</f>
        <v>0</v>
      </c>
      <c r="H75" s="1106" t="s">
        <v>472</v>
      </c>
      <c r="I75" s="1107"/>
      <c r="J75" s="1107"/>
      <c r="K75" s="1107"/>
      <c r="L75" s="1107"/>
      <c r="M75" s="1107"/>
      <c r="N75" s="1107"/>
      <c r="O75" s="1107"/>
      <c r="P75" s="1107"/>
      <c r="Q75" s="1108"/>
      <c r="R75" s="461"/>
      <c r="S75" s="462"/>
      <c r="T75" s="462"/>
      <c r="U75" s="461"/>
      <c r="V75" s="461"/>
    </row>
    <row r="76" spans="1:22" s="20" customFormat="1" ht="15.75" customHeight="1">
      <c r="A76" s="206"/>
      <c r="B76" s="209"/>
      <c r="C76" s="57" t="s">
        <v>377</v>
      </c>
      <c r="D76" s="271"/>
      <c r="E76" s="244">
        <v>0</v>
      </c>
      <c r="F76" s="244">
        <v>0</v>
      </c>
      <c r="G76" s="50">
        <f>F76-E76</f>
        <v>0</v>
      </c>
      <c r="H76" s="1098" t="s">
        <v>382</v>
      </c>
      <c r="I76" s="1099"/>
      <c r="J76" s="1099"/>
      <c r="K76" s="1099"/>
      <c r="L76" s="1099"/>
      <c r="M76" s="1099"/>
      <c r="N76" s="1099"/>
      <c r="O76" s="1099"/>
      <c r="P76" s="1099"/>
      <c r="Q76" s="1100"/>
      <c r="R76" s="461"/>
      <c r="S76" s="462"/>
      <c r="T76" s="462"/>
      <c r="U76" s="461"/>
      <c r="V76" s="461"/>
    </row>
    <row r="77" spans="1:22" s="20" customFormat="1" ht="15.75" customHeight="1">
      <c r="A77" s="206"/>
      <c r="B77" s="209"/>
      <c r="C77" s="57" t="s">
        <v>378</v>
      </c>
      <c r="D77" s="86"/>
      <c r="E77" s="244">
        <v>15000000</v>
      </c>
      <c r="F77" s="244">
        <v>15000000</v>
      </c>
      <c r="G77" s="50">
        <f>F77-E77</f>
        <v>0</v>
      </c>
      <c r="H77" s="1098"/>
      <c r="I77" s="1099"/>
      <c r="J77" s="1099"/>
      <c r="K77" s="1099"/>
      <c r="L77" s="1099"/>
      <c r="M77" s="1099"/>
      <c r="N77" s="1099"/>
      <c r="O77" s="1099"/>
      <c r="P77" s="1099"/>
      <c r="Q77" s="1100"/>
      <c r="R77" s="461"/>
      <c r="S77" s="462"/>
      <c r="T77" s="462"/>
      <c r="U77" s="461"/>
      <c r="V77" s="461"/>
    </row>
    <row r="78" spans="1:22" s="20" customFormat="1" ht="15.75" customHeight="1">
      <c r="A78" s="206"/>
      <c r="B78" s="209"/>
      <c r="C78" s="85" t="s">
        <v>179</v>
      </c>
      <c r="D78" s="57" t="s">
        <v>7</v>
      </c>
      <c r="E78" s="244">
        <v>610000</v>
      </c>
      <c r="F78" s="244">
        <f>F79</f>
        <v>610000</v>
      </c>
      <c r="G78" s="50">
        <f>G79</f>
        <v>0</v>
      </c>
      <c r="H78" s="1101"/>
      <c r="I78" s="1102"/>
      <c r="J78" s="1102"/>
      <c r="K78" s="1102"/>
      <c r="L78" s="1102"/>
      <c r="M78" s="1102"/>
      <c r="N78" s="1102"/>
      <c r="O78" s="1102"/>
      <c r="P78" s="1102"/>
      <c r="Q78" s="1103"/>
      <c r="R78" s="429"/>
      <c r="S78" s="432"/>
      <c r="T78" s="432"/>
      <c r="U78" s="461"/>
      <c r="V78" s="461"/>
    </row>
    <row r="79" spans="1:22" s="20" customFormat="1" ht="15.75" hidden="1" customHeight="1">
      <c r="A79" s="206"/>
      <c r="B79" s="209"/>
      <c r="C79" s="86"/>
      <c r="D79" s="85" t="s">
        <v>179</v>
      </c>
      <c r="E79" s="244">
        <v>610000</v>
      </c>
      <c r="F79" s="244">
        <v>610000</v>
      </c>
      <c r="G79" s="50">
        <f>F79-E79</f>
        <v>0</v>
      </c>
      <c r="H79" s="987" t="s">
        <v>771</v>
      </c>
      <c r="I79" s="988"/>
      <c r="J79" s="988"/>
      <c r="K79" s="988"/>
      <c r="L79" s="988"/>
      <c r="M79" s="988"/>
      <c r="N79" s="988"/>
      <c r="O79" s="988"/>
      <c r="P79" s="988"/>
      <c r="Q79" s="989"/>
      <c r="R79" s="429"/>
      <c r="S79" s="432"/>
      <c r="T79" s="432"/>
      <c r="U79" s="461"/>
      <c r="V79" s="461"/>
    </row>
    <row r="80" spans="1:22" s="20" customFormat="1" ht="15.75" hidden="1" customHeight="1">
      <c r="A80" s="206"/>
      <c r="B80" s="209"/>
      <c r="C80" s="85"/>
      <c r="D80" s="57" t="s">
        <v>7</v>
      </c>
      <c r="E80" s="244">
        <v>0</v>
      </c>
      <c r="F80" s="244">
        <f>F81</f>
        <v>0</v>
      </c>
      <c r="G80" s="50">
        <f>G81</f>
        <v>0</v>
      </c>
      <c r="H80" s="1101"/>
      <c r="I80" s="1102"/>
      <c r="J80" s="1102"/>
      <c r="K80" s="1102"/>
      <c r="L80" s="1102"/>
      <c r="M80" s="1102"/>
      <c r="N80" s="1102"/>
      <c r="O80" s="1102"/>
      <c r="P80" s="1102"/>
      <c r="Q80" s="1103"/>
      <c r="R80" s="429"/>
      <c r="S80" s="432"/>
      <c r="T80" s="432"/>
      <c r="U80" s="461"/>
      <c r="V80" s="461"/>
    </row>
    <row r="81" spans="1:22" s="20" customFormat="1" ht="15.75" hidden="1" customHeight="1">
      <c r="A81" s="206"/>
      <c r="B81" s="209"/>
      <c r="C81" s="86"/>
      <c r="D81" s="85" t="s">
        <v>402</v>
      </c>
      <c r="E81" s="244">
        <v>0</v>
      </c>
      <c r="F81" s="244">
        <v>0</v>
      </c>
      <c r="G81" s="50">
        <f>F81-E81</f>
        <v>0</v>
      </c>
      <c r="H81" s="1101"/>
      <c r="I81" s="1102"/>
      <c r="J81" s="1102"/>
      <c r="K81" s="1102"/>
      <c r="L81" s="1102"/>
      <c r="M81" s="1102"/>
      <c r="N81" s="1102"/>
      <c r="O81" s="1102"/>
      <c r="P81" s="1102"/>
      <c r="Q81" s="1103"/>
      <c r="R81" s="429"/>
      <c r="S81" s="432"/>
      <c r="T81" s="432"/>
      <c r="U81" s="461"/>
      <c r="V81" s="461"/>
    </row>
    <row r="82" spans="1:22" s="20" customFormat="1" ht="15.75" customHeight="1">
      <c r="A82" s="206"/>
      <c r="B82" s="209"/>
      <c r="C82" s="85" t="s">
        <v>415</v>
      </c>
      <c r="D82" s="57" t="s">
        <v>7</v>
      </c>
      <c r="E82" s="244">
        <v>6600000</v>
      </c>
      <c r="F82" s="244">
        <f>F83</f>
        <v>6600000</v>
      </c>
      <c r="G82" s="50">
        <f>G83</f>
        <v>0</v>
      </c>
      <c r="H82" s="1101"/>
      <c r="I82" s="1102"/>
      <c r="J82" s="1102"/>
      <c r="K82" s="1102"/>
      <c r="L82" s="1102"/>
      <c r="M82" s="1102"/>
      <c r="N82" s="1102"/>
      <c r="O82" s="1102"/>
      <c r="P82" s="1102"/>
      <c r="Q82" s="1103"/>
      <c r="R82" s="429"/>
      <c r="S82" s="432"/>
      <c r="T82" s="432"/>
      <c r="U82" s="461"/>
      <c r="V82" s="461"/>
    </row>
    <row r="83" spans="1:22" s="20" customFormat="1" ht="15.75" hidden="1" customHeight="1">
      <c r="A83" s="206"/>
      <c r="B83" s="428"/>
      <c r="C83" s="86"/>
      <c r="D83" s="85" t="s">
        <v>415</v>
      </c>
      <c r="E83" s="244">
        <v>6600000</v>
      </c>
      <c r="F83" s="244">
        <v>6600000</v>
      </c>
      <c r="G83" s="50">
        <f>F83-E83</f>
        <v>0</v>
      </c>
      <c r="H83" s="1101"/>
      <c r="I83" s="1102"/>
      <c r="J83" s="1102"/>
      <c r="K83" s="1102"/>
      <c r="L83" s="1102"/>
      <c r="M83" s="1102"/>
      <c r="N83" s="1102"/>
      <c r="O83" s="1102"/>
      <c r="P83" s="1102"/>
      <c r="Q83" s="1103"/>
      <c r="R83" s="429"/>
      <c r="S83" s="432"/>
      <c r="T83" s="432"/>
      <c r="U83" s="461"/>
      <c r="V83" s="461"/>
    </row>
    <row r="84" spans="1:22" s="20" customFormat="1" ht="15.75" hidden="1" customHeight="1">
      <c r="A84" s="488" t="s">
        <v>426</v>
      </c>
      <c r="B84" s="952" t="s">
        <v>30</v>
      </c>
      <c r="C84" s="953"/>
      <c r="D84" s="57"/>
      <c r="E84" s="244">
        <v>1000000</v>
      </c>
      <c r="F84" s="244">
        <f>F85</f>
        <v>1000000</v>
      </c>
      <c r="G84" s="52">
        <f>G85</f>
        <v>0</v>
      </c>
      <c r="H84" s="1075"/>
      <c r="I84" s="1076"/>
      <c r="J84" s="1076"/>
      <c r="K84" s="1076"/>
      <c r="L84" s="1076"/>
      <c r="M84" s="1076"/>
      <c r="N84" s="1076"/>
      <c r="O84" s="1076"/>
      <c r="P84" s="1076"/>
      <c r="Q84" s="1077"/>
      <c r="R84" s="461"/>
      <c r="S84" s="462">
        <f>F84</f>
        <v>1000000</v>
      </c>
      <c r="T84" s="455"/>
      <c r="U84" s="461"/>
      <c r="V84" s="461"/>
    </row>
    <row r="85" spans="1:22" s="20" customFormat="1" ht="15.75" customHeight="1">
      <c r="A85" s="205"/>
      <c r="B85" s="489" t="s">
        <v>803</v>
      </c>
      <c r="C85" s="86" t="s">
        <v>7</v>
      </c>
      <c r="D85" s="57"/>
      <c r="E85" s="244">
        <v>1000000</v>
      </c>
      <c r="F85" s="244">
        <f>F86</f>
        <v>1000000</v>
      </c>
      <c r="G85" s="52">
        <f>F85-E85</f>
        <v>0</v>
      </c>
      <c r="H85" s="1075"/>
      <c r="I85" s="1076"/>
      <c r="J85" s="1076"/>
      <c r="K85" s="1076"/>
      <c r="L85" s="1076"/>
      <c r="M85" s="1076"/>
      <c r="N85" s="1076"/>
      <c r="O85" s="1076"/>
      <c r="P85" s="1076"/>
      <c r="Q85" s="1077"/>
      <c r="R85" s="461"/>
      <c r="S85" s="462"/>
      <c r="T85" s="462"/>
      <c r="U85" s="461"/>
      <c r="V85" s="461"/>
    </row>
    <row r="86" spans="1:22" s="20" customFormat="1" ht="15.75" customHeight="1">
      <c r="A86" s="212"/>
      <c r="B86" s="83"/>
      <c r="C86" s="56" t="s">
        <v>425</v>
      </c>
      <c r="D86" s="57"/>
      <c r="E86" s="244">
        <v>1000000</v>
      </c>
      <c r="F86" s="244">
        <v>1000000</v>
      </c>
      <c r="G86" s="52">
        <f>F86-E86</f>
        <v>0</v>
      </c>
      <c r="H86" s="1075"/>
      <c r="I86" s="1076"/>
      <c r="J86" s="1076"/>
      <c r="K86" s="1076"/>
      <c r="L86" s="1076"/>
      <c r="M86" s="1076"/>
      <c r="N86" s="1076"/>
      <c r="O86" s="1076"/>
      <c r="P86" s="1076"/>
      <c r="Q86" s="1077"/>
      <c r="R86" s="461"/>
      <c r="S86" s="462"/>
      <c r="T86" s="462"/>
      <c r="U86" s="461"/>
      <c r="V86" s="461"/>
    </row>
    <row r="87" spans="1:22" s="20" customFormat="1" ht="15.75" customHeight="1">
      <c r="A87" s="48" t="s">
        <v>166</v>
      </c>
      <c r="B87" s="952" t="s">
        <v>186</v>
      </c>
      <c r="C87" s="953"/>
      <c r="D87" s="57"/>
      <c r="E87" s="244">
        <v>0</v>
      </c>
      <c r="F87" s="244">
        <f>F88</f>
        <v>0</v>
      </c>
      <c r="G87" s="52">
        <f>G88</f>
        <v>0</v>
      </c>
      <c r="H87" s="1075"/>
      <c r="I87" s="1076"/>
      <c r="J87" s="1076"/>
      <c r="K87" s="1076"/>
      <c r="L87" s="1076"/>
      <c r="M87" s="1076"/>
      <c r="N87" s="1076"/>
      <c r="O87" s="1076"/>
      <c r="P87" s="1076"/>
      <c r="Q87" s="1077"/>
      <c r="R87" s="461"/>
      <c r="S87" s="462"/>
      <c r="T87" s="455">
        <f>F87</f>
        <v>0</v>
      </c>
      <c r="U87" s="461"/>
      <c r="V87" s="461"/>
    </row>
    <row r="88" spans="1:22" s="20" customFormat="1" ht="15.75" customHeight="1">
      <c r="A88" s="205"/>
      <c r="B88" s="49" t="s">
        <v>166</v>
      </c>
      <c r="C88" s="86" t="s">
        <v>7</v>
      </c>
      <c r="D88" s="57"/>
      <c r="E88" s="244">
        <v>0</v>
      </c>
      <c r="F88" s="244">
        <f>F89</f>
        <v>0</v>
      </c>
      <c r="G88" s="52">
        <f>F88-E88</f>
        <v>0</v>
      </c>
      <c r="H88" s="1075"/>
      <c r="I88" s="1076"/>
      <c r="J88" s="1076"/>
      <c r="K88" s="1076"/>
      <c r="L88" s="1076"/>
      <c r="M88" s="1076"/>
      <c r="N88" s="1076"/>
      <c r="O88" s="1076"/>
      <c r="P88" s="1076"/>
      <c r="Q88" s="1077"/>
      <c r="R88" s="461"/>
      <c r="S88" s="462"/>
      <c r="T88" s="462"/>
      <c r="U88" s="461"/>
      <c r="V88" s="461"/>
    </row>
    <row r="89" spans="1:22" s="20" customFormat="1" ht="15.75" customHeight="1">
      <c r="A89" s="212"/>
      <c r="B89" s="83"/>
      <c r="C89" s="86" t="s">
        <v>166</v>
      </c>
      <c r="D89" s="57"/>
      <c r="E89" s="244">
        <v>0</v>
      </c>
      <c r="F89" s="244">
        <v>0</v>
      </c>
      <c r="G89" s="52">
        <f>F89-E89</f>
        <v>0</v>
      </c>
      <c r="H89" s="1075"/>
      <c r="I89" s="1076"/>
      <c r="J89" s="1076"/>
      <c r="K89" s="1076"/>
      <c r="L89" s="1076"/>
      <c r="M89" s="1076"/>
      <c r="N89" s="1076"/>
      <c r="O89" s="1076"/>
      <c r="P89" s="1076"/>
      <c r="Q89" s="1077"/>
      <c r="R89" s="461"/>
      <c r="S89" s="462"/>
      <c r="T89" s="462"/>
      <c r="U89" s="461"/>
      <c r="V89" s="461"/>
    </row>
    <row r="90" spans="1:22" s="1" customFormat="1" ht="15.75" customHeight="1">
      <c r="A90" s="82" t="s">
        <v>8</v>
      </c>
      <c r="B90" s="952" t="s">
        <v>30</v>
      </c>
      <c r="C90" s="953"/>
      <c r="D90" s="57"/>
      <c r="E90" s="244">
        <v>0</v>
      </c>
      <c r="F90" s="244">
        <f>F91</f>
        <v>0</v>
      </c>
      <c r="G90" s="52">
        <f>F90-E90</f>
        <v>0</v>
      </c>
      <c r="H90" s="1084"/>
      <c r="I90" s="1084"/>
      <c r="J90" s="1084"/>
      <c r="K90" s="1084"/>
      <c r="L90" s="1084"/>
      <c r="M90" s="1084"/>
      <c r="N90" s="1084"/>
      <c r="O90" s="1084"/>
      <c r="P90" s="1084"/>
      <c r="Q90" s="1085"/>
      <c r="R90" s="454"/>
      <c r="S90" s="455"/>
      <c r="T90" s="455">
        <f>F90</f>
        <v>0</v>
      </c>
      <c r="U90" s="454"/>
      <c r="V90" s="454"/>
    </row>
    <row r="91" spans="1:22" s="1" customFormat="1" ht="15.75" customHeight="1">
      <c r="A91" s="205"/>
      <c r="B91" s="83" t="s">
        <v>8</v>
      </c>
      <c r="C91" s="86" t="s">
        <v>7</v>
      </c>
      <c r="D91" s="210"/>
      <c r="E91" s="262">
        <v>0</v>
      </c>
      <c r="F91" s="262">
        <f>F92</f>
        <v>0</v>
      </c>
      <c r="G91" s="217">
        <f>F91-E91</f>
        <v>0</v>
      </c>
      <c r="H91" s="1084"/>
      <c r="I91" s="1084"/>
      <c r="J91" s="1084"/>
      <c r="K91" s="1084"/>
      <c r="L91" s="1084"/>
      <c r="M91" s="1084"/>
      <c r="N91" s="1084"/>
      <c r="O91" s="1084"/>
      <c r="P91" s="1084"/>
      <c r="Q91" s="1085"/>
      <c r="R91" s="454"/>
      <c r="S91" s="455"/>
      <c r="T91" s="455"/>
      <c r="U91" s="454"/>
      <c r="V91" s="454"/>
    </row>
    <row r="92" spans="1:22" s="1" customFormat="1" ht="15.75" customHeight="1">
      <c r="A92" s="206"/>
      <c r="B92" s="213"/>
      <c r="C92" s="208" t="s">
        <v>8</v>
      </c>
      <c r="D92" s="210"/>
      <c r="E92" s="262"/>
      <c r="F92" s="262"/>
      <c r="G92" s="217">
        <f>F92-E92</f>
        <v>0</v>
      </c>
      <c r="H92" s="1096"/>
      <c r="I92" s="1096"/>
      <c r="J92" s="1096"/>
      <c r="K92" s="1096"/>
      <c r="L92" s="1096"/>
      <c r="M92" s="1096"/>
      <c r="N92" s="1096"/>
      <c r="O92" s="1096"/>
      <c r="P92" s="1096"/>
      <c r="Q92" s="1097"/>
      <c r="R92" s="454"/>
      <c r="S92" s="455"/>
      <c r="T92" s="455"/>
      <c r="U92" s="454"/>
      <c r="V92" s="454"/>
    </row>
    <row r="93" spans="1:22" s="1" customFormat="1" ht="15.75" customHeight="1">
      <c r="A93" s="82" t="s">
        <v>29</v>
      </c>
      <c r="B93" s="952" t="s">
        <v>30</v>
      </c>
      <c r="C93" s="953"/>
      <c r="D93" s="57"/>
      <c r="E93" s="244">
        <v>0</v>
      </c>
      <c r="F93" s="244">
        <f>F94</f>
        <v>0</v>
      </c>
      <c r="G93" s="52">
        <f>G94</f>
        <v>0</v>
      </c>
      <c r="H93" s="1075"/>
      <c r="I93" s="1076"/>
      <c r="J93" s="1076"/>
      <c r="K93" s="1076"/>
      <c r="L93" s="1076"/>
      <c r="M93" s="1076"/>
      <c r="N93" s="1076"/>
      <c r="O93" s="1076"/>
      <c r="P93" s="1076"/>
      <c r="Q93" s="1077"/>
      <c r="R93" s="454"/>
      <c r="S93" s="455"/>
      <c r="T93" s="455">
        <f>F93</f>
        <v>0</v>
      </c>
      <c r="U93" s="454"/>
      <c r="V93" s="454"/>
    </row>
    <row r="94" spans="1:22" s="1" customFormat="1" ht="15.75" customHeight="1">
      <c r="A94" s="205"/>
      <c r="B94" s="83" t="s">
        <v>29</v>
      </c>
      <c r="C94" s="86" t="s">
        <v>7</v>
      </c>
      <c r="D94" s="57"/>
      <c r="E94" s="244">
        <v>0</v>
      </c>
      <c r="F94" s="244">
        <f>F95</f>
        <v>0</v>
      </c>
      <c r="G94" s="52">
        <f>F94-E94</f>
        <v>0</v>
      </c>
      <c r="H94" s="1075"/>
      <c r="I94" s="1076"/>
      <c r="J94" s="1076"/>
      <c r="K94" s="1076"/>
      <c r="L94" s="1076"/>
      <c r="M94" s="1076"/>
      <c r="N94" s="1076"/>
      <c r="O94" s="1076"/>
      <c r="P94" s="1076"/>
      <c r="Q94" s="1077"/>
      <c r="R94" s="454"/>
      <c r="S94" s="455"/>
      <c r="T94" s="455"/>
      <c r="U94" s="454"/>
      <c r="V94" s="454"/>
    </row>
    <row r="95" spans="1:22" s="1" customFormat="1" ht="15.75" customHeight="1">
      <c r="A95" s="215"/>
      <c r="B95" s="246"/>
      <c r="C95" s="312" t="s">
        <v>29</v>
      </c>
      <c r="D95" s="311"/>
      <c r="E95" s="247">
        <v>0</v>
      </c>
      <c r="F95" s="247">
        <v>0</v>
      </c>
      <c r="G95" s="89">
        <f>F95-E95</f>
        <v>0</v>
      </c>
      <c r="H95" s="1093"/>
      <c r="I95" s="1094"/>
      <c r="J95" s="1094"/>
      <c r="K95" s="1094"/>
      <c r="L95" s="1094"/>
      <c r="M95" s="1094"/>
      <c r="N95" s="1094"/>
      <c r="O95" s="1094"/>
      <c r="P95" s="1094"/>
      <c r="Q95" s="1095"/>
      <c r="R95" s="454"/>
      <c r="S95" s="455"/>
      <c r="T95" s="455"/>
      <c r="U95" s="454"/>
      <c r="V95" s="454"/>
    </row>
  </sheetData>
  <mergeCells count="107">
    <mergeCell ref="H75:Q75"/>
    <mergeCell ref="H72:Q72"/>
    <mergeCell ref="H70:Q70"/>
    <mergeCell ref="H71:Q71"/>
    <mergeCell ref="H69:Q69"/>
    <mergeCell ref="H66:Q66"/>
    <mergeCell ref="H64:Q64"/>
    <mergeCell ref="H86:Q86"/>
    <mergeCell ref="H83:Q83"/>
    <mergeCell ref="H78:Q78"/>
    <mergeCell ref="H79:Q79"/>
    <mergeCell ref="B87:C87"/>
    <mergeCell ref="H94:Q94"/>
    <mergeCell ref="H93:Q93"/>
    <mergeCell ref="B84:C84"/>
    <mergeCell ref="H84:Q84"/>
    <mergeCell ref="B93:C93"/>
    <mergeCell ref="H89:Q89"/>
    <mergeCell ref="H19:Q19"/>
    <mergeCell ref="H23:Q23"/>
    <mergeCell ref="H40:Q40"/>
    <mergeCell ref="H44:Q44"/>
    <mergeCell ref="H49:Q49"/>
    <mergeCell ref="H28:Q28"/>
    <mergeCell ref="H47:Q47"/>
    <mergeCell ref="H43:Q43"/>
    <mergeCell ref="H41:Q41"/>
    <mergeCell ref="H45:Q45"/>
    <mergeCell ref="H61:Q61"/>
    <mergeCell ref="H65:Q65"/>
    <mergeCell ref="H82:Q82"/>
    <mergeCell ref="H87:Q87"/>
    <mergeCell ref="H73:Q73"/>
    <mergeCell ref="H76:Q76"/>
    <mergeCell ref="H74:Q74"/>
    <mergeCell ref="H95:Q95"/>
    <mergeCell ref="H92:Q92"/>
    <mergeCell ref="B90:C90"/>
    <mergeCell ref="H15:Q15"/>
    <mergeCell ref="H85:Q85"/>
    <mergeCell ref="H90:Q90"/>
    <mergeCell ref="H91:Q91"/>
    <mergeCell ref="H88:Q88"/>
    <mergeCell ref="H62:Q62"/>
    <mergeCell ref="H63:Q63"/>
    <mergeCell ref="H68:Q68"/>
    <mergeCell ref="H67:Q67"/>
    <mergeCell ref="H80:Q80"/>
    <mergeCell ref="H81:Q81"/>
    <mergeCell ref="H77:Q77"/>
    <mergeCell ref="B45:C45"/>
    <mergeCell ref="B50:C50"/>
    <mergeCell ref="H46:Q46"/>
    <mergeCell ref="H54:Q54"/>
    <mergeCell ref="H48:Q48"/>
    <mergeCell ref="H25:Q25"/>
    <mergeCell ref="H21:Q21"/>
    <mergeCell ref="H24:Q24"/>
    <mergeCell ref="H34:Q34"/>
    <mergeCell ref="A2:C2"/>
    <mergeCell ref="E4:E5"/>
    <mergeCell ref="A4:D4"/>
    <mergeCell ref="H13:Q13"/>
    <mergeCell ref="H10:Q10"/>
    <mergeCell ref="H11:Q11"/>
    <mergeCell ref="H12:Q12"/>
    <mergeCell ref="A6:C6"/>
    <mergeCell ref="B7:C7"/>
    <mergeCell ref="H8:Q8"/>
    <mergeCell ref="H6:Q6"/>
    <mergeCell ref="H7:Q7"/>
    <mergeCell ref="F4:F5"/>
    <mergeCell ref="G4:G5"/>
    <mergeCell ref="H16:Q16"/>
    <mergeCell ref="H18:Q18"/>
    <mergeCell ref="H22:Q22"/>
    <mergeCell ref="H32:Q32"/>
    <mergeCell ref="H37:Q37"/>
    <mergeCell ref="H35:Q35"/>
    <mergeCell ref="H39:Q39"/>
    <mergeCell ref="H33:Q33"/>
    <mergeCell ref="H36:Q36"/>
    <mergeCell ref="H38:Q38"/>
    <mergeCell ref="H1:Q1"/>
    <mergeCell ref="H2:Q2"/>
    <mergeCell ref="H3:Q3"/>
    <mergeCell ref="H9:Q9"/>
    <mergeCell ref="H4:Q5"/>
    <mergeCell ref="H14:Q14"/>
    <mergeCell ref="H60:Q60"/>
    <mergeCell ref="H56:Q56"/>
    <mergeCell ref="H58:Q58"/>
    <mergeCell ref="H53:Q53"/>
    <mergeCell ref="H59:Q59"/>
    <mergeCell ref="H52:Q52"/>
    <mergeCell ref="H50:Q50"/>
    <mergeCell ref="H55:Q55"/>
    <mergeCell ref="H57:Q57"/>
    <mergeCell ref="H51:Q51"/>
    <mergeCell ref="H17:Q17"/>
    <mergeCell ref="H27:Q27"/>
    <mergeCell ref="H26:Q26"/>
    <mergeCell ref="H31:Q31"/>
    <mergeCell ref="H29:Q29"/>
    <mergeCell ref="H20:Q20"/>
    <mergeCell ref="H30:Q30"/>
    <mergeCell ref="H42:Q42"/>
  </mergeCells>
  <phoneticPr fontId="2" type="noConversion"/>
  <pageMargins left="0.24" right="0.28999999999999998" top="0.6" bottom="0.49" header="0.39" footer="0.26"/>
  <pageSetup paperSize="9" scale="8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73"/>
  <sheetViews>
    <sheetView workbookViewId="0">
      <selection activeCell="H7" sqref="H7"/>
    </sheetView>
  </sheetViews>
  <sheetFormatPr defaultRowHeight="13.5"/>
  <cols>
    <col min="1" max="1" width="12.6640625" style="27" customWidth="1"/>
    <col min="2" max="2" width="16.6640625" style="546" customWidth="1"/>
    <col min="3" max="5" width="16.6640625" style="27" customWidth="1"/>
  </cols>
  <sheetData>
    <row r="1" spans="1:5" ht="52.5" customHeight="1">
      <c r="A1" s="1116" t="s">
        <v>912</v>
      </c>
      <c r="B1" s="1117"/>
      <c r="C1" s="1117"/>
      <c r="D1" s="1117"/>
      <c r="E1" s="1117"/>
    </row>
    <row r="2" spans="1:5" ht="25.5" customHeight="1" thickBot="1">
      <c r="A2" s="39"/>
      <c r="C2" s="34"/>
      <c r="D2" s="34"/>
      <c r="E2" s="40" t="s">
        <v>0</v>
      </c>
    </row>
    <row r="3" spans="1:5" ht="30" customHeight="1" thickBot="1">
      <c r="A3" s="816" t="s">
        <v>96</v>
      </c>
      <c r="B3" s="1109" t="s">
        <v>234</v>
      </c>
      <c r="C3" s="1110"/>
      <c r="D3" s="1109" t="s">
        <v>399</v>
      </c>
      <c r="E3" s="1111"/>
    </row>
    <row r="4" spans="1:5" ht="30" customHeight="1" thickTop="1">
      <c r="A4" s="821" t="s">
        <v>302</v>
      </c>
      <c r="B4" s="1112">
        <f>C5+C18+C26</f>
        <v>3126390000</v>
      </c>
      <c r="C4" s="1113"/>
      <c r="D4" s="1114">
        <f>E5+E18+E26</f>
        <v>3126390000</v>
      </c>
      <c r="E4" s="1115"/>
    </row>
    <row r="5" spans="1:5" ht="25.5" customHeight="1">
      <c r="A5" s="822" t="s">
        <v>113</v>
      </c>
      <c r="B5" s="547" t="s">
        <v>7</v>
      </c>
      <c r="C5" s="425">
        <f>SUM(C6:C12)</f>
        <v>2385190000</v>
      </c>
      <c r="D5" s="426" t="s">
        <v>257</v>
      </c>
      <c r="E5" s="823">
        <f>SUM(E6:E17)</f>
        <v>2385190000</v>
      </c>
    </row>
    <row r="6" spans="1:5" ht="25.5" customHeight="1">
      <c r="A6" s="824"/>
      <c r="B6" s="548" t="str">
        <f>'나.세입세출(총괄)'!C18</f>
        <v>국고보조금</v>
      </c>
      <c r="C6" s="224">
        <f>다.보조금세입내역!F15</f>
        <v>1444358322.4000001</v>
      </c>
      <c r="D6" s="226" t="s">
        <v>104</v>
      </c>
      <c r="E6" s="825">
        <f>라.보조금세출내역!F8</f>
        <v>1835941560</v>
      </c>
    </row>
    <row r="7" spans="1:5" ht="25.5" customHeight="1">
      <c r="A7" s="826"/>
      <c r="B7" s="549" t="str">
        <f>다.보조금세입내역!C19</f>
        <v>시도(군)보조금</v>
      </c>
      <c r="C7" s="224">
        <f>다.보조금세입내역!F19</f>
        <v>909143029.60000002</v>
      </c>
      <c r="D7" s="226" t="s">
        <v>105</v>
      </c>
      <c r="E7" s="825">
        <f>라.보조금세출내역!F33+라.보조금세출내역!F37+라.보조금세출내역!F47+라.보조금세출내역!F65+라.보조금세출내역!F68+라.보조금세출내역!F69+라.보조금세출내역!F70+라.보조금세출내역!F71+라.보조금세출내역!F72+라.보조금세출내역!F73+라.보조금세출내역!F74+라.보조금세출내역!F75+라.보조금세출내역!F87+라.보조금세출내역!F88+라.보조금세출내역!F90+라.보조금세출내역!F92</f>
        <v>94239000</v>
      </c>
    </row>
    <row r="8" spans="1:5" ht="25.5" customHeight="1">
      <c r="A8" s="826"/>
      <c r="B8" s="549" t="str">
        <f>다.보조금세입내역!C28</f>
        <v>기타보조금</v>
      </c>
      <c r="C8" s="224">
        <f>다.보조금세입내역!F28</f>
        <v>5290000</v>
      </c>
      <c r="D8" s="222" t="s">
        <v>106</v>
      </c>
      <c r="E8" s="825">
        <f>라.보조금세출내역!F54</f>
        <v>133277472</v>
      </c>
    </row>
    <row r="9" spans="1:5" ht="25.5" customHeight="1">
      <c r="A9" s="826"/>
      <c r="B9" s="549" t="str">
        <f>다.보조금세입내역!B36</f>
        <v>이월금</v>
      </c>
      <c r="C9" s="224">
        <f>다.보조금세입내역!F37</f>
        <v>25617405</v>
      </c>
      <c r="D9" s="222" t="s">
        <v>107</v>
      </c>
      <c r="E9" s="825">
        <f>라.보조금세출내역!F93+라.보조금세출내역!F99+라.보조금세출내역!F107+라.보조금세출내역!F109</f>
        <v>295422320</v>
      </c>
    </row>
    <row r="10" spans="1:5" ht="25.5" customHeight="1">
      <c r="A10" s="826"/>
      <c r="B10" s="549" t="str">
        <f>다.보조금세입내역!B40</f>
        <v>잡수입</v>
      </c>
      <c r="C10" s="224">
        <f>다.보조금세입내역!F39</f>
        <v>781243</v>
      </c>
      <c r="D10" s="490" t="s">
        <v>109</v>
      </c>
      <c r="E10" s="825">
        <f>라.보조금세출내역!F120</f>
        <v>692243</v>
      </c>
    </row>
    <row r="11" spans="1:5" ht="24" customHeight="1">
      <c r="A11" s="827"/>
      <c r="B11" s="813"/>
      <c r="C11" s="814"/>
      <c r="D11" s="223" t="s">
        <v>168</v>
      </c>
      <c r="E11" s="828">
        <f>라.보조금세출내역!F122</f>
        <v>25617405</v>
      </c>
    </row>
    <row r="12" spans="1:5" ht="20.25" hidden="1" customHeight="1">
      <c r="A12" s="826"/>
      <c r="B12" s="810"/>
      <c r="C12" s="327"/>
      <c r="D12" s="811"/>
      <c r="E12" s="829"/>
    </row>
    <row r="13" spans="1:5" ht="20.25" hidden="1" customHeight="1">
      <c r="A13" s="826"/>
      <c r="B13" s="550"/>
      <c r="C13" s="424"/>
      <c r="D13" s="416"/>
      <c r="E13" s="830"/>
    </row>
    <row r="14" spans="1:5" ht="20.25" hidden="1" customHeight="1">
      <c r="A14" s="826"/>
      <c r="B14" s="550"/>
      <c r="C14" s="424"/>
      <c r="D14" s="416"/>
      <c r="E14" s="830"/>
    </row>
    <row r="15" spans="1:5" ht="20.25" hidden="1" customHeight="1">
      <c r="A15" s="826"/>
      <c r="B15" s="550"/>
      <c r="C15" s="424"/>
      <c r="D15" s="416"/>
      <c r="E15" s="830"/>
    </row>
    <row r="16" spans="1:5" ht="20.25" hidden="1" customHeight="1">
      <c r="A16" s="826"/>
      <c r="B16" s="550"/>
      <c r="C16" s="424"/>
      <c r="D16" s="490"/>
      <c r="E16" s="830"/>
    </row>
    <row r="17" spans="1:5" ht="20.25" hidden="1" customHeight="1">
      <c r="A17" s="826"/>
      <c r="B17" s="550"/>
      <c r="C17" s="424"/>
      <c r="D17" s="223"/>
      <c r="E17" s="828"/>
    </row>
    <row r="18" spans="1:5" ht="25.5" customHeight="1">
      <c r="A18" s="822" t="s">
        <v>114</v>
      </c>
      <c r="B18" s="547" t="s">
        <v>257</v>
      </c>
      <c r="C18" s="425">
        <f>SUM(C19:C25)</f>
        <v>236600000</v>
      </c>
      <c r="D18" s="426" t="s">
        <v>257</v>
      </c>
      <c r="E18" s="823">
        <f>SUM(E19:E25)</f>
        <v>236600000</v>
      </c>
    </row>
    <row r="19" spans="1:5" ht="25.5" customHeight="1">
      <c r="A19" s="824"/>
      <c r="B19" s="548" t="s">
        <v>112</v>
      </c>
      <c r="C19" s="327">
        <f>'다-1.자부담세입내역'!E7</f>
        <v>104400000</v>
      </c>
      <c r="D19" s="226" t="s">
        <v>104</v>
      </c>
      <c r="E19" s="825">
        <f>'라-1.자부담세출내역'!F8</f>
        <v>33495090</v>
      </c>
    </row>
    <row r="20" spans="1:5" ht="25.5" customHeight="1">
      <c r="A20" s="826"/>
      <c r="B20" s="548" t="s">
        <v>398</v>
      </c>
      <c r="C20" s="327">
        <f>'다-1.자부담세입내역'!E10</f>
        <v>0</v>
      </c>
      <c r="D20" s="417" t="s">
        <v>386</v>
      </c>
      <c r="E20" s="825">
        <f>'라-1.자부담세출내역'!F33+'라-1.자부담세출내역'!F38</f>
        <v>52804910</v>
      </c>
    </row>
    <row r="21" spans="1:5" ht="25.5" customHeight="1">
      <c r="A21" s="826"/>
      <c r="B21" s="549" t="s">
        <v>242</v>
      </c>
      <c r="C21" s="224">
        <f>'다-1.자부담세입내역'!E25</f>
        <v>20000000</v>
      </c>
      <c r="D21" s="222" t="s">
        <v>111</v>
      </c>
      <c r="E21" s="825">
        <f>'라-1.자부담세출내역'!F45</f>
        <v>29600000</v>
      </c>
    </row>
    <row r="22" spans="1:5" ht="25.5" customHeight="1">
      <c r="A22" s="826"/>
      <c r="B22" s="549" t="s">
        <v>913</v>
      </c>
      <c r="C22" s="224">
        <f>'다-1.자부담세입내역'!E27</f>
        <v>72654412</v>
      </c>
      <c r="D22" s="222" t="s">
        <v>107</v>
      </c>
      <c r="E22" s="825">
        <f>'라-1.자부담세출내역'!F50</f>
        <v>120700000</v>
      </c>
    </row>
    <row r="23" spans="1:5" ht="25.5" customHeight="1">
      <c r="A23" s="826"/>
      <c r="B23" s="549" t="s">
        <v>100</v>
      </c>
      <c r="C23" s="224">
        <f>'다-1.자부담세입내역'!E30</f>
        <v>39545588</v>
      </c>
      <c r="D23" s="222" t="s">
        <v>109</v>
      </c>
      <c r="E23" s="825">
        <f>'라-1.자부담세출내역'!F84</f>
        <v>0</v>
      </c>
    </row>
    <row r="24" spans="1:5" ht="20.25" hidden="1" customHeight="1">
      <c r="A24" s="826"/>
      <c r="B24" s="549"/>
      <c r="C24" s="224"/>
      <c r="D24" s="222"/>
      <c r="E24" s="825">
        <f>'라-1.자부담세출내역'!F86</f>
        <v>0</v>
      </c>
    </row>
    <row r="25" spans="1:5" ht="20.25" hidden="1" customHeight="1">
      <c r="A25" s="826"/>
      <c r="B25" s="549"/>
      <c r="C25" s="224"/>
      <c r="D25" s="223"/>
      <c r="E25" s="828">
        <f>'라-1.자부담세출내역'!F89</f>
        <v>0</v>
      </c>
    </row>
    <row r="26" spans="1:5" ht="25.5" customHeight="1">
      <c r="A26" s="822" t="s">
        <v>385</v>
      </c>
      <c r="B26" s="547" t="s">
        <v>257</v>
      </c>
      <c r="C26" s="425">
        <f>SUM(C27:C34)</f>
        <v>504600000</v>
      </c>
      <c r="D26" s="426" t="s">
        <v>257</v>
      </c>
      <c r="E26" s="823">
        <f>SUM(E27:E34)</f>
        <v>504600000</v>
      </c>
    </row>
    <row r="27" spans="1:5" ht="25.5" customHeight="1">
      <c r="A27" s="824"/>
      <c r="B27" s="548" t="s">
        <v>914</v>
      </c>
      <c r="C27" s="327">
        <f>'다-2.후원금세입내역 '!E18</f>
        <v>6100000</v>
      </c>
      <c r="D27" s="222" t="s">
        <v>110</v>
      </c>
      <c r="E27" s="825">
        <f>'라-2.후원금세출내역'!F8</f>
        <v>28061660</v>
      </c>
    </row>
    <row r="28" spans="1:5" ht="25.5" customHeight="1">
      <c r="A28" s="826"/>
      <c r="B28" s="549" t="s">
        <v>915</v>
      </c>
      <c r="C28" s="224">
        <f>'다-2.후원금세입내역 '!E19</f>
        <v>310000000</v>
      </c>
      <c r="D28" s="417" t="s">
        <v>386</v>
      </c>
      <c r="E28" s="825">
        <f>'라-2.후원금세출내역'!F33+'라-2.후원금세출내역'!F38</f>
        <v>170828340</v>
      </c>
    </row>
    <row r="29" spans="1:5" ht="25.5" customHeight="1">
      <c r="A29" s="826"/>
      <c r="B29" s="549" t="s">
        <v>424</v>
      </c>
      <c r="C29" s="224">
        <f>'다-2.후원금세입내역 '!E20</f>
        <v>1000000</v>
      </c>
      <c r="D29" s="222" t="s">
        <v>111</v>
      </c>
      <c r="E29" s="825">
        <f>'라-2.후원금세출내역'!F45</f>
        <v>185000000</v>
      </c>
    </row>
    <row r="30" spans="1:5" ht="25.5" customHeight="1">
      <c r="A30" s="826"/>
      <c r="B30" s="549" t="s">
        <v>916</v>
      </c>
      <c r="C30" s="224">
        <f>'다-2.후원금세입내역 '!E29</f>
        <v>186333104</v>
      </c>
      <c r="D30" s="222" t="s">
        <v>107</v>
      </c>
      <c r="E30" s="825">
        <f>'라-2.후원금세출내역'!F50</f>
        <v>119710000</v>
      </c>
    </row>
    <row r="31" spans="1:5" ht="25.5" customHeight="1" thickBot="1">
      <c r="A31" s="831"/>
      <c r="B31" s="832" t="s">
        <v>100</v>
      </c>
      <c r="C31" s="833">
        <f>'다-2.후원금세입내역 '!E33</f>
        <v>1166896</v>
      </c>
      <c r="D31" s="834" t="s">
        <v>424</v>
      </c>
      <c r="E31" s="835">
        <f>'라-2.후원금세출내역'!F84</f>
        <v>1000000</v>
      </c>
    </row>
    <row r="32" spans="1:5" ht="25.5" hidden="1" customHeight="1" thickBot="1">
      <c r="A32" s="831"/>
      <c r="B32" s="836"/>
      <c r="C32" s="837"/>
      <c r="D32" s="838"/>
      <c r="E32" s="839">
        <f>'라-2.후원금세출내역'!F87</f>
        <v>0</v>
      </c>
    </row>
    <row r="33" spans="1:5" ht="20.25" hidden="1" customHeight="1">
      <c r="A33" s="301"/>
      <c r="B33" s="550"/>
      <c r="C33" s="424"/>
      <c r="D33" s="817"/>
      <c r="E33" s="812">
        <f>'라-2.후원금세출내역'!F90</f>
        <v>0</v>
      </c>
    </row>
    <row r="34" spans="1:5" ht="20.25" hidden="1" customHeight="1">
      <c r="A34" s="302"/>
      <c r="B34" s="551"/>
      <c r="C34" s="530"/>
      <c r="D34" s="223"/>
      <c r="E34" s="225">
        <f>'라-2.후원금세출내역'!F93</f>
        <v>0</v>
      </c>
    </row>
    <row r="67" spans="5:5" hidden="1">
      <c r="E67" s="27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4" right="0.54" top="1" bottom="1" header="0.51" footer="0.5"/>
  <pageSetup paperSize="9" scale="9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92"/>
  <sheetViews>
    <sheetView topLeftCell="A16" workbookViewId="0">
      <selection activeCell="L28" sqref="L28"/>
    </sheetView>
  </sheetViews>
  <sheetFormatPr defaultRowHeight="13.5"/>
  <cols>
    <col min="1" max="2" width="6.77734375" style="384" customWidth="1"/>
    <col min="3" max="3" width="7.109375" style="384" customWidth="1"/>
    <col min="4" max="4" width="10.109375" style="47" customWidth="1"/>
    <col min="5" max="5" width="10.109375" style="46" customWidth="1"/>
    <col min="6" max="6" width="8.77734375" style="46" customWidth="1"/>
    <col min="7" max="7" width="14.33203125" style="46" customWidth="1"/>
    <col min="8" max="9" width="6.77734375" style="384" customWidth="1"/>
    <col min="10" max="10" width="8" style="384" customWidth="1"/>
    <col min="11" max="11" width="10.109375" style="47" customWidth="1"/>
    <col min="12" max="12" width="10.109375" style="46" customWidth="1"/>
    <col min="13" max="13" width="8.77734375" style="300" customWidth="1"/>
    <col min="14" max="14" width="14.33203125" style="46" customWidth="1"/>
    <col min="15" max="15" width="8.88671875" style="642"/>
    <col min="16" max="16" width="9.88671875" style="642" bestFit="1" customWidth="1"/>
    <col min="17" max="16384" width="8.88671875" style="642"/>
  </cols>
  <sheetData>
    <row r="1" spans="1:18" s="5" customFormat="1" ht="22.5" customHeight="1">
      <c r="A1" s="926" t="s">
        <v>917</v>
      </c>
      <c r="B1" s="927"/>
      <c r="C1" s="927"/>
      <c r="D1" s="43"/>
      <c r="E1" s="75"/>
      <c r="F1" s="44"/>
      <c r="G1" s="44"/>
      <c r="H1" s="926"/>
      <c r="I1" s="927"/>
      <c r="J1" s="927"/>
      <c r="K1" s="43"/>
      <c r="L1" s="44"/>
      <c r="M1" s="299"/>
      <c r="N1" s="44"/>
    </row>
    <row r="2" spans="1:18" s="5" customFormat="1" ht="18" customHeight="1" thickBot="1">
      <c r="A2" s="364"/>
      <c r="B2" s="364"/>
      <c r="C2" s="364"/>
      <c r="D2" s="43"/>
      <c r="E2" s="44"/>
      <c r="F2" s="44"/>
      <c r="G2" s="44"/>
      <c r="H2" s="364"/>
      <c r="I2" s="364"/>
      <c r="J2" s="364"/>
      <c r="K2" s="43"/>
      <c r="L2" s="44"/>
      <c r="M2" s="299"/>
      <c r="N2" s="160" t="s">
        <v>260</v>
      </c>
    </row>
    <row r="3" spans="1:18" s="18" customFormat="1" ht="23.25" customHeight="1">
      <c r="A3" s="1118" t="s">
        <v>921</v>
      </c>
      <c r="B3" s="1119"/>
      <c r="C3" s="1119"/>
      <c r="D3" s="1119"/>
      <c r="E3" s="1119"/>
      <c r="F3" s="1119"/>
      <c r="G3" s="1120"/>
      <c r="H3" s="1118" t="s">
        <v>276</v>
      </c>
      <c r="I3" s="1119"/>
      <c r="J3" s="1119"/>
      <c r="K3" s="1119"/>
      <c r="L3" s="1119"/>
      <c r="M3" s="1119"/>
      <c r="N3" s="1120"/>
    </row>
    <row r="4" spans="1:18" s="17" customFormat="1" ht="19.5" customHeight="1">
      <c r="A4" s="1121" t="s">
        <v>4</v>
      </c>
      <c r="B4" s="912"/>
      <c r="C4" s="912"/>
      <c r="D4" s="916" t="s">
        <v>800</v>
      </c>
      <c r="E4" s="916" t="s">
        <v>801</v>
      </c>
      <c r="F4" s="1122" t="s">
        <v>918</v>
      </c>
      <c r="G4" s="918" t="s">
        <v>919</v>
      </c>
      <c r="H4" s="928" t="s">
        <v>4</v>
      </c>
      <c r="I4" s="912"/>
      <c r="J4" s="912"/>
      <c r="K4" s="938" t="str">
        <f>D4</f>
        <v>2015년도
1차추경
( A )</v>
      </c>
      <c r="L4" s="936" t="str">
        <f>E4</f>
        <v>2015년도
2차추경
( B )</v>
      </c>
      <c r="M4" s="1122" t="s">
        <v>920</v>
      </c>
      <c r="N4" s="1124" t="s">
        <v>919</v>
      </c>
    </row>
    <row r="5" spans="1:18" s="17" customFormat="1" ht="19.5" customHeight="1" thickBot="1">
      <c r="A5" s="840" t="s">
        <v>1</v>
      </c>
      <c r="B5" s="362" t="s">
        <v>2</v>
      </c>
      <c r="C5" s="362" t="s">
        <v>3</v>
      </c>
      <c r="D5" s="917"/>
      <c r="E5" s="917"/>
      <c r="F5" s="1123"/>
      <c r="G5" s="919"/>
      <c r="H5" s="385" t="s">
        <v>1</v>
      </c>
      <c r="I5" s="362" t="s">
        <v>2</v>
      </c>
      <c r="J5" s="362" t="s">
        <v>3</v>
      </c>
      <c r="K5" s="939"/>
      <c r="L5" s="937"/>
      <c r="M5" s="1123"/>
      <c r="N5" s="1125"/>
    </row>
    <row r="6" spans="1:18" s="278" customFormat="1" ht="15.75" customHeight="1" thickTop="1">
      <c r="A6" s="1126" t="s">
        <v>35</v>
      </c>
      <c r="B6" s="921"/>
      <c r="C6" s="921"/>
      <c r="D6" s="393">
        <f>D7+D13+D16+D36+D39+D43+D10+D30</f>
        <v>3123200000</v>
      </c>
      <c r="E6" s="393">
        <f>E7+E13+E16+E36+E39+E43+E10+E30</f>
        <v>3126390000</v>
      </c>
      <c r="F6" s="819">
        <f>E6-D6</f>
        <v>3190000</v>
      </c>
      <c r="G6" s="394"/>
      <c r="H6" s="920" t="s">
        <v>35</v>
      </c>
      <c r="I6" s="921"/>
      <c r="J6" s="921"/>
      <c r="K6" s="395">
        <f>SUM(K7,K28,K33,K52,K58,K61,K64)</f>
        <v>3123200000</v>
      </c>
      <c r="L6" s="395">
        <f>SUM(L7,L28,L33,L52,L58,L61,L64)</f>
        <v>3118890000</v>
      </c>
      <c r="M6" s="818">
        <f>L6-K6</f>
        <v>-4310000</v>
      </c>
      <c r="N6" s="841"/>
      <c r="P6" s="560"/>
    </row>
    <row r="7" spans="1:18" s="241" customFormat="1" ht="15.75" customHeight="1">
      <c r="A7" s="842" t="s">
        <v>254</v>
      </c>
      <c r="B7" s="915" t="s">
        <v>30</v>
      </c>
      <c r="C7" s="915"/>
      <c r="D7" s="397">
        <v>104400000</v>
      </c>
      <c r="E7" s="397">
        <f t="shared" ref="E7:E8" si="0">E8</f>
        <v>104400000</v>
      </c>
      <c r="F7" s="815">
        <f>E7-D7</f>
        <v>0</v>
      </c>
      <c r="G7" s="399"/>
      <c r="H7" s="387" t="s">
        <v>10</v>
      </c>
      <c r="I7" s="915" t="s">
        <v>30</v>
      </c>
      <c r="J7" s="915"/>
      <c r="K7" s="397">
        <f>SUM(K8,K16,K21)</f>
        <v>2243140480</v>
      </c>
      <c r="L7" s="397">
        <f>SUM(L8,L16,L21)</f>
        <v>2172551560</v>
      </c>
      <c r="M7" s="820">
        <f>L7-K7</f>
        <v>-70588920</v>
      </c>
      <c r="N7" s="843"/>
      <c r="R7" s="241">
        <v>1194682000</v>
      </c>
    </row>
    <row r="8" spans="1:18" s="241" customFormat="1" ht="15.75" customHeight="1">
      <c r="A8" s="844"/>
      <c r="B8" s="367" t="s">
        <v>256</v>
      </c>
      <c r="C8" s="801" t="s">
        <v>7</v>
      </c>
      <c r="D8" s="397">
        <v>104400000</v>
      </c>
      <c r="E8" s="397">
        <f t="shared" si="0"/>
        <v>104400000</v>
      </c>
      <c r="F8" s="815">
        <f t="shared" ref="F8:F47" si="1">E8-D8</f>
        <v>0</v>
      </c>
      <c r="G8" s="399"/>
      <c r="H8" s="388"/>
      <c r="I8" s="801" t="s">
        <v>56</v>
      </c>
      <c r="J8" s="801" t="s">
        <v>7</v>
      </c>
      <c r="K8" s="397">
        <f>SUM(K9:K15)</f>
        <v>1955219480</v>
      </c>
      <c r="L8" s="397">
        <f>SUM(L9:L15)</f>
        <v>1889998310</v>
      </c>
      <c r="M8" s="820">
        <f t="shared" ref="M8:M66" si="2">L8-K8</f>
        <v>-65221170</v>
      </c>
      <c r="N8" s="843"/>
    </row>
    <row r="9" spans="1:18" s="241" customFormat="1" ht="15.75" customHeight="1">
      <c r="A9" s="845"/>
      <c r="B9" s="801"/>
      <c r="C9" s="367" t="s">
        <v>256</v>
      </c>
      <c r="D9" s="397">
        <v>104400000</v>
      </c>
      <c r="E9" s="397">
        <f>'다-1.자부담세입내역'!E9</f>
        <v>104400000</v>
      </c>
      <c r="F9" s="815">
        <f t="shared" si="1"/>
        <v>0</v>
      </c>
      <c r="G9" s="399"/>
      <c r="H9" s="386"/>
      <c r="I9" s="793"/>
      <c r="J9" s="801" t="s">
        <v>11</v>
      </c>
      <c r="K9" s="397">
        <f>라.보조금세출내역!E9+'라-2.후원금세출내역'!E9</f>
        <v>1158682000</v>
      </c>
      <c r="L9" s="397">
        <f>라.보조금세출내역!F9+'라-2.후원금세출내역'!F9</f>
        <v>1141381000</v>
      </c>
      <c r="M9" s="820">
        <f t="shared" si="2"/>
        <v>-17301000</v>
      </c>
      <c r="N9" s="843" t="s">
        <v>928</v>
      </c>
    </row>
    <row r="10" spans="1:18" s="241" customFormat="1" ht="15.75" customHeight="1">
      <c r="A10" s="846" t="s">
        <v>387</v>
      </c>
      <c r="B10" s="915" t="s">
        <v>187</v>
      </c>
      <c r="C10" s="915"/>
      <c r="D10" s="397">
        <v>0</v>
      </c>
      <c r="E10" s="397">
        <f t="shared" ref="E10:E11" si="3">E11</f>
        <v>0</v>
      </c>
      <c r="F10" s="815">
        <f t="shared" si="1"/>
        <v>0</v>
      </c>
      <c r="G10" s="399"/>
      <c r="H10" s="386"/>
      <c r="I10" s="795"/>
      <c r="J10" s="801" t="s">
        <v>12</v>
      </c>
      <c r="K10" s="397">
        <f>라.보조금세출내역!E10+'라-2.후원금세출내역'!E10</f>
        <v>0</v>
      </c>
      <c r="L10" s="397">
        <f>라.보조금세출내역!F10+'라-2.후원금세출내역'!F10</f>
        <v>0</v>
      </c>
      <c r="M10" s="820">
        <f t="shared" si="2"/>
        <v>0</v>
      </c>
      <c r="N10" s="843"/>
    </row>
    <row r="11" spans="1:18" s="241" customFormat="1" ht="15.75" customHeight="1">
      <c r="A11" s="844"/>
      <c r="B11" s="801" t="s">
        <v>387</v>
      </c>
      <c r="C11" s="801" t="s">
        <v>7</v>
      </c>
      <c r="D11" s="397">
        <v>0</v>
      </c>
      <c r="E11" s="397">
        <f t="shared" si="3"/>
        <v>0</v>
      </c>
      <c r="F11" s="815">
        <f t="shared" si="1"/>
        <v>0</v>
      </c>
      <c r="G11" s="399"/>
      <c r="H11" s="386"/>
      <c r="I11" s="795"/>
      <c r="J11" s="801" t="s">
        <v>277</v>
      </c>
      <c r="K11" s="397">
        <f>라.보조금세출내역!E11+'라-2.후원금세출내역'!E11</f>
        <v>9600000</v>
      </c>
      <c r="L11" s="397">
        <f>라.보조금세출내역!F11+'라-2.후원금세출내역'!F11</f>
        <v>2000000</v>
      </c>
      <c r="M11" s="820">
        <f t="shared" si="2"/>
        <v>-7600000</v>
      </c>
      <c r="N11" s="843"/>
    </row>
    <row r="12" spans="1:18" s="241" customFormat="1" ht="15.75" customHeight="1">
      <c r="A12" s="845"/>
      <c r="B12" s="801"/>
      <c r="C12" s="801" t="s">
        <v>388</v>
      </c>
      <c r="D12" s="397">
        <v>0</v>
      </c>
      <c r="E12" s="397">
        <f>'다-1.자부담세입내역'!E12</f>
        <v>0</v>
      </c>
      <c r="F12" s="815">
        <f t="shared" si="1"/>
        <v>0</v>
      </c>
      <c r="G12" s="399"/>
      <c r="H12" s="869"/>
      <c r="I12" s="870"/>
      <c r="J12" s="871" t="s">
        <v>14</v>
      </c>
      <c r="K12" s="872">
        <f>라.보조금세출내역!E16+'라-2.후원금세출내역'!E12</f>
        <v>437179850</v>
      </c>
      <c r="L12" s="872">
        <f>라.보조금세출내역!F16+'라-2.후원금세출내역'!F12</f>
        <v>399031500</v>
      </c>
      <c r="M12" s="873">
        <f t="shared" si="2"/>
        <v>-38148350</v>
      </c>
      <c r="N12" s="874" t="s">
        <v>929</v>
      </c>
    </row>
    <row r="13" spans="1:18" s="241" customFormat="1" ht="15.75" customHeight="1">
      <c r="A13" s="846" t="s">
        <v>50</v>
      </c>
      <c r="B13" s="915" t="s">
        <v>187</v>
      </c>
      <c r="C13" s="915"/>
      <c r="D13" s="397">
        <v>0</v>
      </c>
      <c r="E13" s="397">
        <f t="shared" ref="E13:E14" si="4">E14</f>
        <v>0</v>
      </c>
      <c r="F13" s="815">
        <f t="shared" si="1"/>
        <v>0</v>
      </c>
      <c r="G13" s="399"/>
      <c r="H13" s="386"/>
      <c r="I13" s="795"/>
      <c r="J13" s="376" t="s">
        <v>278</v>
      </c>
      <c r="K13" s="397">
        <f>라.보조금세출내역!E26+'라-2.후원금세출내역'!E26</f>
        <v>144744530</v>
      </c>
      <c r="L13" s="397">
        <f>라.보조금세출내역!F26+'라-2.후원금세출내역'!F26+'라-1.자부담세출내역'!F26</f>
        <v>140594430</v>
      </c>
      <c r="M13" s="820">
        <f t="shared" si="2"/>
        <v>-4150100</v>
      </c>
      <c r="N13" s="843"/>
    </row>
    <row r="14" spans="1:18" s="241" customFormat="1" ht="15.75" customHeight="1">
      <c r="A14" s="844"/>
      <c r="B14" s="801" t="s">
        <v>101</v>
      </c>
      <c r="C14" s="801" t="s">
        <v>7</v>
      </c>
      <c r="D14" s="397">
        <v>0</v>
      </c>
      <c r="E14" s="397">
        <f t="shared" si="4"/>
        <v>0</v>
      </c>
      <c r="F14" s="815">
        <f t="shared" si="1"/>
        <v>0</v>
      </c>
      <c r="G14" s="399"/>
      <c r="H14" s="386"/>
      <c r="I14" s="795"/>
      <c r="J14" s="379" t="s">
        <v>279</v>
      </c>
      <c r="K14" s="397">
        <f>라.보조금세출내역!E27+'라-2.후원금세출내역'!E27</f>
        <v>160813100</v>
      </c>
      <c r="L14" s="397">
        <f>라.보조금세출내역!F27+'라-2.후원금세출내역'!F27+'라-1.자부담세출내역'!F27</f>
        <v>156991380</v>
      </c>
      <c r="M14" s="820">
        <f t="shared" si="2"/>
        <v>-3821720</v>
      </c>
      <c r="N14" s="843"/>
    </row>
    <row r="15" spans="1:18" s="241" customFormat="1" ht="15.75" customHeight="1">
      <c r="A15" s="845"/>
      <c r="B15" s="801"/>
      <c r="C15" s="801" t="s">
        <v>101</v>
      </c>
      <c r="D15" s="397">
        <v>0</v>
      </c>
      <c r="E15" s="397">
        <f>다.보조금세입내역!F12+'다-1.자부담세입내역'!E15</f>
        <v>0</v>
      </c>
      <c r="F15" s="815">
        <f t="shared" si="1"/>
        <v>0</v>
      </c>
      <c r="G15" s="399"/>
      <c r="H15" s="386"/>
      <c r="I15" s="794"/>
      <c r="J15" s="367" t="s">
        <v>119</v>
      </c>
      <c r="K15" s="397">
        <f>라.보조금세출내역!E32+'라-1.자부담세출내역'!E32+'라-2.후원금세출내역'!E32</f>
        <v>44200000</v>
      </c>
      <c r="L15" s="397">
        <f>라.보조금세출내역!F32+'라-1.자부담세출내역'!F32+'라-2.후원금세출내역'!F32</f>
        <v>50000000</v>
      </c>
      <c r="M15" s="820">
        <f t="shared" si="2"/>
        <v>5800000</v>
      </c>
      <c r="N15" s="843" t="s">
        <v>926</v>
      </c>
    </row>
    <row r="16" spans="1:18" s="241" customFormat="1" ht="15.75" customHeight="1">
      <c r="A16" s="846" t="s">
        <v>48</v>
      </c>
      <c r="B16" s="915" t="s">
        <v>30</v>
      </c>
      <c r="C16" s="915"/>
      <c r="D16" s="402">
        <f>D17+D21+D23+D28</f>
        <v>2355742860</v>
      </c>
      <c r="E16" s="402">
        <f>E17+E21+E23+E28</f>
        <v>2358791352</v>
      </c>
      <c r="F16" s="815">
        <f t="shared" si="1"/>
        <v>3048492</v>
      </c>
      <c r="G16" s="404"/>
      <c r="H16" s="386"/>
      <c r="I16" s="801" t="s">
        <v>57</v>
      </c>
      <c r="J16" s="801" t="s">
        <v>7</v>
      </c>
      <c r="K16" s="397">
        <f>SUM(K17:K20)</f>
        <v>30000000</v>
      </c>
      <c r="L16" s="397">
        <f>SUM(L17:L20)</f>
        <v>29000000</v>
      </c>
      <c r="M16" s="820">
        <f t="shared" si="2"/>
        <v>-1000000</v>
      </c>
      <c r="N16" s="843"/>
    </row>
    <row r="17" spans="1:14" s="241" customFormat="1" ht="15.75" customHeight="1">
      <c r="A17" s="844"/>
      <c r="B17" s="367" t="str">
        <f>다.보조금세입내역!B14</f>
        <v>보조금수입</v>
      </c>
      <c r="C17" s="801" t="s">
        <v>7</v>
      </c>
      <c r="D17" s="402">
        <f>SUM(D18:D20)</f>
        <v>2355742860</v>
      </c>
      <c r="E17" s="402">
        <f>SUM(E18:E20)</f>
        <v>2358791352</v>
      </c>
      <c r="F17" s="815">
        <f t="shared" si="1"/>
        <v>3048492</v>
      </c>
      <c r="G17" s="404"/>
      <c r="H17" s="386"/>
      <c r="I17" s="793"/>
      <c r="J17" s="801" t="s">
        <v>121</v>
      </c>
      <c r="K17" s="397">
        <v>0</v>
      </c>
      <c r="L17" s="397">
        <v>0</v>
      </c>
      <c r="M17" s="820">
        <f t="shared" si="2"/>
        <v>0</v>
      </c>
      <c r="N17" s="843"/>
    </row>
    <row r="18" spans="1:14" s="241" customFormat="1" ht="15.75" customHeight="1">
      <c r="A18" s="847"/>
      <c r="B18" s="372"/>
      <c r="C18" s="801" t="str">
        <f>다.보조금세입내역!C15</f>
        <v>국고보조금</v>
      </c>
      <c r="D18" s="402">
        <f>다.보조금세입내역!E15</f>
        <v>1477837788</v>
      </c>
      <c r="E18" s="402">
        <f>다.보조금세입내역!F15</f>
        <v>1444358322.4000001</v>
      </c>
      <c r="F18" s="815">
        <f t="shared" si="1"/>
        <v>-33479465.599999905</v>
      </c>
      <c r="G18" s="404" t="s">
        <v>922</v>
      </c>
      <c r="H18" s="869"/>
      <c r="I18" s="870"/>
      <c r="J18" s="871" t="s">
        <v>16</v>
      </c>
      <c r="K18" s="872">
        <f>'라-1.자부담세출내역'!E35</f>
        <v>0</v>
      </c>
      <c r="L18" s="872">
        <f>'라-1.자부담세출내역'!F35</f>
        <v>0</v>
      </c>
      <c r="M18" s="873">
        <f t="shared" si="2"/>
        <v>0</v>
      </c>
      <c r="N18" s="874"/>
    </row>
    <row r="19" spans="1:14" s="241" customFormat="1" ht="15.75" customHeight="1">
      <c r="A19" s="847"/>
      <c r="B19" s="373"/>
      <c r="C19" s="801" t="str">
        <f>다.보조금세입내역!C19</f>
        <v>시도(군)보조금</v>
      </c>
      <c r="D19" s="402">
        <f>다.보조금세입내역!E19</f>
        <v>872615072</v>
      </c>
      <c r="E19" s="402">
        <f>다.보조금세입내역!F19</f>
        <v>909143029.60000002</v>
      </c>
      <c r="F19" s="815">
        <f t="shared" si="1"/>
        <v>36527957.600000024</v>
      </c>
      <c r="G19" s="404" t="s">
        <v>922</v>
      </c>
      <c r="H19" s="386"/>
      <c r="I19" s="795"/>
      <c r="J19" s="801" t="s">
        <v>214</v>
      </c>
      <c r="K19" s="397">
        <f>'라-1.자부담세출내역'!E36+'라-2.후원금세출내역'!E36</f>
        <v>26000000</v>
      </c>
      <c r="L19" s="397">
        <f>'라-1.자부담세출내역'!F36+'라-2.후원금세출내역'!F36</f>
        <v>25000000</v>
      </c>
      <c r="M19" s="820">
        <f t="shared" si="2"/>
        <v>-1000000</v>
      </c>
      <c r="N19" s="843" t="s">
        <v>927</v>
      </c>
    </row>
    <row r="20" spans="1:14" s="241" customFormat="1" ht="15.75" customHeight="1">
      <c r="A20" s="847"/>
      <c r="B20" s="374"/>
      <c r="C20" s="801" t="str">
        <f>다.보조금세입내역!C28</f>
        <v>기타보조금</v>
      </c>
      <c r="D20" s="402">
        <f>다.보조금세입내역!E28</f>
        <v>5290000</v>
      </c>
      <c r="E20" s="402">
        <f>다.보조금세입내역!F28</f>
        <v>5290000</v>
      </c>
      <c r="F20" s="815">
        <f t="shared" si="1"/>
        <v>0</v>
      </c>
      <c r="G20" s="404"/>
      <c r="H20" s="386"/>
      <c r="I20" s="794"/>
      <c r="J20" s="801" t="s">
        <v>123</v>
      </c>
      <c r="K20" s="397">
        <f>라.보조금세출내역!E36+'라-1.자부담세출내역'!E37+'라-2.후원금세출내역'!E37</f>
        <v>4000000</v>
      </c>
      <c r="L20" s="397">
        <f>라.보조금세출내역!F36+'라-1.자부담세출내역'!F37+'라-2.후원금세출내역'!F37</f>
        <v>4000000</v>
      </c>
      <c r="M20" s="820">
        <f t="shared" si="2"/>
        <v>0</v>
      </c>
      <c r="N20" s="843"/>
    </row>
    <row r="21" spans="1:14" s="241" customFormat="1" ht="15.75" customHeight="1">
      <c r="A21" s="847"/>
      <c r="B21" s="370"/>
      <c r="C21" s="801"/>
      <c r="D21" s="402">
        <v>0</v>
      </c>
      <c r="E21" s="402">
        <v>0</v>
      </c>
      <c r="F21" s="815">
        <f t="shared" si="1"/>
        <v>0</v>
      </c>
      <c r="G21" s="404"/>
      <c r="H21" s="386"/>
      <c r="I21" s="801" t="s">
        <v>17</v>
      </c>
      <c r="J21" s="801" t="s">
        <v>7</v>
      </c>
      <c r="K21" s="397">
        <f>SUM(K22:K27)</f>
        <v>257921000</v>
      </c>
      <c r="L21" s="397">
        <f>SUM(L22:L27)</f>
        <v>253553250</v>
      </c>
      <c r="M21" s="820">
        <f t="shared" si="2"/>
        <v>-4367750</v>
      </c>
      <c r="N21" s="843"/>
    </row>
    <row r="22" spans="1:14" s="241" customFormat="1" ht="15.75" customHeight="1">
      <c r="A22" s="847"/>
      <c r="B22" s="801"/>
      <c r="C22" s="801"/>
      <c r="D22" s="402">
        <v>0</v>
      </c>
      <c r="E22" s="402">
        <v>0</v>
      </c>
      <c r="F22" s="815">
        <f t="shared" si="1"/>
        <v>0</v>
      </c>
      <c r="G22" s="404"/>
      <c r="H22" s="386"/>
      <c r="I22" s="793"/>
      <c r="J22" s="801" t="s">
        <v>18</v>
      </c>
      <c r="K22" s="397">
        <f>라.보조금세출내역!E38+'라-2.후원금세출내역'!E39</f>
        <v>10000000</v>
      </c>
      <c r="L22" s="397">
        <f>라.보조금세출내역!F38+'라-2.후원금세출내역'!F39</f>
        <v>10000000</v>
      </c>
      <c r="M22" s="820">
        <f t="shared" si="2"/>
        <v>0</v>
      </c>
      <c r="N22" s="843"/>
    </row>
    <row r="23" spans="1:14" s="241" customFormat="1" ht="15.75" customHeight="1">
      <c r="A23" s="847"/>
      <c r="B23" s="801"/>
      <c r="C23" s="801"/>
      <c r="D23" s="402">
        <v>0</v>
      </c>
      <c r="E23" s="402">
        <f>SUM(E24:E27)</f>
        <v>0</v>
      </c>
      <c r="F23" s="815">
        <f t="shared" si="1"/>
        <v>0</v>
      </c>
      <c r="G23" s="404"/>
      <c r="H23" s="386"/>
      <c r="I23" s="795"/>
      <c r="J23" s="370" t="s">
        <v>126</v>
      </c>
      <c r="K23" s="397">
        <f>라.보조금세출내역!E39+'라-1.자부담세출내역'!E40+'라-2.후원금세출내역'!E40</f>
        <v>39390000</v>
      </c>
      <c r="L23" s="397">
        <f>라.보조금세출내역!F39+'라-1.자부담세출내역'!F40+'라-2.후원금세출내역'!F40</f>
        <v>39922250</v>
      </c>
      <c r="M23" s="820">
        <f t="shared" si="2"/>
        <v>532250</v>
      </c>
      <c r="N23" s="843" t="s">
        <v>926</v>
      </c>
    </row>
    <row r="24" spans="1:14" s="283" customFormat="1" ht="15.75" customHeight="1">
      <c r="A24" s="847"/>
      <c r="B24" s="793"/>
      <c r="C24" s="376"/>
      <c r="D24" s="402">
        <v>0</v>
      </c>
      <c r="E24" s="402">
        <f>다.보조금세입내역!F31</f>
        <v>0</v>
      </c>
      <c r="F24" s="815">
        <f t="shared" si="1"/>
        <v>0</v>
      </c>
      <c r="G24" s="404"/>
      <c r="H24" s="386"/>
      <c r="I24" s="795"/>
      <c r="J24" s="801" t="s">
        <v>19</v>
      </c>
      <c r="K24" s="397">
        <f>라.보조금세출내역!E40+'라-1.자부담세출내역'!E41+'라-2.후원금세출내역'!E41</f>
        <v>118131000</v>
      </c>
      <c r="L24" s="397">
        <f>라.보조금세출내역!F40+'라-1.자부담세출내역'!F41+'라-2.후원금세출내역'!F41</f>
        <v>118131000</v>
      </c>
      <c r="M24" s="820">
        <f t="shared" si="2"/>
        <v>0</v>
      </c>
      <c r="N24" s="843"/>
    </row>
    <row r="25" spans="1:14" s="283" customFormat="1" ht="15.75" customHeight="1">
      <c r="A25" s="847"/>
      <c r="B25" s="795"/>
      <c r="C25" s="376"/>
      <c r="D25" s="402">
        <v>0</v>
      </c>
      <c r="E25" s="402">
        <f>다.보조금세입내역!F32</f>
        <v>0</v>
      </c>
      <c r="F25" s="815">
        <f t="shared" si="1"/>
        <v>0</v>
      </c>
      <c r="G25" s="404"/>
      <c r="H25" s="386"/>
      <c r="I25" s="795"/>
      <c r="J25" s="801" t="s">
        <v>20</v>
      </c>
      <c r="K25" s="397">
        <f>라.보조금세출내역!E41+'라-1.자부담세출내역'!E42+'라-2.후원금세출내역'!E42</f>
        <v>21000000</v>
      </c>
      <c r="L25" s="397">
        <f>라.보조금세출내역!F41+'라-1.자부담세출내역'!F42+'라-2.후원금세출내역'!F42</f>
        <v>19000000</v>
      </c>
      <c r="M25" s="820">
        <f t="shared" si="2"/>
        <v>-2000000</v>
      </c>
      <c r="N25" s="843" t="s">
        <v>927</v>
      </c>
    </row>
    <row r="26" spans="1:14" s="278" customFormat="1" ht="15.75" customHeight="1">
      <c r="A26" s="847"/>
      <c r="B26" s="795"/>
      <c r="C26" s="801"/>
      <c r="D26" s="402">
        <v>0</v>
      </c>
      <c r="E26" s="402">
        <f>다.보조금세입내역!F33</f>
        <v>0</v>
      </c>
      <c r="F26" s="815">
        <f t="shared" si="1"/>
        <v>0</v>
      </c>
      <c r="G26" s="404"/>
      <c r="H26" s="386"/>
      <c r="I26" s="795"/>
      <c r="J26" s="801" t="s">
        <v>21</v>
      </c>
      <c r="K26" s="397">
        <f>라.보조금세출내역!E45+'라-1.자부담세출내역'!E43+'라-2.후원금세출내역'!E43</f>
        <v>53400000</v>
      </c>
      <c r="L26" s="397">
        <f>라.보조금세출내역!F45+'라-1.자부담세출내역'!F43+'라-2.후원금세출내역'!F43</f>
        <v>51000000</v>
      </c>
      <c r="M26" s="820">
        <f t="shared" si="2"/>
        <v>-2400000</v>
      </c>
      <c r="N26" s="843" t="s">
        <v>927</v>
      </c>
    </row>
    <row r="27" spans="1:14" s="278" customFormat="1" ht="15.75" customHeight="1">
      <c r="A27" s="847"/>
      <c r="B27" s="794"/>
      <c r="C27" s="801"/>
      <c r="D27" s="402">
        <v>0</v>
      </c>
      <c r="E27" s="402">
        <f>다.보조금세입내역!F34</f>
        <v>0</v>
      </c>
      <c r="F27" s="815">
        <f t="shared" si="1"/>
        <v>0</v>
      </c>
      <c r="G27" s="404"/>
      <c r="H27" s="389"/>
      <c r="I27" s="794"/>
      <c r="J27" s="801" t="s">
        <v>130</v>
      </c>
      <c r="K27" s="397">
        <f>라.보조금세출내역!E46+'라-1.자부담세출내역'!E44+'라-2.후원금세출내역'!E44</f>
        <v>16000000</v>
      </c>
      <c r="L27" s="397">
        <f>라.보조금세출내역!F46+'라-1.자부담세출내역'!F44+'라-2.후원금세출내역'!F44</f>
        <v>15500000</v>
      </c>
      <c r="M27" s="820">
        <f t="shared" si="2"/>
        <v>-500000</v>
      </c>
      <c r="N27" s="843"/>
    </row>
    <row r="28" spans="1:14" s="241" customFormat="1" ht="15.75" customHeight="1">
      <c r="A28" s="847"/>
      <c r="B28" s="801"/>
      <c r="C28" s="801"/>
      <c r="D28" s="402">
        <v>0</v>
      </c>
      <c r="E28" s="402">
        <f>E29</f>
        <v>0</v>
      </c>
      <c r="F28" s="815">
        <f t="shared" si="1"/>
        <v>0</v>
      </c>
      <c r="G28" s="404"/>
      <c r="H28" s="387" t="s">
        <v>111</v>
      </c>
      <c r="I28" s="915" t="s">
        <v>30</v>
      </c>
      <c r="J28" s="915"/>
      <c r="K28" s="397">
        <f>SUM(K29)</f>
        <v>206400000</v>
      </c>
      <c r="L28" s="397">
        <f>SUM(L29)</f>
        <v>223900000</v>
      </c>
      <c r="M28" s="820">
        <f t="shared" si="2"/>
        <v>17500000</v>
      </c>
      <c r="N28" s="843"/>
    </row>
    <row r="29" spans="1:14" s="241" customFormat="1" ht="15.75" customHeight="1">
      <c r="A29" s="845"/>
      <c r="B29" s="801"/>
      <c r="C29" s="801"/>
      <c r="D29" s="402">
        <v>0</v>
      </c>
      <c r="E29" s="402">
        <f>'다-2.후원금세입내역 '!E14</f>
        <v>0</v>
      </c>
      <c r="F29" s="815">
        <f t="shared" si="1"/>
        <v>0</v>
      </c>
      <c r="G29" s="404"/>
      <c r="H29" s="388"/>
      <c r="I29" s="801" t="s">
        <v>23</v>
      </c>
      <c r="J29" s="801" t="s">
        <v>7</v>
      </c>
      <c r="K29" s="397">
        <f>SUM(K30:K32)</f>
        <v>206400000</v>
      </c>
      <c r="L29" s="397">
        <f>SUM(L30:L32)</f>
        <v>223900000</v>
      </c>
      <c r="M29" s="820">
        <f t="shared" si="2"/>
        <v>17500000</v>
      </c>
      <c r="N29" s="843"/>
    </row>
    <row r="30" spans="1:14" s="241" customFormat="1" ht="15.75" customHeight="1">
      <c r="A30" s="846" t="s">
        <v>396</v>
      </c>
      <c r="B30" s="915" t="s">
        <v>187</v>
      </c>
      <c r="C30" s="915"/>
      <c r="D30" s="402">
        <f>D31+D34</f>
        <v>317100000</v>
      </c>
      <c r="E30" s="402">
        <f>E31+E34</f>
        <v>317100000</v>
      </c>
      <c r="F30" s="815">
        <f t="shared" si="1"/>
        <v>0</v>
      </c>
      <c r="G30" s="404"/>
      <c r="H30" s="386"/>
      <c r="I30" s="793"/>
      <c r="J30" s="801" t="s">
        <v>23</v>
      </c>
      <c r="K30" s="397">
        <f>라.보조금세출내역!E49+'라-1.자부담세출내역'!E47+'라-2.후원금세출내역'!E47</f>
        <v>16000000</v>
      </c>
      <c r="L30" s="397">
        <f>라.보조금세출내역!F49+'라-1.자부담세출내역'!F47+'라-2.후원금세출내역'!F47</f>
        <v>9000000</v>
      </c>
      <c r="M30" s="820">
        <f t="shared" si="2"/>
        <v>-7000000</v>
      </c>
      <c r="N30" s="843" t="s">
        <v>927</v>
      </c>
    </row>
    <row r="31" spans="1:14" s="241" customFormat="1" ht="15.75" customHeight="1">
      <c r="A31" s="844"/>
      <c r="B31" s="801" t="s">
        <v>102</v>
      </c>
      <c r="C31" s="801" t="s">
        <v>7</v>
      </c>
      <c r="D31" s="402">
        <f>SUM(D32:D33)</f>
        <v>316100000</v>
      </c>
      <c r="E31" s="402">
        <f>SUM(E32:E33)</f>
        <v>316100000</v>
      </c>
      <c r="F31" s="815">
        <f t="shared" si="1"/>
        <v>0</v>
      </c>
      <c r="G31" s="404"/>
      <c r="H31" s="386"/>
      <c r="I31" s="795"/>
      <c r="J31" s="801" t="s">
        <v>58</v>
      </c>
      <c r="K31" s="397">
        <f>라.보조금세출내역!E50+'라-1.자부담세출내역'!E48+'라-2.후원금세출내역'!E48</f>
        <v>40000000</v>
      </c>
      <c r="L31" s="397">
        <f>라.보조금세출내역!F50+'라-1.자부담세출내역'!F48+'라-2.후원금세출내역'!F48</f>
        <v>24000000</v>
      </c>
      <c r="M31" s="820">
        <f t="shared" si="2"/>
        <v>-16000000</v>
      </c>
      <c r="N31" s="843" t="s">
        <v>927</v>
      </c>
    </row>
    <row r="32" spans="1:14" s="241" customFormat="1" ht="15.75" customHeight="1">
      <c r="A32" s="847"/>
      <c r="B32" s="793"/>
      <c r="C32" s="801" t="s">
        <v>394</v>
      </c>
      <c r="D32" s="402">
        <f>'다-2.후원금세입내역 '!D18</f>
        <v>6100000</v>
      </c>
      <c r="E32" s="402">
        <f>'다-2.후원금세입내역 '!E18</f>
        <v>6100000</v>
      </c>
      <c r="F32" s="815">
        <f t="shared" si="1"/>
        <v>0</v>
      </c>
      <c r="G32" s="404"/>
      <c r="H32" s="389"/>
      <c r="I32" s="794"/>
      <c r="J32" s="370" t="s">
        <v>133</v>
      </c>
      <c r="K32" s="397">
        <f>라.보조금세출내역!E51+'라-1.자부담세출내역'!E49+'라-2.후원금세출내역'!E49</f>
        <v>150400000</v>
      </c>
      <c r="L32" s="397">
        <f>라.보조금세출내역!F51+'라-1.자부담세출내역'!F49+'라-2.후원금세출내역'!F49</f>
        <v>190900000</v>
      </c>
      <c r="M32" s="820">
        <f t="shared" si="2"/>
        <v>40500000</v>
      </c>
      <c r="N32" s="843" t="s">
        <v>926</v>
      </c>
    </row>
    <row r="33" spans="1:14" s="241" customFormat="1" ht="15.75" customHeight="1">
      <c r="A33" s="847"/>
      <c r="B33" s="794"/>
      <c r="C33" s="801" t="s">
        <v>395</v>
      </c>
      <c r="D33" s="402">
        <v>310000000</v>
      </c>
      <c r="E33" s="402">
        <f>'다-2.후원금세입내역 '!E19</f>
        <v>310000000</v>
      </c>
      <c r="F33" s="815">
        <f t="shared" si="1"/>
        <v>0</v>
      </c>
      <c r="G33" s="404"/>
      <c r="H33" s="387" t="s">
        <v>25</v>
      </c>
      <c r="I33" s="915" t="s">
        <v>30</v>
      </c>
      <c r="J33" s="915"/>
      <c r="K33" s="397">
        <f>SUM(K34,K40,K41)</f>
        <v>646402380</v>
      </c>
      <c r="L33" s="397">
        <f>SUM(L34,L40,L41)</f>
        <v>695128792</v>
      </c>
      <c r="M33" s="820">
        <f t="shared" si="2"/>
        <v>48726412</v>
      </c>
      <c r="N33" s="843"/>
    </row>
    <row r="34" spans="1:14" s="241" customFormat="1" ht="15.75" customHeight="1">
      <c r="A34" s="847"/>
      <c r="B34" s="801" t="s">
        <v>423</v>
      </c>
      <c r="C34" s="801" t="s">
        <v>7</v>
      </c>
      <c r="D34" s="402">
        <v>1000000</v>
      </c>
      <c r="E34" s="402">
        <f t="shared" ref="D34:E37" si="5">E35</f>
        <v>1000000</v>
      </c>
      <c r="F34" s="815">
        <f t="shared" si="1"/>
        <v>0</v>
      </c>
      <c r="G34" s="404"/>
      <c r="H34" s="388"/>
      <c r="I34" s="801" t="s">
        <v>17</v>
      </c>
      <c r="J34" s="801" t="s">
        <v>7</v>
      </c>
      <c r="K34" s="397">
        <f>SUM(K35:K39)</f>
        <v>287146360</v>
      </c>
      <c r="L34" s="397">
        <f>SUM(L35:L39)</f>
        <v>284996472</v>
      </c>
      <c r="M34" s="820">
        <f t="shared" si="2"/>
        <v>-2149888</v>
      </c>
      <c r="N34" s="843"/>
    </row>
    <row r="35" spans="1:14" s="241" customFormat="1" ht="18.75" customHeight="1">
      <c r="A35" s="845"/>
      <c r="B35" s="801"/>
      <c r="C35" s="801" t="s">
        <v>424</v>
      </c>
      <c r="D35" s="402">
        <v>1000000</v>
      </c>
      <c r="E35" s="402">
        <f>'다-2.후원금세입내역 '!E20</f>
        <v>1000000</v>
      </c>
      <c r="F35" s="815">
        <f t="shared" si="1"/>
        <v>0</v>
      </c>
      <c r="G35" s="404"/>
      <c r="H35" s="386"/>
      <c r="I35" s="793"/>
      <c r="J35" s="622" t="s">
        <v>106</v>
      </c>
      <c r="K35" s="397">
        <f>라.보조금세출내역!E55+라.보조금세출내역!E59+라.보조금세출내역!E60+'라-1.자부담세출내역'!E52+'라-2.후원금세출내역'!E52</f>
        <v>228527360</v>
      </c>
      <c r="L35" s="397">
        <f>라.보조금세출내역!F55+라.보조금세출내역!F59+라.보조금세출내역!F60+'라-1.자부담세출내역'!F52+'라-2.후원금세출내역'!F52</f>
        <v>238277472</v>
      </c>
      <c r="M35" s="820">
        <f t="shared" si="2"/>
        <v>9750112</v>
      </c>
      <c r="N35" s="843" t="s">
        <v>926</v>
      </c>
    </row>
    <row r="36" spans="1:14" s="241" customFormat="1" ht="15.75" customHeight="1">
      <c r="A36" s="846" t="s">
        <v>103</v>
      </c>
      <c r="B36" s="915" t="s">
        <v>187</v>
      </c>
      <c r="C36" s="915"/>
      <c r="D36" s="402">
        <f t="shared" si="5"/>
        <v>20000000</v>
      </c>
      <c r="E36" s="402">
        <f t="shared" si="5"/>
        <v>20000000</v>
      </c>
      <c r="F36" s="815">
        <f t="shared" si="1"/>
        <v>0</v>
      </c>
      <c r="G36" s="404"/>
      <c r="H36" s="386"/>
      <c r="I36" s="795"/>
      <c r="J36" s="367" t="s">
        <v>26</v>
      </c>
      <c r="K36" s="397">
        <f>라.보조금세출내역!E63+'라-1.자부담세출내역'!E53</f>
        <v>8800000</v>
      </c>
      <c r="L36" s="397">
        <f>라.보조금세출내역!F63+'라-1.자부담세출내역'!F53</f>
        <v>2400000</v>
      </c>
      <c r="M36" s="820">
        <f t="shared" si="2"/>
        <v>-6400000</v>
      </c>
      <c r="N36" s="843" t="s">
        <v>927</v>
      </c>
    </row>
    <row r="37" spans="1:14" s="241" customFormat="1" ht="15.75" customHeight="1">
      <c r="A37" s="844"/>
      <c r="B37" s="801" t="s">
        <v>103</v>
      </c>
      <c r="C37" s="801" t="s">
        <v>7</v>
      </c>
      <c r="D37" s="402">
        <f t="shared" si="5"/>
        <v>20000000</v>
      </c>
      <c r="E37" s="402">
        <f t="shared" si="5"/>
        <v>20000000</v>
      </c>
      <c r="F37" s="815">
        <f t="shared" si="1"/>
        <v>0</v>
      </c>
      <c r="G37" s="404"/>
      <c r="H37" s="386"/>
      <c r="I37" s="795"/>
      <c r="J37" s="801" t="str">
        <f>'라-1.자부담세출내역'!C54</f>
        <v>수용기관경비</v>
      </c>
      <c r="K37" s="397">
        <f>라.보조금세출내역!E65+'라-1.자부담세출내역'!E54+'라-1.자부담세출내역'!E55+'라-2.후원금세출내역'!E53+'라-2.후원금세출내역'!E54</f>
        <v>45819000</v>
      </c>
      <c r="L37" s="397">
        <f>라.보조금세출내역!F65+'라-1.자부담세출내역'!F54+'라-1.자부담세출내역'!F55+'라-2.후원금세출내역'!F53+'라-2.후원금세출내역'!F54</f>
        <v>40819000</v>
      </c>
      <c r="M37" s="820">
        <f t="shared" si="2"/>
        <v>-5000000</v>
      </c>
      <c r="N37" s="843" t="s">
        <v>927</v>
      </c>
    </row>
    <row r="38" spans="1:14" s="241" customFormat="1" ht="15.75" customHeight="1">
      <c r="A38" s="845"/>
      <c r="B38" s="801"/>
      <c r="C38" s="801" t="s">
        <v>242</v>
      </c>
      <c r="D38" s="402">
        <v>20000000</v>
      </c>
      <c r="E38" s="402">
        <f>'다-1.자부담세입내역'!E25</f>
        <v>20000000</v>
      </c>
      <c r="F38" s="815">
        <f t="shared" si="1"/>
        <v>0</v>
      </c>
      <c r="G38" s="404"/>
      <c r="H38" s="386"/>
      <c r="I38" s="795"/>
      <c r="J38" s="801" t="s">
        <v>27</v>
      </c>
      <c r="K38" s="397">
        <f>'라-1.자부담세출내역'!E56+'라-2.후원금세출내역'!E56</f>
        <v>3500000</v>
      </c>
      <c r="L38" s="397">
        <f>'라-1.자부담세출내역'!F56+'라-2.후원금세출내역'!F56</f>
        <v>3500000</v>
      </c>
      <c r="M38" s="820">
        <f t="shared" si="2"/>
        <v>0</v>
      </c>
      <c r="N38" s="843"/>
    </row>
    <row r="39" spans="1:14" s="241" customFormat="1" ht="15.75" customHeight="1">
      <c r="A39" s="846" t="s">
        <v>99</v>
      </c>
      <c r="B39" s="915" t="s">
        <v>187</v>
      </c>
      <c r="C39" s="915"/>
      <c r="D39" s="402">
        <f>D40</f>
        <v>284604921</v>
      </c>
      <c r="E39" s="402">
        <f>E40</f>
        <v>284604921</v>
      </c>
      <c r="F39" s="815">
        <f t="shared" si="1"/>
        <v>0</v>
      </c>
      <c r="G39" s="404"/>
      <c r="H39" s="386"/>
      <c r="I39" s="794"/>
      <c r="J39" s="801" t="s">
        <v>22</v>
      </c>
      <c r="K39" s="397">
        <f>'라-2.후원금세출내역'!E61</f>
        <v>500000</v>
      </c>
      <c r="L39" s="397">
        <f>'라-2.후원금세출내역'!F61</f>
        <v>0</v>
      </c>
      <c r="M39" s="820">
        <f t="shared" si="2"/>
        <v>-500000</v>
      </c>
      <c r="N39" s="843" t="s">
        <v>927</v>
      </c>
    </row>
    <row r="40" spans="1:14" s="241" customFormat="1" ht="15.75" customHeight="1">
      <c r="A40" s="844"/>
      <c r="B40" s="801" t="s">
        <v>99</v>
      </c>
      <c r="C40" s="801" t="s">
        <v>7</v>
      </c>
      <c r="D40" s="402">
        <f>SUM(D41:D42)</f>
        <v>284604921</v>
      </c>
      <c r="E40" s="402">
        <f>SUM(E41:E42)</f>
        <v>284604921</v>
      </c>
      <c r="F40" s="815">
        <f t="shared" si="1"/>
        <v>0</v>
      </c>
      <c r="G40" s="404"/>
      <c r="H40" s="386"/>
      <c r="I40" s="801" t="s">
        <v>151</v>
      </c>
      <c r="J40" s="801" t="s">
        <v>7</v>
      </c>
      <c r="K40" s="397">
        <v>0</v>
      </c>
      <c r="L40" s="397">
        <v>0</v>
      </c>
      <c r="M40" s="820">
        <f t="shared" si="2"/>
        <v>0</v>
      </c>
      <c r="N40" s="843"/>
    </row>
    <row r="41" spans="1:14" s="241" customFormat="1" ht="15.75" customHeight="1">
      <c r="A41" s="847"/>
      <c r="B41" s="793"/>
      <c r="C41" s="367" t="s">
        <v>245</v>
      </c>
      <c r="D41" s="402">
        <f>다.보조금세입내역!E37+'다-1.자부담세입내역'!D28+'다-2.후원금세입내역 '!D31</f>
        <v>284604921</v>
      </c>
      <c r="E41" s="402">
        <f>다.보조금세입내역!F37+'다-1.자부담세입내역'!E28+'다-2.후원금세입내역 '!E31</f>
        <v>284604921</v>
      </c>
      <c r="F41" s="815">
        <f t="shared" si="1"/>
        <v>0</v>
      </c>
      <c r="G41" s="404"/>
      <c r="H41" s="386"/>
      <c r="I41" s="801" t="s">
        <v>25</v>
      </c>
      <c r="J41" s="801" t="s">
        <v>7</v>
      </c>
      <c r="K41" s="397">
        <f>SUM(K42:K51)</f>
        <v>359256020</v>
      </c>
      <c r="L41" s="397">
        <f>SUM(L42:L51)</f>
        <v>410132320</v>
      </c>
      <c r="M41" s="820">
        <f t="shared" si="2"/>
        <v>50876300</v>
      </c>
      <c r="N41" s="843"/>
    </row>
    <row r="42" spans="1:14" s="241" customFormat="1" ht="15.75" customHeight="1">
      <c r="A42" s="845"/>
      <c r="B42" s="794"/>
      <c r="C42" s="801" t="s">
        <v>244</v>
      </c>
      <c r="D42" s="402">
        <v>0</v>
      </c>
      <c r="E42" s="402">
        <f>다.보조금세입내역!F38+'다-1.자부담세입내역'!E29</f>
        <v>0</v>
      </c>
      <c r="F42" s="815">
        <f t="shared" si="1"/>
        <v>0</v>
      </c>
      <c r="G42" s="404"/>
      <c r="H42" s="386"/>
      <c r="I42" s="793"/>
      <c r="J42" s="370" t="s">
        <v>162</v>
      </c>
      <c r="K42" s="397">
        <v>0</v>
      </c>
      <c r="L42" s="397">
        <v>0</v>
      </c>
      <c r="M42" s="820">
        <f t="shared" si="2"/>
        <v>0</v>
      </c>
      <c r="N42" s="843"/>
    </row>
    <row r="43" spans="1:14" s="241" customFormat="1" ht="15.75" customHeight="1">
      <c r="A43" s="846" t="s">
        <v>100</v>
      </c>
      <c r="B43" s="915" t="s">
        <v>187</v>
      </c>
      <c r="C43" s="915"/>
      <c r="D43" s="402">
        <f>D44</f>
        <v>41352219</v>
      </c>
      <c r="E43" s="402">
        <f>E44</f>
        <v>41493727</v>
      </c>
      <c r="F43" s="815">
        <f t="shared" si="1"/>
        <v>141508</v>
      </c>
      <c r="G43" s="404"/>
      <c r="H43" s="386"/>
      <c r="I43" s="795"/>
      <c r="J43" s="376" t="s">
        <v>293</v>
      </c>
      <c r="K43" s="397">
        <f>라.보조금세출내역!E88+'라-1.자부담세출내역'!E74+'라-2.후원금세출내역'!E75</f>
        <v>77500000</v>
      </c>
      <c r="L43" s="397">
        <f>라.보조금세출내역!F88+'라-1.자부담세출내역'!F74+'라-2.후원금세출내역'!F75</f>
        <v>77500000</v>
      </c>
      <c r="M43" s="820">
        <f t="shared" si="2"/>
        <v>0</v>
      </c>
      <c r="N43" s="843"/>
    </row>
    <row r="44" spans="1:14" s="287" customFormat="1" ht="15.75" customHeight="1">
      <c r="A44" s="844"/>
      <c r="B44" s="801" t="s">
        <v>100</v>
      </c>
      <c r="C44" s="801" t="s">
        <v>7</v>
      </c>
      <c r="D44" s="402">
        <f>SUM(D45:D47)</f>
        <v>41352219</v>
      </c>
      <c r="E44" s="402">
        <f>SUM(E45:E47)</f>
        <v>41493727</v>
      </c>
      <c r="F44" s="815">
        <f t="shared" si="1"/>
        <v>141508</v>
      </c>
      <c r="G44" s="404"/>
      <c r="H44" s="386"/>
      <c r="I44" s="795"/>
      <c r="J44" s="370" t="s">
        <v>163</v>
      </c>
      <c r="K44" s="397">
        <v>0</v>
      </c>
      <c r="L44" s="397">
        <v>0</v>
      </c>
      <c r="M44" s="820">
        <f t="shared" si="2"/>
        <v>0</v>
      </c>
      <c r="N44" s="843"/>
    </row>
    <row r="45" spans="1:14" s="287" customFormat="1" ht="15.75" customHeight="1">
      <c r="A45" s="847"/>
      <c r="B45" s="793"/>
      <c r="C45" s="367" t="s">
        <v>54</v>
      </c>
      <c r="D45" s="402">
        <v>500000</v>
      </c>
      <c r="E45" s="402">
        <f>다.보조금세입내역!F41+'다-1.자부담세입내역'!E32</f>
        <v>500000</v>
      </c>
      <c r="F45" s="815">
        <f t="shared" si="1"/>
        <v>0</v>
      </c>
      <c r="G45" s="404"/>
      <c r="H45" s="386"/>
      <c r="I45" s="795"/>
      <c r="J45" s="370" t="s">
        <v>164</v>
      </c>
      <c r="K45" s="397">
        <f>'라-1.자부담세출내역'!E76+'라-2.후원금세출내역'!E77</f>
        <v>30000000</v>
      </c>
      <c r="L45" s="397">
        <f>'라-1.자부담세출내역'!F76+'라-2.후원금세출내역'!F77</f>
        <v>30000000</v>
      </c>
      <c r="M45" s="820">
        <f t="shared" si="2"/>
        <v>0</v>
      </c>
      <c r="N45" s="843"/>
    </row>
    <row r="46" spans="1:14" s="287" customFormat="1" ht="15.75" customHeight="1">
      <c r="A46" s="847"/>
      <c r="B46" s="795"/>
      <c r="C46" s="379" t="s">
        <v>55</v>
      </c>
      <c r="D46" s="402">
        <f>다.보조금세입내역!E42+'다-1.자부담세입내역'!D33+'다-2.후원금세입내역 '!D36</f>
        <v>2352219</v>
      </c>
      <c r="E46" s="402">
        <f>다.보조금세입내역!F42+'다-1.자부담세입내역'!E33+'다-2.후원금세입내역 '!E36</f>
        <v>2404727</v>
      </c>
      <c r="F46" s="815">
        <f t="shared" si="1"/>
        <v>52508</v>
      </c>
      <c r="G46" s="404"/>
      <c r="H46" s="386"/>
      <c r="I46" s="795"/>
      <c r="J46" s="376" t="s">
        <v>171</v>
      </c>
      <c r="K46" s="397">
        <f>라.보조금세출내역!E93</f>
        <v>32840000</v>
      </c>
      <c r="L46" s="397">
        <f>라.보조금세출내역!F93</f>
        <v>32840000</v>
      </c>
      <c r="M46" s="820">
        <f t="shared" si="2"/>
        <v>0</v>
      </c>
      <c r="N46" s="843"/>
    </row>
    <row r="47" spans="1:14" s="287" customFormat="1" ht="15.75" customHeight="1">
      <c r="A47" s="847"/>
      <c r="B47" s="794"/>
      <c r="C47" s="793" t="s">
        <v>247</v>
      </c>
      <c r="D47" s="405">
        <v>38500000</v>
      </c>
      <c r="E47" s="405">
        <f>다.보조금세입내역!F43+'다-1.자부담세입내역'!E34</f>
        <v>38589000</v>
      </c>
      <c r="F47" s="815">
        <f t="shared" si="1"/>
        <v>89000</v>
      </c>
      <c r="G47" s="406" t="s">
        <v>923</v>
      </c>
      <c r="H47" s="386"/>
      <c r="I47" s="795"/>
      <c r="J47" s="376" t="s">
        <v>297</v>
      </c>
      <c r="K47" s="397">
        <f>라.보조금세출내역!E99</f>
        <v>206416020</v>
      </c>
      <c r="L47" s="397">
        <f>라.보조금세출내역!F99</f>
        <v>237019070</v>
      </c>
      <c r="M47" s="820">
        <f t="shared" si="2"/>
        <v>30603050</v>
      </c>
      <c r="N47" s="843" t="s">
        <v>925</v>
      </c>
    </row>
    <row r="48" spans="1:14" s="287" customFormat="1" ht="15.75" customHeight="1">
      <c r="A48" s="844"/>
      <c r="B48" s="793"/>
      <c r="C48" s="793"/>
      <c r="D48" s="407"/>
      <c r="E48" s="407"/>
      <c r="F48" s="359"/>
      <c r="G48" s="408"/>
      <c r="H48" s="386"/>
      <c r="I48" s="795"/>
      <c r="J48" s="370" t="str">
        <f>라.보조금세출내역!C107</f>
        <v>추가지원사업비</v>
      </c>
      <c r="K48" s="397">
        <f>라.보조금세출내역!E107</f>
        <v>0</v>
      </c>
      <c r="L48" s="397">
        <f>라.보조금세출내역!F107</f>
        <v>20273250</v>
      </c>
      <c r="M48" s="820">
        <f t="shared" si="2"/>
        <v>20273250</v>
      </c>
      <c r="N48" s="843" t="s">
        <v>924</v>
      </c>
    </row>
    <row r="49" spans="1:14" s="287" customFormat="1" ht="15.75" customHeight="1">
      <c r="A49" s="847"/>
      <c r="B49" s="795"/>
      <c r="C49" s="795"/>
      <c r="D49" s="359"/>
      <c r="E49" s="359"/>
      <c r="F49" s="359"/>
      <c r="G49" s="409"/>
      <c r="H49" s="386"/>
      <c r="I49" s="795"/>
      <c r="J49" s="376" t="s">
        <v>179</v>
      </c>
      <c r="K49" s="397">
        <f>라.보조금세출내역!E110+'라-2.후원금세출내역'!E78</f>
        <v>5900000</v>
      </c>
      <c r="L49" s="397">
        <f>라.보조금세출내역!F110+'라-2.후원금세출내역'!F78</f>
        <v>5900000</v>
      </c>
      <c r="M49" s="820">
        <f t="shared" si="2"/>
        <v>0</v>
      </c>
      <c r="N49" s="843"/>
    </row>
    <row r="50" spans="1:14" s="287" customFormat="1" ht="15.75" customHeight="1">
      <c r="A50" s="847"/>
      <c r="B50" s="795"/>
      <c r="C50" s="795"/>
      <c r="D50" s="359"/>
      <c r="E50" s="359"/>
      <c r="F50" s="359"/>
      <c r="G50" s="409"/>
      <c r="H50" s="386"/>
      <c r="I50" s="795"/>
      <c r="J50" s="370"/>
      <c r="K50" s="397">
        <v>0</v>
      </c>
      <c r="L50" s="397">
        <v>0</v>
      </c>
      <c r="M50" s="820">
        <f t="shared" si="2"/>
        <v>0</v>
      </c>
      <c r="N50" s="843"/>
    </row>
    <row r="51" spans="1:14" s="287" customFormat="1" ht="15.75" customHeight="1">
      <c r="A51" s="847"/>
      <c r="B51" s="795"/>
      <c r="C51" s="795"/>
      <c r="D51" s="359"/>
      <c r="E51" s="359"/>
      <c r="F51" s="359"/>
      <c r="G51" s="409"/>
      <c r="H51" s="386"/>
      <c r="I51" s="795"/>
      <c r="J51" s="370" t="s">
        <v>415</v>
      </c>
      <c r="K51" s="397">
        <f>'라-2.후원금세출내역'!E82</f>
        <v>6600000</v>
      </c>
      <c r="L51" s="397">
        <f>'라-2.후원금세출내역'!F82</f>
        <v>6600000</v>
      </c>
      <c r="M51" s="820">
        <f t="shared" si="2"/>
        <v>0</v>
      </c>
      <c r="N51" s="843"/>
    </row>
    <row r="52" spans="1:14" ht="15.75" customHeight="1">
      <c r="A52" s="847"/>
      <c r="B52" s="795"/>
      <c r="C52" s="795"/>
      <c r="D52" s="359"/>
      <c r="E52" s="359"/>
      <c r="F52" s="359"/>
      <c r="G52" s="409"/>
      <c r="H52" s="387" t="s">
        <v>424</v>
      </c>
      <c r="I52" s="915" t="s">
        <v>30</v>
      </c>
      <c r="J52" s="915"/>
      <c r="K52" s="397">
        <f>SUM(K53)</f>
        <v>1000000</v>
      </c>
      <c r="L52" s="397">
        <f>SUM(L53)</f>
        <v>1000000</v>
      </c>
      <c r="M52" s="820">
        <f t="shared" si="2"/>
        <v>0</v>
      </c>
      <c r="N52" s="843"/>
    </row>
    <row r="53" spans="1:14" ht="15.75" customHeight="1">
      <c r="A53" s="847"/>
      <c r="B53" s="795"/>
      <c r="C53" s="795"/>
      <c r="D53" s="359"/>
      <c r="E53" s="359"/>
      <c r="F53" s="359"/>
      <c r="G53" s="409"/>
      <c r="H53" s="388"/>
      <c r="I53" s="801" t="s">
        <v>424</v>
      </c>
      <c r="J53" s="801" t="s">
        <v>7</v>
      </c>
      <c r="K53" s="397">
        <f>SUM(K54)</f>
        <v>1000000</v>
      </c>
      <c r="L53" s="397">
        <f>SUM(L54)</f>
        <v>1000000</v>
      </c>
      <c r="M53" s="820">
        <f t="shared" si="2"/>
        <v>0</v>
      </c>
      <c r="N53" s="843"/>
    </row>
    <row r="54" spans="1:14" ht="15.75" customHeight="1">
      <c r="A54" s="847"/>
      <c r="B54" s="795"/>
      <c r="C54" s="795"/>
      <c r="D54" s="359"/>
      <c r="E54" s="359"/>
      <c r="F54" s="359"/>
      <c r="G54" s="409"/>
      <c r="H54" s="389"/>
      <c r="I54" s="801"/>
      <c r="J54" s="370" t="s">
        <v>425</v>
      </c>
      <c r="K54" s="397">
        <v>1000000</v>
      </c>
      <c r="L54" s="397">
        <f>'라-2.후원금세출내역'!F86</f>
        <v>1000000</v>
      </c>
      <c r="M54" s="820">
        <f t="shared" si="2"/>
        <v>0</v>
      </c>
      <c r="N54" s="843"/>
    </row>
    <row r="55" spans="1:14" ht="15.75" hidden="1" customHeight="1">
      <c r="A55" s="848"/>
      <c r="B55" s="381"/>
      <c r="C55" s="381"/>
      <c r="D55" s="359"/>
      <c r="E55" s="359"/>
      <c r="F55" s="359"/>
      <c r="G55" s="409"/>
      <c r="H55" s="387" t="s">
        <v>108</v>
      </c>
      <c r="I55" s="915" t="s">
        <v>30</v>
      </c>
      <c r="J55" s="915"/>
      <c r="K55" s="397">
        <v>0</v>
      </c>
      <c r="L55" s="397">
        <v>0</v>
      </c>
      <c r="M55" s="820">
        <f t="shared" si="2"/>
        <v>0</v>
      </c>
      <c r="N55" s="843"/>
    </row>
    <row r="56" spans="1:14" ht="15.75" customHeight="1">
      <c r="A56" s="848"/>
      <c r="B56" s="381"/>
      <c r="C56" s="381"/>
      <c r="D56" s="359"/>
      <c r="E56" s="359"/>
      <c r="F56" s="359"/>
      <c r="G56" s="409"/>
      <c r="H56" s="388"/>
      <c r="I56" s="801" t="s">
        <v>108</v>
      </c>
      <c r="J56" s="801" t="s">
        <v>7</v>
      </c>
      <c r="K56" s="397">
        <v>0</v>
      </c>
      <c r="L56" s="397">
        <f>SUM(L57)</f>
        <v>0</v>
      </c>
      <c r="M56" s="820">
        <f t="shared" si="2"/>
        <v>0</v>
      </c>
      <c r="N56" s="843"/>
    </row>
    <row r="57" spans="1:14" ht="15.75" customHeight="1">
      <c r="A57" s="848"/>
      <c r="B57" s="381"/>
      <c r="C57" s="381"/>
      <c r="D57" s="359"/>
      <c r="E57" s="359"/>
      <c r="F57" s="359"/>
      <c r="G57" s="409"/>
      <c r="H57" s="389"/>
      <c r="I57" s="801"/>
      <c r="J57" s="801" t="s">
        <v>108</v>
      </c>
      <c r="K57" s="397">
        <v>0</v>
      </c>
      <c r="L57" s="397">
        <v>0</v>
      </c>
      <c r="M57" s="820">
        <f t="shared" si="2"/>
        <v>0</v>
      </c>
      <c r="N57" s="843"/>
    </row>
    <row r="58" spans="1:14" ht="15.75" customHeight="1">
      <c r="A58" s="848"/>
      <c r="B58" s="381"/>
      <c r="C58" s="381"/>
      <c r="D58" s="359"/>
      <c r="E58" s="359"/>
      <c r="F58" s="359"/>
      <c r="G58" s="409"/>
      <c r="H58" s="387" t="s">
        <v>109</v>
      </c>
      <c r="I58" s="915" t="s">
        <v>30</v>
      </c>
      <c r="J58" s="915"/>
      <c r="K58" s="397">
        <f>SUM(K59)</f>
        <v>639735</v>
      </c>
      <c r="L58" s="397">
        <f>SUM(L59)</f>
        <v>692243</v>
      </c>
      <c r="M58" s="820">
        <f t="shared" si="2"/>
        <v>52508</v>
      </c>
      <c r="N58" s="843"/>
    </row>
    <row r="59" spans="1:14" ht="15.75" customHeight="1">
      <c r="A59" s="848"/>
      <c r="B59" s="381"/>
      <c r="C59" s="381"/>
      <c r="D59" s="359"/>
      <c r="E59" s="359"/>
      <c r="F59" s="359"/>
      <c r="G59" s="409"/>
      <c r="H59" s="388"/>
      <c r="I59" s="801" t="s">
        <v>8</v>
      </c>
      <c r="J59" s="801" t="s">
        <v>7</v>
      </c>
      <c r="K59" s="397">
        <f>SUM(K60)</f>
        <v>639735</v>
      </c>
      <c r="L59" s="397">
        <f>SUM(L60)</f>
        <v>692243</v>
      </c>
      <c r="M59" s="820">
        <f t="shared" si="2"/>
        <v>52508</v>
      </c>
      <c r="N59" s="843"/>
    </row>
    <row r="60" spans="1:14" ht="15.75" customHeight="1">
      <c r="A60" s="848"/>
      <c r="B60" s="381"/>
      <c r="C60" s="381"/>
      <c r="D60" s="359"/>
      <c r="E60" s="359"/>
      <c r="F60" s="359"/>
      <c r="G60" s="409"/>
      <c r="H60" s="389"/>
      <c r="I60" s="801"/>
      <c r="J60" s="801" t="s">
        <v>8</v>
      </c>
      <c r="K60" s="397">
        <f>라.보조금세출내역!E121</f>
        <v>639735</v>
      </c>
      <c r="L60" s="397">
        <f>라.보조금세출내역!F121</f>
        <v>692243</v>
      </c>
      <c r="M60" s="820">
        <f t="shared" si="2"/>
        <v>52508</v>
      </c>
      <c r="N60" s="843"/>
    </row>
    <row r="61" spans="1:14" ht="15.75" customHeight="1">
      <c r="A61" s="848"/>
      <c r="B61" s="381"/>
      <c r="C61" s="381"/>
      <c r="D61" s="359"/>
      <c r="E61" s="359"/>
      <c r="F61" s="359"/>
      <c r="G61" s="409"/>
      <c r="H61" s="387" t="s">
        <v>29</v>
      </c>
      <c r="I61" s="915" t="s">
        <v>30</v>
      </c>
      <c r="J61" s="915"/>
      <c r="K61" s="397">
        <v>0</v>
      </c>
      <c r="L61" s="397">
        <f>SUM(L62)</f>
        <v>0</v>
      </c>
      <c r="M61" s="820">
        <f t="shared" si="2"/>
        <v>0</v>
      </c>
      <c r="N61" s="843"/>
    </row>
    <row r="62" spans="1:14" ht="15.75" customHeight="1">
      <c r="A62" s="848"/>
      <c r="B62" s="381"/>
      <c r="C62" s="381"/>
      <c r="D62" s="359"/>
      <c r="E62" s="359"/>
      <c r="F62" s="359"/>
      <c r="G62" s="409"/>
      <c r="H62" s="388"/>
      <c r="I62" s="801" t="s">
        <v>29</v>
      </c>
      <c r="J62" s="801" t="s">
        <v>7</v>
      </c>
      <c r="K62" s="397">
        <v>0</v>
      </c>
      <c r="L62" s="397">
        <f>SUM(L63)</f>
        <v>0</v>
      </c>
      <c r="M62" s="820">
        <f t="shared" si="2"/>
        <v>0</v>
      </c>
      <c r="N62" s="843"/>
    </row>
    <row r="63" spans="1:14">
      <c r="A63" s="848"/>
      <c r="B63" s="381"/>
      <c r="C63" s="381"/>
      <c r="D63" s="359"/>
      <c r="E63" s="359"/>
      <c r="F63" s="359"/>
      <c r="G63" s="409"/>
      <c r="H63" s="389"/>
      <c r="I63" s="801"/>
      <c r="J63" s="801" t="s">
        <v>29</v>
      </c>
      <c r="K63" s="397">
        <v>0</v>
      </c>
      <c r="L63" s="397">
        <v>0</v>
      </c>
      <c r="M63" s="820">
        <f t="shared" si="2"/>
        <v>0</v>
      </c>
      <c r="N63" s="843"/>
    </row>
    <row r="64" spans="1:14">
      <c r="A64" s="848"/>
      <c r="B64" s="381"/>
      <c r="C64" s="381"/>
      <c r="D64" s="359"/>
      <c r="E64" s="359"/>
      <c r="F64" s="359"/>
      <c r="G64" s="409"/>
      <c r="H64" s="389"/>
      <c r="I64" s="910" t="s">
        <v>30</v>
      </c>
      <c r="J64" s="910"/>
      <c r="K64" s="526">
        <f>SUM(K65)</f>
        <v>25617405</v>
      </c>
      <c r="L64" s="526">
        <f>SUM(L65)</f>
        <v>25617405</v>
      </c>
      <c r="M64" s="820">
        <f t="shared" si="2"/>
        <v>0</v>
      </c>
      <c r="N64" s="849"/>
    </row>
    <row r="65" spans="1:14">
      <c r="A65" s="848"/>
      <c r="B65" s="381"/>
      <c r="C65" s="381"/>
      <c r="D65" s="359"/>
      <c r="E65" s="359"/>
      <c r="F65" s="359"/>
      <c r="G65" s="409"/>
      <c r="H65" s="388"/>
      <c r="I65" s="801" t="s">
        <v>168</v>
      </c>
      <c r="J65" s="801" t="s">
        <v>7</v>
      </c>
      <c r="K65" s="397">
        <f>SUM(K66)</f>
        <v>25617405</v>
      </c>
      <c r="L65" s="397">
        <f>SUM(L66)</f>
        <v>25617405</v>
      </c>
      <c r="M65" s="820">
        <f t="shared" si="2"/>
        <v>0</v>
      </c>
      <c r="N65" s="843"/>
    </row>
    <row r="66" spans="1:14" ht="14.25" thickBot="1">
      <c r="A66" s="850"/>
      <c r="B66" s="851"/>
      <c r="C66" s="851"/>
      <c r="D66" s="852"/>
      <c r="E66" s="852"/>
      <c r="F66" s="852"/>
      <c r="G66" s="853"/>
      <c r="H66" s="854"/>
      <c r="I66" s="855"/>
      <c r="J66" s="855" t="s">
        <v>168</v>
      </c>
      <c r="K66" s="856">
        <f>라.보조금세출내역!E124</f>
        <v>25617405</v>
      </c>
      <c r="L66" s="856">
        <f>라.보조금세출내역!F124</f>
        <v>25617405</v>
      </c>
      <c r="M66" s="857">
        <f t="shared" si="2"/>
        <v>0</v>
      </c>
      <c r="N66" s="858"/>
    </row>
    <row r="67" spans="1:14" ht="13.5" hidden="1" customHeight="1">
      <c r="D67" s="363"/>
      <c r="E67" s="363">
        <v>0</v>
      </c>
      <c r="F67" s="363"/>
      <c r="G67" s="363"/>
      <c r="H67" s="392"/>
      <c r="I67" s="392"/>
      <c r="J67" s="392"/>
      <c r="K67" s="384"/>
      <c r="L67" s="363"/>
      <c r="M67" s="414"/>
      <c r="N67" s="363"/>
    </row>
    <row r="68" spans="1:14">
      <c r="D68" s="384"/>
      <c r="E68" s="363"/>
      <c r="F68" s="363"/>
      <c r="G68" s="363"/>
      <c r="H68" s="392"/>
      <c r="I68" s="392"/>
      <c r="J68" s="392"/>
      <c r="K68" s="384"/>
      <c r="L68" s="363"/>
      <c r="M68" s="414"/>
      <c r="N68" s="363"/>
    </row>
    <row r="69" spans="1:14">
      <c r="D69" s="384"/>
      <c r="E69" s="363"/>
      <c r="F69" s="363"/>
      <c r="G69" s="363"/>
      <c r="H69" s="392"/>
      <c r="I69" s="392"/>
      <c r="J69" s="392"/>
      <c r="K69" s="384"/>
      <c r="L69" s="363"/>
      <c r="M69" s="414"/>
      <c r="N69" s="363"/>
    </row>
    <row r="70" spans="1:14">
      <c r="D70" s="384"/>
      <c r="E70" s="363"/>
      <c r="F70" s="363"/>
      <c r="G70" s="363"/>
      <c r="H70" s="392"/>
      <c r="I70" s="392"/>
      <c r="J70" s="392"/>
      <c r="K70" s="384"/>
      <c r="L70" s="363"/>
      <c r="M70" s="414"/>
      <c r="N70" s="363"/>
    </row>
    <row r="71" spans="1:14">
      <c r="D71" s="384"/>
      <c r="E71" s="363"/>
      <c r="F71" s="363"/>
      <c r="G71" s="363"/>
      <c r="H71" s="392"/>
      <c r="I71" s="392"/>
      <c r="J71" s="392"/>
      <c r="K71" s="384"/>
      <c r="L71" s="363"/>
      <c r="M71" s="414"/>
      <c r="N71" s="363"/>
    </row>
    <row r="72" spans="1:14">
      <c r="D72" s="384"/>
      <c r="E72" s="363"/>
      <c r="F72" s="363"/>
      <c r="G72" s="363"/>
      <c r="H72" s="392"/>
      <c r="I72" s="392"/>
      <c r="J72" s="392"/>
      <c r="K72" s="384"/>
      <c r="L72" s="363"/>
      <c r="M72" s="414"/>
      <c r="N72" s="363"/>
    </row>
    <row r="73" spans="1:14" hidden="1">
      <c r="D73" s="384"/>
      <c r="E73" s="363"/>
      <c r="F73" s="363"/>
      <c r="G73" s="363"/>
      <c r="K73" s="384"/>
      <c r="L73" s="363"/>
      <c r="M73" s="415"/>
      <c r="N73" s="363"/>
    </row>
    <row r="74" spans="1:14">
      <c r="D74" s="384"/>
      <c r="E74" s="363"/>
      <c r="F74" s="363"/>
      <c r="G74" s="363"/>
      <c r="K74" s="384"/>
      <c r="L74" s="363"/>
      <c r="M74" s="415"/>
      <c r="N74" s="363"/>
    </row>
    <row r="75" spans="1:14">
      <c r="D75" s="384"/>
      <c r="E75" s="363"/>
      <c r="F75" s="363"/>
      <c r="G75" s="363"/>
      <c r="K75" s="384"/>
      <c r="L75" s="363"/>
      <c r="M75" s="415"/>
      <c r="N75" s="363"/>
    </row>
    <row r="76" spans="1:14">
      <c r="D76" s="384"/>
      <c r="E76" s="363"/>
      <c r="F76" s="363"/>
      <c r="G76" s="363"/>
      <c r="K76" s="384"/>
      <c r="L76" s="363"/>
      <c r="M76" s="415"/>
      <c r="N76" s="363"/>
    </row>
    <row r="77" spans="1:14">
      <c r="D77" s="384"/>
      <c r="E77" s="363"/>
      <c r="F77" s="363"/>
      <c r="G77" s="363"/>
      <c r="K77" s="384"/>
      <c r="L77" s="363"/>
      <c r="M77" s="415"/>
      <c r="N77" s="363"/>
    </row>
    <row r="78" spans="1:14">
      <c r="D78" s="384"/>
      <c r="E78" s="363"/>
      <c r="F78" s="363"/>
      <c r="G78" s="363"/>
      <c r="K78" s="384"/>
      <c r="L78" s="363"/>
      <c r="M78" s="415"/>
      <c r="N78" s="363"/>
    </row>
    <row r="79" spans="1:14">
      <c r="D79" s="384"/>
      <c r="E79" s="363"/>
      <c r="F79" s="363"/>
      <c r="G79" s="363"/>
      <c r="K79" s="384"/>
      <c r="L79" s="363"/>
      <c r="M79" s="415"/>
      <c r="N79" s="363"/>
    </row>
    <row r="80" spans="1:14">
      <c r="D80" s="384"/>
      <c r="E80" s="363"/>
      <c r="F80" s="363"/>
      <c r="G80" s="363"/>
      <c r="K80" s="384"/>
      <c r="L80" s="363"/>
      <c r="M80" s="415"/>
      <c r="N80" s="363"/>
    </row>
    <row r="81" spans="4:14">
      <c r="D81" s="384"/>
      <c r="E81" s="363"/>
      <c r="F81" s="363"/>
      <c r="G81" s="363"/>
      <c r="K81" s="384"/>
      <c r="L81" s="363"/>
      <c r="M81" s="415"/>
      <c r="N81" s="363"/>
    </row>
    <row r="82" spans="4:14">
      <c r="D82" s="384"/>
      <c r="E82" s="363"/>
      <c r="F82" s="363"/>
      <c r="G82" s="363"/>
      <c r="K82" s="384"/>
      <c r="L82" s="363"/>
      <c r="M82" s="415"/>
      <c r="N82" s="363"/>
    </row>
    <row r="83" spans="4:14">
      <c r="D83" s="384"/>
      <c r="E83" s="363"/>
      <c r="F83" s="363"/>
      <c r="G83" s="363"/>
      <c r="K83" s="384"/>
      <c r="L83" s="363"/>
      <c r="M83" s="415"/>
      <c r="N83" s="363"/>
    </row>
    <row r="84" spans="4:14">
      <c r="D84" s="384"/>
      <c r="E84" s="363"/>
      <c r="F84" s="363"/>
      <c r="G84" s="363"/>
      <c r="K84" s="384"/>
      <c r="L84" s="363"/>
      <c r="M84" s="415"/>
      <c r="N84" s="363"/>
    </row>
    <row r="85" spans="4:14">
      <c r="D85" s="384"/>
      <c r="E85" s="363"/>
      <c r="F85" s="363"/>
      <c r="G85" s="363"/>
      <c r="K85" s="384"/>
      <c r="L85" s="363"/>
      <c r="M85" s="415"/>
      <c r="N85" s="363"/>
    </row>
    <row r="86" spans="4:14">
      <c r="D86" s="384"/>
      <c r="E86" s="363"/>
      <c r="F86" s="363"/>
      <c r="G86" s="363"/>
      <c r="K86" s="384"/>
      <c r="L86" s="363"/>
      <c r="M86" s="415"/>
      <c r="N86" s="363"/>
    </row>
    <row r="87" spans="4:14">
      <c r="D87" s="384"/>
      <c r="E87" s="363"/>
      <c r="F87" s="363"/>
      <c r="G87" s="363"/>
      <c r="K87" s="384"/>
      <c r="L87" s="363"/>
      <c r="M87" s="415"/>
      <c r="N87" s="363"/>
    </row>
    <row r="88" spans="4:14">
      <c r="D88" s="384"/>
      <c r="E88" s="363"/>
      <c r="F88" s="363"/>
      <c r="G88" s="363"/>
      <c r="K88" s="384"/>
      <c r="L88" s="363"/>
      <c r="M88" s="415"/>
      <c r="N88" s="363"/>
    </row>
    <row r="89" spans="4:14">
      <c r="D89" s="384"/>
      <c r="E89" s="363"/>
      <c r="F89" s="363"/>
      <c r="G89" s="363"/>
      <c r="K89" s="384"/>
      <c r="L89" s="363"/>
      <c r="M89" s="415"/>
      <c r="N89" s="363"/>
    </row>
    <row r="90" spans="4:14">
      <c r="D90" s="384"/>
      <c r="E90" s="363"/>
      <c r="F90" s="363"/>
      <c r="G90" s="363"/>
      <c r="K90" s="384"/>
      <c r="L90" s="363"/>
      <c r="M90" s="415"/>
      <c r="N90" s="363"/>
    </row>
    <row r="91" spans="4:14">
      <c r="D91" s="384"/>
      <c r="E91" s="363"/>
      <c r="F91" s="363"/>
      <c r="G91" s="363"/>
      <c r="K91" s="384"/>
      <c r="L91" s="363"/>
      <c r="M91" s="415"/>
      <c r="N91" s="363"/>
    </row>
    <row r="92" spans="4:14">
      <c r="D92" s="384"/>
      <c r="E92" s="363"/>
      <c r="F92" s="363"/>
      <c r="G92" s="363"/>
      <c r="K92" s="384"/>
      <c r="L92" s="363"/>
      <c r="M92" s="415"/>
      <c r="N92" s="363"/>
    </row>
  </sheetData>
  <mergeCells count="32">
    <mergeCell ref="I64:J64"/>
    <mergeCell ref="F4:F5"/>
    <mergeCell ref="I52:J52"/>
    <mergeCell ref="I28:J28"/>
    <mergeCell ref="B39:C39"/>
    <mergeCell ref="B43:C43"/>
    <mergeCell ref="I55:J55"/>
    <mergeCell ref="I58:J58"/>
    <mergeCell ref="I61:J61"/>
    <mergeCell ref="B13:C13"/>
    <mergeCell ref="B16:C16"/>
    <mergeCell ref="B30:C30"/>
    <mergeCell ref="I33:J33"/>
    <mergeCell ref="B36:C36"/>
    <mergeCell ref="A6:C6"/>
    <mergeCell ref="H6:J6"/>
    <mergeCell ref="B7:C7"/>
    <mergeCell ref="I7:J7"/>
    <mergeCell ref="B10:C10"/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  <mergeCell ref="N4:N5"/>
  </mergeCells>
  <phoneticPr fontId="2" type="noConversion"/>
  <printOptions horizontalCentered="1"/>
  <pageMargins left="0.18" right="0" top="0.92" bottom="0.55118110236220474" header="0.36" footer="0.27559055118110237"/>
  <pageSetup paperSize="9" scale="67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87"/>
  <sheetViews>
    <sheetView workbookViewId="0">
      <selection activeCell="G10" sqref="G10"/>
    </sheetView>
  </sheetViews>
  <sheetFormatPr defaultRowHeight="13.5"/>
  <cols>
    <col min="1" max="1" width="9.33203125" style="46" bestFit="1" customWidth="1"/>
    <col min="2" max="2" width="10.77734375" style="46" bestFit="1" customWidth="1"/>
    <col min="3" max="3" width="13.6640625" style="46" bestFit="1" customWidth="1"/>
    <col min="4" max="5" width="15" style="486" bestFit="1" customWidth="1"/>
    <col min="6" max="6" width="14.33203125" style="486" bestFit="1" customWidth="1"/>
    <col min="7" max="7" width="53.21875" style="363" customWidth="1"/>
    <col min="8" max="8" width="11.5546875" style="47" customWidth="1"/>
    <col min="9" max="9" width="10.21875" style="46" customWidth="1"/>
    <col min="10" max="10" width="5" style="46" customWidth="1"/>
    <col min="11" max="11" width="10.77734375" style="46" customWidth="1"/>
  </cols>
  <sheetData>
    <row r="1" spans="1:7" s="5" customFormat="1" ht="22.5" customHeight="1">
      <c r="A1" s="1144" t="s">
        <v>857</v>
      </c>
      <c r="B1" s="1144"/>
      <c r="C1" s="1144"/>
      <c r="D1" s="1144"/>
      <c r="E1" s="1144"/>
      <c r="F1" s="1144"/>
      <c r="G1" s="1144"/>
    </row>
    <row r="2" spans="1:7" s="5" customFormat="1" ht="22.5" customHeight="1">
      <c r="A2" s="943"/>
      <c r="B2" s="943"/>
      <c r="C2" s="943"/>
      <c r="D2" s="479"/>
      <c r="E2" s="479"/>
      <c r="F2" s="478"/>
      <c r="G2" s="540"/>
    </row>
    <row r="3" spans="1:7" s="5" customFormat="1" ht="18.75" customHeight="1">
      <c r="A3" s="1131" t="s">
        <v>417</v>
      </c>
      <c r="B3" s="1132"/>
      <c r="C3" s="1132"/>
      <c r="D3" s="1132"/>
      <c r="E3" s="1132"/>
      <c r="F3" s="1132"/>
      <c r="G3" s="1133"/>
    </row>
    <row r="4" spans="1:7" s="3" customFormat="1" ht="18.75" customHeight="1">
      <c r="A4" s="950" t="s">
        <v>4</v>
      </c>
      <c r="B4" s="951"/>
      <c r="C4" s="951"/>
      <c r="D4" s="916" t="s">
        <v>760</v>
      </c>
      <c r="E4" s="916" t="s">
        <v>761</v>
      </c>
      <c r="F4" s="1129" t="s">
        <v>419</v>
      </c>
      <c r="G4" s="1140" t="s">
        <v>420</v>
      </c>
    </row>
    <row r="5" spans="1:7" s="3" customFormat="1" ht="18.75" customHeight="1" thickBot="1">
      <c r="A5" s="180" t="s">
        <v>1</v>
      </c>
      <c r="B5" s="181" t="s">
        <v>2</v>
      </c>
      <c r="C5" s="181" t="s">
        <v>3</v>
      </c>
      <c r="D5" s="917"/>
      <c r="E5" s="917"/>
      <c r="F5" s="1130"/>
      <c r="G5" s="1141"/>
    </row>
    <row r="6" spans="1:7" s="3" customFormat="1" ht="18.75" customHeight="1" thickTop="1" thickBot="1">
      <c r="A6" s="1142" t="s">
        <v>259</v>
      </c>
      <c r="B6" s="1143"/>
      <c r="C6" s="1143"/>
      <c r="D6" s="480">
        <f>SUM(D7:D27)</f>
        <v>3123200000</v>
      </c>
      <c r="E6" s="480">
        <f>SUM(E7:E27)</f>
        <v>3126390000</v>
      </c>
      <c r="F6" s="480">
        <f>SUM(F7:F27)</f>
        <v>3190000.0000001192</v>
      </c>
      <c r="G6" s="541"/>
    </row>
    <row r="7" spans="1:7" s="1" customFormat="1" ht="14.25" thickTop="1">
      <c r="A7" s="476" t="s">
        <v>47</v>
      </c>
      <c r="B7" s="477" t="s">
        <v>256</v>
      </c>
      <c r="C7" s="477" t="s">
        <v>256</v>
      </c>
      <c r="D7" s="566">
        <f>'나.세입세출(총괄)'!D7</f>
        <v>104400000</v>
      </c>
      <c r="E7" s="566">
        <f>'나.세입세출(총괄)'!E7</f>
        <v>104400000</v>
      </c>
      <c r="F7" s="481">
        <f>E7-D7</f>
        <v>0</v>
      </c>
      <c r="G7" s="544"/>
    </row>
    <row r="8" spans="1:7" s="1" customFormat="1">
      <c r="A8" s="369" t="s">
        <v>387</v>
      </c>
      <c r="B8" s="329" t="s">
        <v>387</v>
      </c>
      <c r="C8" s="329" t="s">
        <v>388</v>
      </c>
      <c r="D8" s="567">
        <v>0</v>
      </c>
      <c r="E8" s="567">
        <f>'나.세입세출(총괄)'!E10</f>
        <v>0</v>
      </c>
      <c r="F8" s="482">
        <f>E8-D8</f>
        <v>0</v>
      </c>
      <c r="G8" s="543"/>
    </row>
    <row r="9" spans="1:7" s="1" customFormat="1">
      <c r="A9" s="369" t="s">
        <v>50</v>
      </c>
      <c r="B9" s="329" t="s">
        <v>50</v>
      </c>
      <c r="C9" s="329" t="s">
        <v>50</v>
      </c>
      <c r="D9" s="567">
        <v>0</v>
      </c>
      <c r="E9" s="567">
        <f>'나.세입세출(총괄)'!E13</f>
        <v>0</v>
      </c>
      <c r="F9" s="482">
        <f t="shared" ref="F9:F25" si="0">E9-D9</f>
        <v>0</v>
      </c>
      <c r="G9" s="543"/>
    </row>
    <row r="10" spans="1:7" s="1" customFormat="1" ht="15.75" customHeight="1">
      <c r="A10" s="1127" t="s">
        <v>48</v>
      </c>
      <c r="B10" s="1137" t="s">
        <v>97</v>
      </c>
      <c r="C10" s="329" t="s">
        <v>56</v>
      </c>
      <c r="D10" s="567">
        <f>'나.세입세출(총괄)'!D18</f>
        <v>1477837788</v>
      </c>
      <c r="E10" s="567">
        <f>'나.세입세출(총괄)'!E18</f>
        <v>1444358322.4000001</v>
      </c>
      <c r="F10" s="482">
        <f t="shared" si="0"/>
        <v>-33479465.599999905</v>
      </c>
      <c r="G10" s="578" t="s">
        <v>737</v>
      </c>
    </row>
    <row r="11" spans="1:7" s="1" customFormat="1">
      <c r="A11" s="1136"/>
      <c r="B11" s="1138"/>
      <c r="C11" s="329" t="s">
        <v>17</v>
      </c>
      <c r="D11" s="567">
        <f>'나.세입세출(총괄)'!D19</f>
        <v>872615072</v>
      </c>
      <c r="E11" s="567">
        <f>'나.세입세출(총괄)'!E19</f>
        <v>909143029.60000002</v>
      </c>
      <c r="F11" s="482">
        <f t="shared" si="0"/>
        <v>36527957.600000024</v>
      </c>
      <c r="G11" s="579" t="s">
        <v>796</v>
      </c>
    </row>
    <row r="12" spans="1:7" s="1" customFormat="1">
      <c r="A12" s="1136"/>
      <c r="B12" s="910"/>
      <c r="C12" s="329" t="s">
        <v>106</v>
      </c>
      <c r="D12" s="567">
        <f>'나.세입세출(총괄)'!D20</f>
        <v>5290000</v>
      </c>
      <c r="E12" s="567">
        <f>'나.세입세출(총괄)'!E20</f>
        <v>5290000</v>
      </c>
      <c r="F12" s="482">
        <f t="shared" si="0"/>
        <v>0</v>
      </c>
      <c r="G12" s="579" t="s">
        <v>729</v>
      </c>
    </row>
    <row r="13" spans="1:7" s="1" customFormat="1">
      <c r="A13" s="1136"/>
      <c r="B13" s="329" t="s">
        <v>98</v>
      </c>
      <c r="C13" s="329" t="s">
        <v>239</v>
      </c>
      <c r="D13" s="567">
        <v>0</v>
      </c>
      <c r="E13" s="567">
        <f>'나.세입세출(총괄)'!E21</f>
        <v>0</v>
      </c>
      <c r="F13" s="482">
        <f t="shared" si="0"/>
        <v>0</v>
      </c>
      <c r="G13" s="543"/>
    </row>
    <row r="14" spans="1:7" s="1" customFormat="1">
      <c r="A14" s="1136"/>
      <c r="B14" s="1137" t="s">
        <v>49</v>
      </c>
      <c r="C14" s="329" t="s">
        <v>179</v>
      </c>
      <c r="D14" s="567">
        <v>0</v>
      </c>
      <c r="E14" s="567">
        <f>'나.세입세출(총괄)'!E24</f>
        <v>0</v>
      </c>
      <c r="F14" s="482">
        <f>E14-D14</f>
        <v>0</v>
      </c>
      <c r="G14" s="543" t="s">
        <v>774</v>
      </c>
    </row>
    <row r="15" spans="1:7" s="1" customFormat="1">
      <c r="A15" s="1136"/>
      <c r="B15" s="1138"/>
      <c r="C15" s="329" t="s">
        <v>415</v>
      </c>
      <c r="D15" s="567">
        <v>0</v>
      </c>
      <c r="E15" s="567">
        <f>'나.세입세출(총괄)'!E25</f>
        <v>0</v>
      </c>
      <c r="F15" s="482">
        <f t="shared" si="0"/>
        <v>0</v>
      </c>
      <c r="G15" s="543"/>
    </row>
    <row r="16" spans="1:7" s="1" customFormat="1" ht="13.5" hidden="1" customHeight="1">
      <c r="A16" s="1136"/>
      <c r="B16" s="1138"/>
      <c r="C16" s="329"/>
      <c r="D16" s="567">
        <v>0</v>
      </c>
      <c r="E16" s="567">
        <f>'나.세입세출(총괄)'!E26</f>
        <v>0</v>
      </c>
      <c r="F16" s="482">
        <f t="shared" si="0"/>
        <v>0</v>
      </c>
      <c r="G16" s="543"/>
    </row>
    <row r="17" spans="1:7" s="1" customFormat="1" ht="13.5" hidden="1" customHeight="1">
      <c r="A17" s="1136"/>
      <c r="B17" s="910"/>
      <c r="C17" s="329"/>
      <c r="D17" s="567">
        <v>0</v>
      </c>
      <c r="E17" s="567">
        <f>'나.세입세출(총괄)'!E27</f>
        <v>0</v>
      </c>
      <c r="F17" s="482">
        <f t="shared" si="0"/>
        <v>0</v>
      </c>
      <c r="G17" s="542"/>
    </row>
    <row r="18" spans="1:7" s="4" customFormat="1">
      <c r="A18" s="1134"/>
      <c r="B18" s="329" t="s">
        <v>102</v>
      </c>
      <c r="C18" s="329" t="s">
        <v>102</v>
      </c>
      <c r="D18" s="567">
        <v>0</v>
      </c>
      <c r="E18" s="567">
        <f>'나.세입세출(총괄)'!E28</f>
        <v>0</v>
      </c>
      <c r="F18" s="482">
        <f t="shared" si="0"/>
        <v>0</v>
      </c>
      <c r="G18" s="543"/>
    </row>
    <row r="19" spans="1:7" s="3" customFormat="1">
      <c r="A19" s="1127" t="s">
        <v>396</v>
      </c>
      <c r="B19" s="1137" t="s">
        <v>102</v>
      </c>
      <c r="C19" s="329" t="s">
        <v>394</v>
      </c>
      <c r="D19" s="567">
        <f>'나.세입세출(총괄)'!D32</f>
        <v>6100000</v>
      </c>
      <c r="E19" s="567">
        <f>'나.세입세출(총괄)'!E32</f>
        <v>6100000</v>
      </c>
      <c r="F19" s="482">
        <f t="shared" si="0"/>
        <v>0</v>
      </c>
      <c r="G19" s="543" t="s">
        <v>775</v>
      </c>
    </row>
    <row r="20" spans="1:7" s="1" customFormat="1">
      <c r="A20" s="1136"/>
      <c r="B20" s="910"/>
      <c r="C20" s="329" t="s">
        <v>395</v>
      </c>
      <c r="D20" s="567">
        <f>'나.세입세출(총괄)'!D33</f>
        <v>310000000</v>
      </c>
      <c r="E20" s="567">
        <f>'나.세입세출(총괄)'!E33</f>
        <v>310000000</v>
      </c>
      <c r="F20" s="482">
        <f t="shared" si="0"/>
        <v>0</v>
      </c>
      <c r="G20" s="543"/>
    </row>
    <row r="21" spans="1:7" s="1" customFormat="1">
      <c r="A21" s="1134"/>
      <c r="B21" s="377" t="s">
        <v>423</v>
      </c>
      <c r="C21" s="329" t="s">
        <v>424</v>
      </c>
      <c r="D21" s="567">
        <f>'나.세입세출(총괄)'!D34</f>
        <v>1000000</v>
      </c>
      <c r="E21" s="567">
        <f>'나.세입세출(총괄)'!E34</f>
        <v>1000000</v>
      </c>
      <c r="F21" s="482">
        <f t="shared" si="0"/>
        <v>0</v>
      </c>
      <c r="G21" s="543"/>
    </row>
    <row r="22" spans="1:7">
      <c r="A22" s="369" t="s">
        <v>52</v>
      </c>
      <c r="B22" s="329" t="s">
        <v>52</v>
      </c>
      <c r="C22" s="329" t="s">
        <v>53</v>
      </c>
      <c r="D22" s="567">
        <f>'나.세입세출(총괄)'!D36</f>
        <v>20000000</v>
      </c>
      <c r="E22" s="567">
        <f>'나.세입세출(총괄)'!E36</f>
        <v>20000000</v>
      </c>
      <c r="F22" s="482">
        <f>E22-D22</f>
        <v>0</v>
      </c>
      <c r="G22" s="543"/>
    </row>
    <row r="23" spans="1:7">
      <c r="A23" s="1127" t="s">
        <v>99</v>
      </c>
      <c r="B23" s="1137" t="s">
        <v>99</v>
      </c>
      <c r="C23" s="329" t="s">
        <v>245</v>
      </c>
      <c r="D23" s="567">
        <f>'나.세입세출(총괄)'!D41</f>
        <v>284604921</v>
      </c>
      <c r="E23" s="567">
        <f>'나.세입세출(총괄)'!E41</f>
        <v>284604921</v>
      </c>
      <c r="F23" s="482">
        <f t="shared" si="0"/>
        <v>0</v>
      </c>
      <c r="G23" s="543" t="s">
        <v>776</v>
      </c>
    </row>
    <row r="24" spans="1:7">
      <c r="A24" s="1134"/>
      <c r="B24" s="910"/>
      <c r="C24" s="329" t="s">
        <v>244</v>
      </c>
      <c r="D24" s="567">
        <f>'나.세입세출(총괄)'!D42</f>
        <v>0</v>
      </c>
      <c r="E24" s="567">
        <f>'나.세입세출(총괄)'!E42</f>
        <v>0</v>
      </c>
      <c r="F24" s="482">
        <f t="shared" si="0"/>
        <v>0</v>
      </c>
      <c r="G24" s="543"/>
    </row>
    <row r="25" spans="1:7">
      <c r="A25" s="1127" t="s">
        <v>51</v>
      </c>
      <c r="B25" s="1137" t="s">
        <v>51</v>
      </c>
      <c r="C25" s="329" t="s">
        <v>54</v>
      </c>
      <c r="D25" s="567">
        <f>'나.세입세출(총괄)'!D45</f>
        <v>500000</v>
      </c>
      <c r="E25" s="567">
        <f>'나.세입세출(총괄)'!E45</f>
        <v>500000</v>
      </c>
      <c r="F25" s="482">
        <f t="shared" si="0"/>
        <v>0</v>
      </c>
      <c r="G25" s="543"/>
    </row>
    <row r="26" spans="1:7">
      <c r="A26" s="1136"/>
      <c r="B26" s="1138"/>
      <c r="C26" s="329" t="s">
        <v>55</v>
      </c>
      <c r="D26" s="567">
        <f>'나.세입세출(총괄)'!D46</f>
        <v>2352219</v>
      </c>
      <c r="E26" s="567">
        <f>'나.세입세출(총괄)'!E46</f>
        <v>2404727</v>
      </c>
      <c r="F26" s="482">
        <f>E26-D26</f>
        <v>52508</v>
      </c>
      <c r="G26" s="543" t="s">
        <v>729</v>
      </c>
    </row>
    <row r="27" spans="1:7">
      <c r="A27" s="1128"/>
      <c r="B27" s="1139"/>
      <c r="C27" s="391" t="s">
        <v>247</v>
      </c>
      <c r="D27" s="568">
        <f>'나.세입세출(총괄)'!D47</f>
        <v>38500000</v>
      </c>
      <c r="E27" s="568">
        <f>'나.세입세출(총괄)'!E47</f>
        <v>38589000</v>
      </c>
      <c r="F27" s="484">
        <f>E27-D27</f>
        <v>89000</v>
      </c>
      <c r="G27" s="545"/>
    </row>
    <row r="28" spans="1:7">
      <c r="A28" s="285"/>
      <c r="B28" s="285"/>
      <c r="C28" s="285"/>
      <c r="D28" s="485"/>
      <c r="E28" s="485"/>
      <c r="F28" s="485"/>
    </row>
    <row r="29" spans="1:7">
      <c r="A29" s="285"/>
      <c r="B29" s="285"/>
      <c r="C29" s="285"/>
      <c r="D29" s="485"/>
      <c r="E29" s="485"/>
      <c r="F29" s="485"/>
    </row>
    <row r="30" spans="1:7" s="5" customFormat="1" ht="18.75" customHeight="1">
      <c r="A30" s="1131" t="s">
        <v>418</v>
      </c>
      <c r="B30" s="1132"/>
      <c r="C30" s="1132"/>
      <c r="D30" s="1132"/>
      <c r="E30" s="1132"/>
      <c r="F30" s="1132"/>
      <c r="G30" s="1133"/>
    </row>
    <row r="31" spans="1:7" s="3" customFormat="1" ht="18.75" customHeight="1">
      <c r="A31" s="950" t="s">
        <v>4</v>
      </c>
      <c r="B31" s="951"/>
      <c r="C31" s="951"/>
      <c r="D31" s="916" t="str">
        <f>D4</f>
        <v>2015년도
당초예산
( A )</v>
      </c>
      <c r="E31" s="916" t="str">
        <f>E4</f>
        <v>2015년도
1차추경
( B )</v>
      </c>
      <c r="F31" s="1129" t="s">
        <v>419</v>
      </c>
      <c r="G31" s="1140" t="s">
        <v>420</v>
      </c>
    </row>
    <row r="32" spans="1:7" s="3" customFormat="1" ht="18.75" customHeight="1" thickBot="1">
      <c r="A32" s="180" t="s">
        <v>1</v>
      </c>
      <c r="B32" s="181" t="s">
        <v>2</v>
      </c>
      <c r="C32" s="181" t="s">
        <v>3</v>
      </c>
      <c r="D32" s="1135"/>
      <c r="E32" s="1135"/>
      <c r="F32" s="1130"/>
      <c r="G32" s="1141"/>
    </row>
    <row r="33" spans="1:7" s="3" customFormat="1" ht="18.75" customHeight="1" thickTop="1" thickBot="1">
      <c r="A33" s="1142" t="s">
        <v>259</v>
      </c>
      <c r="B33" s="1143"/>
      <c r="C33" s="1143"/>
      <c r="D33" s="480">
        <f>SUM(D34:D79)</f>
        <v>3123200000</v>
      </c>
      <c r="E33" s="480">
        <f>SUM(E34:E79)</f>
        <v>3126390000</v>
      </c>
      <c r="F33" s="480">
        <f>SUM(F34:F79)</f>
        <v>3190000</v>
      </c>
      <c r="G33" s="563"/>
    </row>
    <row r="34" spans="1:7" ht="14.25" thickTop="1">
      <c r="A34" s="1146" t="s">
        <v>10</v>
      </c>
      <c r="B34" s="1145" t="s">
        <v>56</v>
      </c>
      <c r="C34" s="477" t="s">
        <v>11</v>
      </c>
      <c r="D34" s="564">
        <f>'나.세입세출(총괄)'!K9</f>
        <v>1158682000</v>
      </c>
      <c r="E34" s="564">
        <f>'나.세입세출(총괄)'!L9</f>
        <v>1141381000</v>
      </c>
      <c r="F34" s="481">
        <f>E34-D34</f>
        <v>-17301000</v>
      </c>
      <c r="G34" s="578" t="s">
        <v>738</v>
      </c>
    </row>
    <row r="35" spans="1:7">
      <c r="A35" s="1136"/>
      <c r="B35" s="1138"/>
      <c r="C35" s="329" t="s">
        <v>12</v>
      </c>
      <c r="D35" s="565">
        <f>'나.세입세출(총괄)'!K10</f>
        <v>0</v>
      </c>
      <c r="E35" s="565">
        <f>'나.세입세출(총괄)'!L10</f>
        <v>0</v>
      </c>
      <c r="F35" s="483">
        <f>E35-D35</f>
        <v>0</v>
      </c>
      <c r="G35" s="575"/>
    </row>
    <row r="36" spans="1:7">
      <c r="A36" s="1136"/>
      <c r="B36" s="1138"/>
      <c r="C36" s="329" t="s">
        <v>277</v>
      </c>
      <c r="D36" s="565">
        <f>'나.세입세출(총괄)'!K11</f>
        <v>9600000</v>
      </c>
      <c r="E36" s="565">
        <f>'나.세입세출(총괄)'!L11</f>
        <v>2000000</v>
      </c>
      <c r="F36" s="483">
        <f t="shared" ref="F36:F77" si="1">E36-D36</f>
        <v>-7600000</v>
      </c>
      <c r="G36" s="576"/>
    </row>
    <row r="37" spans="1:7">
      <c r="A37" s="1136"/>
      <c r="B37" s="1138"/>
      <c r="C37" s="329" t="s">
        <v>14</v>
      </c>
      <c r="D37" s="565">
        <f>'나.세입세출(총괄)'!K12</f>
        <v>437179850</v>
      </c>
      <c r="E37" s="565">
        <f>'나.세입세출(총괄)'!L12</f>
        <v>406531500</v>
      </c>
      <c r="F37" s="483">
        <f t="shared" si="1"/>
        <v>-30648350</v>
      </c>
      <c r="G37" s="578" t="s">
        <v>738</v>
      </c>
    </row>
    <row r="38" spans="1:7">
      <c r="A38" s="1136"/>
      <c r="B38" s="1138"/>
      <c r="C38" s="329" t="s">
        <v>278</v>
      </c>
      <c r="D38" s="565">
        <f>'나.세입세출(총괄)'!K13</f>
        <v>144744530</v>
      </c>
      <c r="E38" s="565">
        <f>'나.세입세출(총괄)'!L13</f>
        <v>140594430</v>
      </c>
      <c r="F38" s="483">
        <f t="shared" si="1"/>
        <v>-4150100</v>
      </c>
      <c r="G38" s="578" t="s">
        <v>738</v>
      </c>
    </row>
    <row r="39" spans="1:7">
      <c r="A39" s="1136"/>
      <c r="B39" s="1138"/>
      <c r="C39" s="329" t="s">
        <v>279</v>
      </c>
      <c r="D39" s="565">
        <f>'나.세입세출(총괄)'!K14</f>
        <v>160813100</v>
      </c>
      <c r="E39" s="565">
        <f>'나.세입세출(총괄)'!L14</f>
        <v>156991380</v>
      </c>
      <c r="F39" s="483">
        <f t="shared" si="1"/>
        <v>-3821720</v>
      </c>
      <c r="G39" s="578" t="s">
        <v>738</v>
      </c>
    </row>
    <row r="40" spans="1:7">
      <c r="A40" s="1136"/>
      <c r="B40" s="910"/>
      <c r="C40" s="329" t="s">
        <v>119</v>
      </c>
      <c r="D40" s="565">
        <f>'나.세입세출(총괄)'!K15</f>
        <v>44200000</v>
      </c>
      <c r="E40" s="565">
        <f>'나.세입세출(총괄)'!L15</f>
        <v>50000000</v>
      </c>
      <c r="F40" s="483">
        <f t="shared" si="1"/>
        <v>5800000</v>
      </c>
      <c r="G40" s="576" t="s">
        <v>727</v>
      </c>
    </row>
    <row r="41" spans="1:7">
      <c r="A41" s="1136"/>
      <c r="B41" s="1137" t="s">
        <v>57</v>
      </c>
      <c r="C41" s="329" t="s">
        <v>121</v>
      </c>
      <c r="D41" s="565">
        <f>'나.세입세출(총괄)'!K17</f>
        <v>0</v>
      </c>
      <c r="E41" s="565">
        <f>'나.세입세출(총괄)'!L17</f>
        <v>0</v>
      </c>
      <c r="F41" s="483">
        <f t="shared" si="1"/>
        <v>0</v>
      </c>
      <c r="G41" s="576"/>
    </row>
    <row r="42" spans="1:7">
      <c r="A42" s="1136"/>
      <c r="B42" s="1138"/>
      <c r="C42" s="329" t="s">
        <v>16</v>
      </c>
      <c r="D42" s="565">
        <f>'나.세입세출(총괄)'!K18</f>
        <v>0</v>
      </c>
      <c r="E42" s="565">
        <f>'나.세입세출(총괄)'!L18</f>
        <v>0</v>
      </c>
      <c r="F42" s="483">
        <f t="shared" si="1"/>
        <v>0</v>
      </c>
      <c r="G42" s="576"/>
    </row>
    <row r="43" spans="1:7">
      <c r="A43" s="1136"/>
      <c r="B43" s="1138"/>
      <c r="C43" s="329" t="s">
        <v>214</v>
      </c>
      <c r="D43" s="565">
        <f>'나.세입세출(총괄)'!K19</f>
        <v>26000000</v>
      </c>
      <c r="E43" s="565">
        <f>'나.세입세출(총괄)'!L19</f>
        <v>25000000</v>
      </c>
      <c r="F43" s="483">
        <f t="shared" si="1"/>
        <v>-1000000</v>
      </c>
      <c r="G43" s="576"/>
    </row>
    <row r="44" spans="1:7">
      <c r="A44" s="1136"/>
      <c r="B44" s="910"/>
      <c r="C44" s="329" t="s">
        <v>123</v>
      </c>
      <c r="D44" s="565">
        <f>'나.세입세출(총괄)'!K20</f>
        <v>4000000</v>
      </c>
      <c r="E44" s="565">
        <f>'나.세입세출(총괄)'!L20</f>
        <v>4000000</v>
      </c>
      <c r="F44" s="483">
        <f t="shared" si="1"/>
        <v>0</v>
      </c>
      <c r="G44" s="576" t="s">
        <v>727</v>
      </c>
    </row>
    <row r="45" spans="1:7">
      <c r="A45" s="1136"/>
      <c r="B45" s="1137" t="s">
        <v>17</v>
      </c>
      <c r="C45" s="329" t="s">
        <v>18</v>
      </c>
      <c r="D45" s="565">
        <f>'나.세입세출(총괄)'!K22</f>
        <v>10000000</v>
      </c>
      <c r="E45" s="565">
        <f>'나.세입세출(총괄)'!L22</f>
        <v>10000000</v>
      </c>
      <c r="F45" s="483">
        <f t="shared" si="1"/>
        <v>0</v>
      </c>
      <c r="G45" s="576"/>
    </row>
    <row r="46" spans="1:7">
      <c r="A46" s="1136"/>
      <c r="B46" s="1138"/>
      <c r="C46" s="329" t="s">
        <v>126</v>
      </c>
      <c r="D46" s="565">
        <f>'나.세입세출(총괄)'!K23</f>
        <v>39390000</v>
      </c>
      <c r="E46" s="565">
        <f>'나.세입세출(총괄)'!L23</f>
        <v>39922250</v>
      </c>
      <c r="F46" s="483">
        <f t="shared" si="1"/>
        <v>532250</v>
      </c>
      <c r="G46" s="576" t="s">
        <v>726</v>
      </c>
    </row>
    <row r="47" spans="1:7">
      <c r="A47" s="1136"/>
      <c r="B47" s="1138"/>
      <c r="C47" s="329" t="s">
        <v>19</v>
      </c>
      <c r="D47" s="565">
        <f>'나.세입세출(총괄)'!K24</f>
        <v>118131000</v>
      </c>
      <c r="E47" s="565">
        <f>'나.세입세출(총괄)'!L24</f>
        <v>118131000</v>
      </c>
      <c r="F47" s="483">
        <f t="shared" si="1"/>
        <v>0</v>
      </c>
      <c r="G47" s="576"/>
    </row>
    <row r="48" spans="1:7">
      <c r="A48" s="1136"/>
      <c r="B48" s="1138"/>
      <c r="C48" s="329" t="s">
        <v>20</v>
      </c>
      <c r="D48" s="565">
        <f>'나.세입세출(총괄)'!K25</f>
        <v>21000000</v>
      </c>
      <c r="E48" s="565">
        <f>'나.세입세출(총괄)'!L25</f>
        <v>19000000</v>
      </c>
      <c r="F48" s="483">
        <f t="shared" si="1"/>
        <v>-2000000</v>
      </c>
      <c r="G48" s="576"/>
    </row>
    <row r="49" spans="1:7">
      <c r="A49" s="1136"/>
      <c r="B49" s="1138"/>
      <c r="C49" s="329" t="s">
        <v>21</v>
      </c>
      <c r="D49" s="565">
        <f>'나.세입세출(총괄)'!K26</f>
        <v>53400000</v>
      </c>
      <c r="E49" s="565">
        <f>'나.세입세출(총괄)'!L26</f>
        <v>51000000</v>
      </c>
      <c r="F49" s="483">
        <f t="shared" si="1"/>
        <v>-2400000</v>
      </c>
      <c r="G49" s="576" t="s">
        <v>752</v>
      </c>
    </row>
    <row r="50" spans="1:7">
      <c r="A50" s="1134"/>
      <c r="B50" s="910"/>
      <c r="C50" s="329" t="s">
        <v>130</v>
      </c>
      <c r="D50" s="565">
        <f>'나.세입세출(총괄)'!K27</f>
        <v>16000000</v>
      </c>
      <c r="E50" s="565">
        <f>'나.세입세출(총괄)'!L27</f>
        <v>15500000</v>
      </c>
      <c r="F50" s="483">
        <f t="shared" si="1"/>
        <v>-500000</v>
      </c>
      <c r="G50" s="576"/>
    </row>
    <row r="51" spans="1:7">
      <c r="A51" s="1127" t="s">
        <v>24</v>
      </c>
      <c r="B51" s="1137" t="s">
        <v>23</v>
      </c>
      <c r="C51" s="329" t="s">
        <v>23</v>
      </c>
      <c r="D51" s="565">
        <f>'나.세입세출(총괄)'!K30</f>
        <v>16000000</v>
      </c>
      <c r="E51" s="565">
        <f>'나.세입세출(총괄)'!L30</f>
        <v>9000000</v>
      </c>
      <c r="F51" s="483">
        <f t="shared" si="1"/>
        <v>-7000000</v>
      </c>
      <c r="G51" s="576" t="s">
        <v>727</v>
      </c>
    </row>
    <row r="52" spans="1:7">
      <c r="A52" s="1136"/>
      <c r="B52" s="1138"/>
      <c r="C52" s="329" t="s">
        <v>58</v>
      </c>
      <c r="D52" s="565">
        <f>'나.세입세출(총괄)'!K31</f>
        <v>40000000</v>
      </c>
      <c r="E52" s="565">
        <f>'나.세입세출(총괄)'!L31</f>
        <v>24000000</v>
      </c>
      <c r="F52" s="483">
        <f t="shared" si="1"/>
        <v>-16000000</v>
      </c>
      <c r="G52" s="576" t="s">
        <v>727</v>
      </c>
    </row>
    <row r="53" spans="1:7">
      <c r="A53" s="1134"/>
      <c r="B53" s="910"/>
      <c r="C53" s="329" t="s">
        <v>133</v>
      </c>
      <c r="D53" s="565">
        <f>'나.세입세출(총괄)'!K32</f>
        <v>150400000</v>
      </c>
      <c r="E53" s="565">
        <f>'나.세입세출(총괄)'!L32</f>
        <v>190900000</v>
      </c>
      <c r="F53" s="483">
        <f t="shared" si="1"/>
        <v>40500000</v>
      </c>
      <c r="G53" s="576" t="s">
        <v>726</v>
      </c>
    </row>
    <row r="54" spans="1:7">
      <c r="A54" s="1127" t="s">
        <v>25</v>
      </c>
      <c r="B54" s="1137" t="s">
        <v>17</v>
      </c>
      <c r="C54" s="329" t="s">
        <v>106</v>
      </c>
      <c r="D54" s="565">
        <f>'나.세입세출(총괄)'!K35</f>
        <v>228527360</v>
      </c>
      <c r="E54" s="565">
        <f>'나.세입세출(총괄)'!L35</f>
        <v>238277472</v>
      </c>
      <c r="F54" s="483">
        <f t="shared" si="1"/>
        <v>9750112</v>
      </c>
      <c r="G54" s="576" t="s">
        <v>777</v>
      </c>
    </row>
    <row r="55" spans="1:7">
      <c r="A55" s="1136"/>
      <c r="B55" s="1138"/>
      <c r="C55" s="367" t="s">
        <v>26</v>
      </c>
      <c r="D55" s="397">
        <f>'나.세입세출(총괄)'!K36</f>
        <v>8800000</v>
      </c>
      <c r="E55" s="397">
        <f>'나.세입세출(총괄)'!L36</f>
        <v>2400000</v>
      </c>
      <c r="F55" s="483">
        <f t="shared" si="1"/>
        <v>-6400000</v>
      </c>
      <c r="G55" s="576"/>
    </row>
    <row r="56" spans="1:7">
      <c r="A56" s="1136"/>
      <c r="B56" s="1138"/>
      <c r="C56" s="329" t="s">
        <v>144</v>
      </c>
      <c r="D56" s="397">
        <f>'나.세입세출(총괄)'!K37</f>
        <v>45819000</v>
      </c>
      <c r="E56" s="397">
        <f>'나.세입세출(총괄)'!L37</f>
        <v>40819000</v>
      </c>
      <c r="F56" s="483">
        <f t="shared" si="1"/>
        <v>-5000000</v>
      </c>
      <c r="G56" s="576" t="s">
        <v>726</v>
      </c>
    </row>
    <row r="57" spans="1:7">
      <c r="A57" s="1136"/>
      <c r="B57" s="1138"/>
      <c r="C57" s="329" t="s">
        <v>27</v>
      </c>
      <c r="D57" s="397">
        <f>'나.세입세출(총괄)'!K38</f>
        <v>3500000</v>
      </c>
      <c r="E57" s="397">
        <f>'나.세입세출(총괄)'!L38</f>
        <v>3500000</v>
      </c>
      <c r="F57" s="483">
        <f t="shared" si="1"/>
        <v>0</v>
      </c>
      <c r="G57" s="576"/>
    </row>
    <row r="58" spans="1:7" ht="13.5" customHeight="1">
      <c r="A58" s="1136"/>
      <c r="B58" s="1138"/>
      <c r="C58" s="329" t="s">
        <v>22</v>
      </c>
      <c r="D58" s="397">
        <f>'나.세입세출(총괄)'!K39</f>
        <v>500000</v>
      </c>
      <c r="E58" s="397">
        <f>'나.세입세출(총괄)'!L39</f>
        <v>0</v>
      </c>
      <c r="F58" s="483">
        <f t="shared" si="1"/>
        <v>-500000</v>
      </c>
      <c r="G58" s="576"/>
    </row>
    <row r="59" spans="1:7" ht="13.5" hidden="1" customHeight="1">
      <c r="A59" s="1136"/>
      <c r="B59" s="1138"/>
      <c r="C59" s="329" t="s">
        <v>28</v>
      </c>
      <c r="D59" s="397">
        <f>'나.세입세출(총괄)'!K40</f>
        <v>0</v>
      </c>
      <c r="E59" s="397">
        <f>'나.세입세출(총괄)'!L40</f>
        <v>0</v>
      </c>
      <c r="F59" s="483">
        <f t="shared" si="1"/>
        <v>0</v>
      </c>
      <c r="G59" s="576"/>
    </row>
    <row r="60" spans="1:7" ht="13.5" hidden="1" customHeight="1">
      <c r="A60" s="1136"/>
      <c r="B60" s="1138"/>
      <c r="C60" s="329" t="s">
        <v>148</v>
      </c>
      <c r="D60" s="397"/>
      <c r="E60" s="397"/>
      <c r="F60" s="483">
        <f t="shared" si="1"/>
        <v>0</v>
      </c>
      <c r="G60" s="576"/>
    </row>
    <row r="61" spans="1:7" ht="13.5" hidden="1" customHeight="1">
      <c r="A61" s="1136"/>
      <c r="B61" s="1138"/>
      <c r="C61" s="329" t="s">
        <v>149</v>
      </c>
      <c r="D61" s="397">
        <f>'나.세입세출(총괄)'!K42</f>
        <v>0</v>
      </c>
      <c r="E61" s="397">
        <f>'나.세입세출(총괄)'!L42</f>
        <v>0</v>
      </c>
      <c r="F61" s="483">
        <f t="shared" si="1"/>
        <v>0</v>
      </c>
      <c r="G61" s="576"/>
    </row>
    <row r="62" spans="1:7" ht="13.5" hidden="1" customHeight="1">
      <c r="A62" s="1136"/>
      <c r="B62" s="910"/>
      <c r="C62" s="329" t="s">
        <v>22</v>
      </c>
      <c r="D62" s="565"/>
      <c r="E62" s="565"/>
      <c r="F62" s="483">
        <f t="shared" si="1"/>
        <v>0</v>
      </c>
      <c r="G62" s="576"/>
    </row>
    <row r="63" spans="1:7" ht="13.5" hidden="1" customHeight="1">
      <c r="A63" s="1136"/>
      <c r="B63" s="329" t="s">
        <v>151</v>
      </c>
      <c r="C63" s="329" t="s">
        <v>449</v>
      </c>
      <c r="D63" s="565">
        <f>'나.세입세출(총괄)'!K40</f>
        <v>0</v>
      </c>
      <c r="E63" s="565">
        <f>'나.세입세출(총괄)'!L40</f>
        <v>0</v>
      </c>
      <c r="F63" s="483">
        <f t="shared" si="1"/>
        <v>0</v>
      </c>
      <c r="G63" s="576"/>
    </row>
    <row r="64" spans="1:7" ht="13.5" customHeight="1">
      <c r="A64" s="1136"/>
      <c r="B64" s="1137" t="s">
        <v>25</v>
      </c>
      <c r="C64" s="329" t="s">
        <v>162</v>
      </c>
      <c r="D64" s="565">
        <f>'나.세입세출(총괄)'!K42</f>
        <v>0</v>
      </c>
      <c r="E64" s="565">
        <f>'나.세입세출(총괄)'!L42</f>
        <v>0</v>
      </c>
      <c r="F64" s="483">
        <f t="shared" si="1"/>
        <v>0</v>
      </c>
      <c r="G64" s="576"/>
    </row>
    <row r="65" spans="1:7">
      <c r="A65" s="1136"/>
      <c r="B65" s="1138"/>
      <c r="C65" s="329" t="s">
        <v>293</v>
      </c>
      <c r="D65" s="565">
        <f>'나.세입세출(총괄)'!K43</f>
        <v>77500000</v>
      </c>
      <c r="E65" s="565">
        <f>'나.세입세출(총괄)'!L43</f>
        <v>77500000</v>
      </c>
      <c r="F65" s="483">
        <f t="shared" si="1"/>
        <v>0</v>
      </c>
      <c r="G65" s="576"/>
    </row>
    <row r="66" spans="1:7" ht="13.5" hidden="1" customHeight="1">
      <c r="A66" s="1136"/>
      <c r="B66" s="1138"/>
      <c r="C66" s="329" t="s">
        <v>163</v>
      </c>
      <c r="D66" s="565">
        <f>'나.세입세출(총괄)'!K44</f>
        <v>0</v>
      </c>
      <c r="E66" s="565">
        <f>'나.세입세출(총괄)'!L44</f>
        <v>0</v>
      </c>
      <c r="F66" s="483">
        <f t="shared" si="1"/>
        <v>0</v>
      </c>
      <c r="G66" s="576"/>
    </row>
    <row r="67" spans="1:7" ht="13.5" hidden="1" customHeight="1">
      <c r="A67" s="1136"/>
      <c r="B67" s="1138"/>
      <c r="C67" s="329"/>
      <c r="D67" s="565">
        <v>0</v>
      </c>
      <c r="E67" s="565">
        <v>0</v>
      </c>
      <c r="F67" s="483">
        <f t="shared" si="1"/>
        <v>0</v>
      </c>
      <c r="G67" s="576"/>
    </row>
    <row r="68" spans="1:7">
      <c r="A68" s="1136"/>
      <c r="B68" s="1138"/>
      <c r="C68" s="329" t="s">
        <v>164</v>
      </c>
      <c r="D68" s="565">
        <f>'나.세입세출(총괄)'!K45</f>
        <v>30000000</v>
      </c>
      <c r="E68" s="565">
        <f>'나.세입세출(총괄)'!L45</f>
        <v>30000000</v>
      </c>
      <c r="F68" s="483">
        <f t="shared" si="1"/>
        <v>0</v>
      </c>
      <c r="G68" s="576"/>
    </row>
    <row r="69" spans="1:7">
      <c r="A69" s="1136"/>
      <c r="B69" s="1138"/>
      <c r="C69" s="329" t="s">
        <v>171</v>
      </c>
      <c r="D69" s="565">
        <f>'나.세입세출(총괄)'!K46</f>
        <v>32840000</v>
      </c>
      <c r="E69" s="565">
        <f>'나.세입세출(총괄)'!L46</f>
        <v>32840000</v>
      </c>
      <c r="F69" s="483">
        <f t="shared" si="1"/>
        <v>0</v>
      </c>
      <c r="G69" s="576"/>
    </row>
    <row r="70" spans="1:7">
      <c r="A70" s="1136"/>
      <c r="B70" s="1138"/>
      <c r="C70" s="329" t="s">
        <v>297</v>
      </c>
      <c r="D70" s="565">
        <f>'나.세입세출(총괄)'!K47</f>
        <v>206416020</v>
      </c>
      <c r="E70" s="565">
        <f>'나.세입세출(총괄)'!L47</f>
        <v>237019070</v>
      </c>
      <c r="F70" s="483">
        <f t="shared" si="1"/>
        <v>30603050</v>
      </c>
      <c r="G70" s="576" t="s">
        <v>778</v>
      </c>
    </row>
    <row r="71" spans="1:7">
      <c r="A71" s="1136"/>
      <c r="B71" s="1138"/>
      <c r="C71" s="329" t="str">
        <f>'나.세입세출(총괄)'!J48</f>
        <v>추가지원사업비</v>
      </c>
      <c r="D71" s="565">
        <f>'나.세입세출(총괄)'!K48</f>
        <v>0</v>
      </c>
      <c r="E71" s="565">
        <f>'나.세입세출(총괄)'!L48</f>
        <v>20273250</v>
      </c>
      <c r="F71" s="483">
        <f t="shared" si="1"/>
        <v>20273250</v>
      </c>
      <c r="G71" s="576"/>
    </row>
    <row r="72" spans="1:7">
      <c r="A72" s="1136"/>
      <c r="B72" s="1138"/>
      <c r="C72" s="329" t="s">
        <v>179</v>
      </c>
      <c r="D72" s="565">
        <f>'나.세입세출(총괄)'!K49</f>
        <v>5900000</v>
      </c>
      <c r="E72" s="565">
        <f>'나.세입세출(총괄)'!L49</f>
        <v>5900000</v>
      </c>
      <c r="F72" s="483">
        <f t="shared" si="1"/>
        <v>0</v>
      </c>
      <c r="G72" s="576" t="s">
        <v>779</v>
      </c>
    </row>
    <row r="73" spans="1:7" ht="13.5" hidden="1" customHeight="1">
      <c r="A73" s="1136"/>
      <c r="B73" s="1138"/>
      <c r="C73" s="329"/>
      <c r="D73" s="565">
        <f>'나.세입세출(총괄)'!K50</f>
        <v>0</v>
      </c>
      <c r="E73" s="565">
        <f>'나.세입세출(총괄)'!L50</f>
        <v>0</v>
      </c>
      <c r="F73" s="483">
        <f t="shared" si="1"/>
        <v>0</v>
      </c>
      <c r="G73" s="543"/>
    </row>
    <row r="74" spans="1:7" ht="13.5" customHeight="1">
      <c r="A74" s="1134"/>
      <c r="B74" s="910"/>
      <c r="C74" s="329" t="s">
        <v>415</v>
      </c>
      <c r="D74" s="565">
        <f>'나.세입세출(총괄)'!K51</f>
        <v>6600000</v>
      </c>
      <c r="E74" s="565">
        <f>'나.세입세출(총괄)'!L51</f>
        <v>6600000</v>
      </c>
      <c r="F74" s="483">
        <f t="shared" si="1"/>
        <v>0</v>
      </c>
      <c r="G74" s="577" t="s">
        <v>780</v>
      </c>
    </row>
    <row r="75" spans="1:7">
      <c r="A75" s="369" t="s">
        <v>424</v>
      </c>
      <c r="B75" s="329" t="s">
        <v>424</v>
      </c>
      <c r="C75" s="329" t="s">
        <v>425</v>
      </c>
      <c r="D75" s="565">
        <f>'나.세입세출(총괄)'!K52</f>
        <v>1000000</v>
      </c>
      <c r="E75" s="565">
        <f>'나.세입세출(총괄)'!L52</f>
        <v>1000000</v>
      </c>
      <c r="F75" s="483">
        <f t="shared" si="1"/>
        <v>0</v>
      </c>
      <c r="G75" s="577"/>
    </row>
    <row r="76" spans="1:7">
      <c r="A76" s="369" t="s">
        <v>108</v>
      </c>
      <c r="B76" s="329" t="s">
        <v>108</v>
      </c>
      <c r="C76" s="329" t="s">
        <v>108</v>
      </c>
      <c r="D76" s="565">
        <f>'나.세입세출(총괄)'!K55</f>
        <v>0</v>
      </c>
      <c r="E76" s="565">
        <f>'나.세입세출(총괄)'!L55</f>
        <v>0</v>
      </c>
      <c r="F76" s="483">
        <f t="shared" si="1"/>
        <v>0</v>
      </c>
      <c r="G76" s="576"/>
    </row>
    <row r="77" spans="1:7">
      <c r="A77" s="369" t="s">
        <v>8</v>
      </c>
      <c r="B77" s="329" t="s">
        <v>8</v>
      </c>
      <c r="C77" s="329" t="s">
        <v>8</v>
      </c>
      <c r="D77" s="565">
        <f>'나.세입세출(총괄)'!K58</f>
        <v>639735</v>
      </c>
      <c r="E77" s="565">
        <f>'나.세입세출(총괄)'!L58</f>
        <v>692243</v>
      </c>
      <c r="F77" s="483">
        <f t="shared" si="1"/>
        <v>52508</v>
      </c>
      <c r="G77" s="576" t="s">
        <v>728</v>
      </c>
    </row>
    <row r="78" spans="1:7">
      <c r="A78" s="1127" t="s">
        <v>29</v>
      </c>
      <c r="B78" s="329" t="s">
        <v>29</v>
      </c>
      <c r="C78" s="329" t="s">
        <v>29</v>
      </c>
      <c r="D78" s="565">
        <f>'나.세입세출(총괄)'!K61</f>
        <v>0</v>
      </c>
      <c r="E78" s="565">
        <f>'나.세입세출(총괄)'!L61</f>
        <v>0</v>
      </c>
      <c r="F78" s="483">
        <f>E78-D78</f>
        <v>0</v>
      </c>
      <c r="G78" s="576"/>
    </row>
    <row r="79" spans="1:7">
      <c r="A79" s="1128"/>
      <c r="B79" s="518" t="s">
        <v>168</v>
      </c>
      <c r="C79" s="518" t="s">
        <v>168</v>
      </c>
      <c r="D79" s="569">
        <f>'나.세입세출(총괄)'!K64</f>
        <v>25617405</v>
      </c>
      <c r="E79" s="569">
        <f>'나.세입세출(총괄)'!L64</f>
        <v>25617405</v>
      </c>
      <c r="F79" s="529">
        <f>E79-D79</f>
        <v>0</v>
      </c>
      <c r="G79" s="616" t="s">
        <v>749</v>
      </c>
    </row>
    <row r="80" spans="1:7">
      <c r="D80" s="617"/>
    </row>
    <row r="81" spans="4:4">
      <c r="D81" s="617"/>
    </row>
    <row r="82" spans="4:4">
      <c r="D82" s="617"/>
    </row>
    <row r="83" spans="4:4">
      <c r="D83" s="617"/>
    </row>
    <row r="84" spans="4:4">
      <c r="D84" s="617"/>
    </row>
    <row r="85" spans="4:4">
      <c r="D85" s="617"/>
    </row>
    <row r="86" spans="4:4">
      <c r="D86" s="617"/>
    </row>
    <row r="87" spans="4:4">
      <c r="D87" s="617"/>
    </row>
  </sheetData>
  <mergeCells count="35"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  <mergeCell ref="A1:G1"/>
    <mergeCell ref="B19:B20"/>
    <mergeCell ref="B10:B12"/>
    <mergeCell ref="B14:B17"/>
    <mergeCell ref="A6:C6"/>
    <mergeCell ref="A2:C2"/>
    <mergeCell ref="A19:A21"/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E720"/>
  <sheetViews>
    <sheetView zoomScale="110" zoomScaleNormal="110" workbookViewId="0">
      <pane ySplit="4" topLeftCell="A71" activePane="bottomLeft" state="frozen"/>
      <selection activeCell="A16" sqref="A16"/>
      <selection pane="bottomLeft" activeCell="M552" sqref="M552"/>
    </sheetView>
  </sheetViews>
  <sheetFormatPr defaultRowHeight="13.5"/>
  <cols>
    <col min="1" max="1" width="4.5546875" style="27" customWidth="1"/>
    <col min="2" max="2" width="12.109375" style="27" customWidth="1"/>
    <col min="3" max="3" width="6.33203125" style="27" customWidth="1"/>
    <col min="4" max="4" width="3" style="27" hidden="1" customWidth="1"/>
    <col min="5" max="5" width="8.21875" style="27" customWidth="1"/>
    <col min="6" max="6" width="15.77734375" style="27" customWidth="1"/>
    <col min="7" max="12" width="11.33203125" style="27" hidden="1" customWidth="1"/>
    <col min="13" max="13" width="15.6640625" style="27" customWidth="1"/>
    <col min="14" max="14" width="15.77734375" style="27" hidden="1" customWidth="1"/>
    <col min="15" max="15" width="14.77734375" style="27" customWidth="1"/>
    <col min="16" max="16" width="15.77734375" style="27" hidden="1" customWidth="1"/>
    <col min="17" max="17" width="15" style="27" hidden="1" customWidth="1"/>
    <col min="18" max="21" width="15.77734375" style="27" customWidth="1"/>
    <col min="22" max="22" width="14.33203125" style="31" customWidth="1"/>
    <col min="23" max="29" width="13.44140625" style="27" hidden="1" customWidth="1"/>
    <col min="30" max="30" width="14.88671875" hidden="1" customWidth="1"/>
  </cols>
  <sheetData>
    <row r="1" spans="1:30" s="26" customFormat="1" ht="27.75" customHeight="1">
      <c r="A1" s="1159" t="s">
        <v>731</v>
      </c>
      <c r="B1" s="1159"/>
      <c r="C1" s="1159"/>
      <c r="D1" s="1159"/>
      <c r="E1" s="1159"/>
      <c r="F1" s="1159"/>
      <c r="G1" s="1159"/>
      <c r="H1" s="1159"/>
      <c r="I1" s="1159"/>
      <c r="J1" s="1159"/>
      <c r="K1" s="1159"/>
      <c r="L1" s="1159"/>
      <c r="M1" s="1159"/>
      <c r="N1" s="109"/>
      <c r="O1" s="109"/>
      <c r="P1" s="109"/>
      <c r="Q1" s="109"/>
      <c r="R1" s="109"/>
      <c r="S1" s="109"/>
      <c r="T1" s="109"/>
      <c r="U1" s="109"/>
      <c r="V1" s="110"/>
      <c r="W1" s="109"/>
      <c r="X1" s="109"/>
      <c r="Y1" s="109"/>
      <c r="Z1" s="109"/>
      <c r="AA1" s="109"/>
      <c r="AB1" s="109"/>
      <c r="AC1" s="109"/>
    </row>
    <row r="2" spans="1:30" s="26" customFormat="1" ht="6" hidden="1" customHeight="1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10"/>
      <c r="W2" s="109"/>
      <c r="X2" s="109"/>
      <c r="Y2" s="109"/>
      <c r="Z2" s="109"/>
      <c r="AA2" s="109"/>
      <c r="AB2" s="109"/>
      <c r="AC2" s="109"/>
    </row>
    <row r="3" spans="1:30" s="26" customFormat="1" ht="19.5" customHeight="1">
      <c r="A3" s="1160" t="s">
        <v>782</v>
      </c>
      <c r="B3" s="1160"/>
      <c r="C3" s="111"/>
      <c r="D3" s="111"/>
      <c r="E3" s="111"/>
      <c r="F3" s="112"/>
      <c r="G3" s="112"/>
      <c r="H3" s="112"/>
      <c r="I3" s="112"/>
      <c r="J3" s="112"/>
      <c r="K3" s="113"/>
      <c r="L3" s="113"/>
      <c r="M3" s="113"/>
      <c r="N3" s="114"/>
      <c r="O3" s="115"/>
      <c r="P3" s="115"/>
      <c r="Q3" s="115"/>
      <c r="R3" s="115"/>
      <c r="S3" s="115"/>
      <c r="T3" s="112"/>
      <c r="U3" s="112"/>
      <c r="V3" s="116"/>
      <c r="W3" s="112"/>
      <c r="X3" s="112"/>
      <c r="Y3" s="112"/>
      <c r="Z3" s="112"/>
      <c r="AA3" s="112"/>
      <c r="AB3" s="115"/>
      <c r="AC3" s="117" t="s">
        <v>482</v>
      </c>
    </row>
    <row r="4" spans="1:30" s="24" customFormat="1" ht="36" customHeight="1" thickBot="1">
      <c r="A4" s="183" t="s">
        <v>483</v>
      </c>
      <c r="B4" s="184" t="s">
        <v>484</v>
      </c>
      <c r="C4" s="184" t="s">
        <v>485</v>
      </c>
      <c r="D4" s="184" t="s">
        <v>486</v>
      </c>
      <c r="E4" s="184" t="s">
        <v>487</v>
      </c>
      <c r="F4" s="185" t="s">
        <v>488</v>
      </c>
      <c r="G4" s="186" t="s">
        <v>489</v>
      </c>
      <c r="H4" s="186" t="s">
        <v>490</v>
      </c>
      <c r="I4" s="186" t="s">
        <v>491</v>
      </c>
      <c r="J4" s="184" t="s">
        <v>492</v>
      </c>
      <c r="K4" s="186" t="s">
        <v>493</v>
      </c>
      <c r="L4" s="186" t="s">
        <v>494</v>
      </c>
      <c r="M4" s="186" t="s">
        <v>653</v>
      </c>
      <c r="N4" s="187" t="s">
        <v>495</v>
      </c>
      <c r="O4" s="186" t="s">
        <v>496</v>
      </c>
      <c r="P4" s="186" t="s">
        <v>497</v>
      </c>
      <c r="Q4" s="186" t="s">
        <v>498</v>
      </c>
      <c r="R4" s="186" t="s">
        <v>758</v>
      </c>
      <c r="S4" s="186" t="s">
        <v>805</v>
      </c>
      <c r="T4" s="186" t="s">
        <v>499</v>
      </c>
      <c r="U4" s="189" t="s">
        <v>500</v>
      </c>
      <c r="V4" s="330" t="s">
        <v>501</v>
      </c>
      <c r="W4" s="339" t="s">
        <v>502</v>
      </c>
      <c r="X4" s="189" t="s">
        <v>503</v>
      </c>
      <c r="Y4" s="189" t="s">
        <v>504</v>
      </c>
      <c r="Z4" s="188" t="s">
        <v>505</v>
      </c>
      <c r="AA4" s="189" t="s">
        <v>506</v>
      </c>
      <c r="AB4" s="188" t="s">
        <v>507</v>
      </c>
      <c r="AC4" s="190" t="s">
        <v>757</v>
      </c>
      <c r="AD4" s="620" t="s">
        <v>756</v>
      </c>
    </row>
    <row r="5" spans="1:30" s="25" customFormat="1" ht="21" customHeight="1" thickTop="1">
      <c r="A5" s="1148" t="s">
        <v>508</v>
      </c>
      <c r="B5" s="1149"/>
      <c r="C5" s="1149"/>
      <c r="D5" s="1149"/>
      <c r="E5" s="1149"/>
      <c r="F5" s="118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1141381000</v>
      </c>
      <c r="G5" s="118">
        <f t="shared" si="0"/>
        <v>0</v>
      </c>
      <c r="H5" s="118">
        <f t="shared" si="0"/>
        <v>0</v>
      </c>
      <c r="I5" s="118">
        <f t="shared" si="0"/>
        <v>0</v>
      </c>
      <c r="J5" s="118">
        <f t="shared" si="0"/>
        <v>0</v>
      </c>
      <c r="K5" s="118">
        <f t="shared" si="0"/>
        <v>0</v>
      </c>
      <c r="L5" s="118">
        <f t="shared" si="0"/>
        <v>0</v>
      </c>
      <c r="M5" s="118">
        <f t="shared" si="0"/>
        <v>109854000</v>
      </c>
      <c r="N5" s="118">
        <f t="shared" si="0"/>
        <v>0</v>
      </c>
      <c r="O5" s="118">
        <f t="shared" si="0"/>
        <v>16560000</v>
      </c>
      <c r="P5" s="118">
        <f t="shared" si="0"/>
        <v>0</v>
      </c>
      <c r="Q5" s="118">
        <f t="shared" si="0"/>
        <v>0</v>
      </c>
      <c r="R5" s="118">
        <f t="shared" si="0"/>
        <v>271637500</v>
      </c>
      <c r="S5" s="118">
        <f t="shared" si="0"/>
        <v>18549200</v>
      </c>
      <c r="T5" s="118">
        <f t="shared" si="0"/>
        <v>129200000</v>
      </c>
      <c r="U5" s="118">
        <f t="shared" si="0"/>
        <v>1668632500</v>
      </c>
      <c r="V5" s="348"/>
      <c r="W5" s="118">
        <f t="shared" ref="W5:AD5" si="1">W6+W19+W32+W45+W58+W71+W84+W97+W110+W123+W136+W149+W162+W175+W188+W201+W214+W227+W240+W253+W266+W279+W292+W305+W318+W331+W344+W357+W370+W383+W396+W409+W422+W435+W448+W461+W474+W487+W500+W513+W526+W539+W552+W565+W591+W604+W617+W630+W643+W578</f>
        <v>139887770</v>
      </c>
      <c r="X5" s="118">
        <f t="shared" si="1"/>
        <v>75089230</v>
      </c>
      <c r="Y5" s="118">
        <f t="shared" si="1"/>
        <v>50645830</v>
      </c>
      <c r="Z5" s="118">
        <f t="shared" si="1"/>
        <v>3319920</v>
      </c>
      <c r="AA5" s="118">
        <f t="shared" si="1"/>
        <v>14594080</v>
      </c>
      <c r="AB5" s="118">
        <f t="shared" si="1"/>
        <v>12972230</v>
      </c>
      <c r="AC5" s="118">
        <f t="shared" si="1"/>
        <v>296509060</v>
      </c>
      <c r="AD5" s="118">
        <f t="shared" si="1"/>
        <v>1372123440</v>
      </c>
    </row>
    <row r="6" spans="1:30" s="25" customFormat="1" ht="16.5" customHeight="1">
      <c r="A6" s="1150">
        <v>1</v>
      </c>
      <c r="B6" s="119" t="s">
        <v>509</v>
      </c>
      <c r="C6" s="332" t="s">
        <v>660</v>
      </c>
      <c r="D6" s="120">
        <v>1</v>
      </c>
      <c r="E6" s="121" t="s">
        <v>511</v>
      </c>
      <c r="F6" s="122">
        <f>SUM(F7:F18)</f>
        <v>35147000</v>
      </c>
      <c r="G6" s="122">
        <f t="shared" ref="G6:AC6" si="2">SUM(G7:G18)</f>
        <v>0</v>
      </c>
      <c r="H6" s="122">
        <f t="shared" si="2"/>
        <v>0</v>
      </c>
      <c r="I6" s="122">
        <f t="shared" si="2"/>
        <v>0</v>
      </c>
      <c r="J6" s="122">
        <f t="shared" si="2"/>
        <v>0</v>
      </c>
      <c r="K6" s="122">
        <f t="shared" si="2"/>
        <v>0</v>
      </c>
      <c r="L6" s="122">
        <f t="shared" si="2"/>
        <v>0</v>
      </c>
      <c r="M6" s="122">
        <f t="shared" si="2"/>
        <v>3503400</v>
      </c>
      <c r="N6" s="122">
        <f t="shared" si="2"/>
        <v>0</v>
      </c>
      <c r="O6" s="122">
        <f t="shared" si="2"/>
        <v>0</v>
      </c>
      <c r="P6" s="122"/>
      <c r="Q6" s="122"/>
      <c r="R6" s="122">
        <f t="shared" si="2"/>
        <v>5475000</v>
      </c>
      <c r="S6" s="122">
        <f t="shared" si="2"/>
        <v>1253000</v>
      </c>
      <c r="T6" s="122">
        <f t="shared" si="2"/>
        <v>3000000</v>
      </c>
      <c r="U6" s="122">
        <f>SUM(U7:U18)</f>
        <v>47125400</v>
      </c>
      <c r="V6" s="333"/>
      <c r="W6" s="350">
        <f t="shared" si="2"/>
        <v>3947980</v>
      </c>
      <c r="X6" s="122">
        <f t="shared" si="2"/>
        <v>2120670</v>
      </c>
      <c r="Y6" s="122">
        <f t="shared" si="2"/>
        <v>1430310</v>
      </c>
      <c r="Z6" s="122">
        <f t="shared" si="2"/>
        <v>93750</v>
      </c>
      <c r="AA6" s="122">
        <f t="shared" si="2"/>
        <v>0</v>
      </c>
      <c r="AB6" s="122">
        <f t="shared" si="2"/>
        <v>0</v>
      </c>
      <c r="AC6" s="123">
        <f t="shared" si="2"/>
        <v>7592710</v>
      </c>
      <c r="AD6" s="618">
        <f>U6-AC6</f>
        <v>39532690</v>
      </c>
    </row>
    <row r="7" spans="1:30" s="24" customFormat="1" ht="16.5" hidden="1" customHeight="1">
      <c r="A7" s="1150"/>
      <c r="B7" s="119" t="s">
        <v>753</v>
      </c>
      <c r="C7" s="120">
        <v>8</v>
      </c>
      <c r="D7" s="120"/>
      <c r="E7" s="124" t="s">
        <v>512</v>
      </c>
      <c r="F7" s="125">
        <v>2863000</v>
      </c>
      <c r="G7" s="126"/>
      <c r="H7" s="125"/>
      <c r="I7" s="127"/>
      <c r="J7" s="126"/>
      <c r="K7" s="126"/>
      <c r="L7" s="126"/>
      <c r="M7" s="126"/>
      <c r="N7" s="126"/>
      <c r="O7" s="126" t="s">
        <v>513</v>
      </c>
      <c r="P7" s="126"/>
      <c r="Q7" s="126"/>
      <c r="R7" s="126"/>
      <c r="S7" s="126"/>
      <c r="T7" s="127">
        <v>250000</v>
      </c>
      <c r="U7" s="122">
        <f>SUM(F7,M7,O7,R7,T7)</f>
        <v>3113000</v>
      </c>
      <c r="V7" s="333"/>
      <c r="W7" s="338">
        <f>ROUNDUP(U7*1/12,-1)</f>
        <v>259420</v>
      </c>
      <c r="X7" s="128">
        <f>ROUND(U7*4.5%,-1)</f>
        <v>140090</v>
      </c>
      <c r="Y7" s="128">
        <f>ROUNDUP((U7-L7)*3.035%,-1)</f>
        <v>94480</v>
      </c>
      <c r="Z7" s="128">
        <f>ROUNDUP(Y7*6.55%,-1)</f>
        <v>6190</v>
      </c>
      <c r="AA7" s="128">
        <v>0</v>
      </c>
      <c r="AB7" s="128">
        <v>0</v>
      </c>
      <c r="AC7" s="129">
        <f t="shared" ref="AC7:AC18" si="3">SUM(W7:AB7)</f>
        <v>500180</v>
      </c>
      <c r="AD7" s="619">
        <f t="shared" ref="AD7:AD70" si="4">U7-AC7</f>
        <v>2612820</v>
      </c>
    </row>
    <row r="8" spans="1:30" s="24" customFormat="1" ht="16.5" hidden="1" customHeight="1">
      <c r="A8" s="1150"/>
      <c r="B8" s="119"/>
      <c r="C8" s="120"/>
      <c r="D8" s="120"/>
      <c r="E8" s="124" t="s">
        <v>514</v>
      </c>
      <c r="F8" s="126">
        <f>F7</f>
        <v>2863000</v>
      </c>
      <c r="G8" s="126"/>
      <c r="H8" s="126"/>
      <c r="I8" s="126"/>
      <c r="J8" s="126"/>
      <c r="K8" s="126"/>
      <c r="L8" s="126"/>
      <c r="M8" s="126">
        <f>F8*60%</f>
        <v>1717800</v>
      </c>
      <c r="N8" s="126"/>
      <c r="O8" s="126" t="s">
        <v>513</v>
      </c>
      <c r="P8" s="126"/>
      <c r="Q8" s="126">
        <f>ROUND((F7+T7)*1/209*1.5,-1)</f>
        <v>22340</v>
      </c>
      <c r="R8" s="126">
        <f>Q8*20</f>
        <v>446800</v>
      </c>
      <c r="S8" s="126">
        <f>Q8*5</f>
        <v>111700</v>
      </c>
      <c r="T8" s="127">
        <f t="shared" ref="T8:T18" si="5">T7</f>
        <v>250000</v>
      </c>
      <c r="U8" s="122">
        <f t="shared" ref="U8:U18" si="6">SUM(F8,M8,O8,R8,T8)</f>
        <v>5277600</v>
      </c>
      <c r="V8" s="333"/>
      <c r="W8" s="338">
        <f>ROUNDUP((T8+U8)*1/12,-1)</f>
        <v>460640</v>
      </c>
      <c r="X8" s="128">
        <f>ROUND(U8*4.5%,-1)</f>
        <v>237490</v>
      </c>
      <c r="Y8" s="128">
        <f t="shared" ref="Y8:Y18" si="7">ROUNDUP((U8-L8)*3.035%,-1)</f>
        <v>160180</v>
      </c>
      <c r="Z8" s="128">
        <f t="shared" ref="Z8:Z18" si="8">ROUNDUP(Y8*6.55%,-1)</f>
        <v>10500</v>
      </c>
      <c r="AA8" s="128">
        <v>0</v>
      </c>
      <c r="AB8" s="128">
        <v>0</v>
      </c>
      <c r="AC8" s="129">
        <f t="shared" si="3"/>
        <v>868810</v>
      </c>
      <c r="AD8" s="619">
        <f t="shared" si="4"/>
        <v>4408790</v>
      </c>
    </row>
    <row r="9" spans="1:30" s="24" customFormat="1" ht="16.5" hidden="1" customHeight="1">
      <c r="A9" s="1150"/>
      <c r="B9" s="119"/>
      <c r="C9" s="120"/>
      <c r="D9" s="120"/>
      <c r="E9" s="124" t="s">
        <v>515</v>
      </c>
      <c r="F9" s="126">
        <f>F7</f>
        <v>2863000</v>
      </c>
      <c r="G9" s="126"/>
      <c r="H9" s="126"/>
      <c r="I9" s="126"/>
      <c r="J9" s="126"/>
      <c r="K9" s="126"/>
      <c r="L9" s="126"/>
      <c r="M9" s="126"/>
      <c r="N9" s="126"/>
      <c r="O9" s="126" t="s">
        <v>513</v>
      </c>
      <c r="P9" s="126"/>
      <c r="Q9" s="126">
        <f t="shared" ref="Q9:Q18" si="9">ROUND((F8+T8)*1/209*1.5,-1)</f>
        <v>22340</v>
      </c>
      <c r="R9" s="126">
        <f t="shared" ref="R9:R17" si="10">Q9*20</f>
        <v>446800</v>
      </c>
      <c r="S9" s="126">
        <f t="shared" ref="S9:S18" si="11">Q9*5</f>
        <v>111700</v>
      </c>
      <c r="T9" s="127">
        <f t="shared" si="5"/>
        <v>250000</v>
      </c>
      <c r="U9" s="122">
        <f t="shared" si="6"/>
        <v>3559800</v>
      </c>
      <c r="V9" s="333"/>
      <c r="W9" s="338">
        <f t="shared" ref="W9:W18" si="12">ROUNDUP(U9*1/12,-1)</f>
        <v>296650</v>
      </c>
      <c r="X9" s="128">
        <f t="shared" ref="X9:X18" si="13">ROUND(U9*4.5%,-1)</f>
        <v>160190</v>
      </c>
      <c r="Y9" s="128">
        <f t="shared" si="7"/>
        <v>108040</v>
      </c>
      <c r="Z9" s="128">
        <f t="shared" si="8"/>
        <v>7080</v>
      </c>
      <c r="AA9" s="128">
        <v>0</v>
      </c>
      <c r="AB9" s="128">
        <v>0</v>
      </c>
      <c r="AC9" s="129">
        <f t="shared" si="3"/>
        <v>571960</v>
      </c>
      <c r="AD9" s="619">
        <f t="shared" si="4"/>
        <v>2987840</v>
      </c>
    </row>
    <row r="10" spans="1:30" s="24" customFormat="1" ht="16.5" hidden="1" customHeight="1">
      <c r="A10" s="1150"/>
      <c r="B10" s="119"/>
      <c r="C10" s="120"/>
      <c r="D10" s="120"/>
      <c r="E10" s="124" t="s">
        <v>516</v>
      </c>
      <c r="F10" s="126">
        <f>F8</f>
        <v>2863000</v>
      </c>
      <c r="G10" s="126"/>
      <c r="H10" s="126"/>
      <c r="I10" s="125"/>
      <c r="J10" s="126"/>
      <c r="K10" s="126"/>
      <c r="L10" s="126"/>
      <c r="M10" s="126"/>
      <c r="N10" s="126"/>
      <c r="O10" s="126" t="s">
        <v>513</v>
      </c>
      <c r="P10" s="126"/>
      <c r="Q10" s="126">
        <f t="shared" si="9"/>
        <v>22340</v>
      </c>
      <c r="R10" s="126">
        <f t="shared" si="10"/>
        <v>446800</v>
      </c>
      <c r="S10" s="126">
        <f t="shared" si="11"/>
        <v>111700</v>
      </c>
      <c r="T10" s="127">
        <f t="shared" si="5"/>
        <v>250000</v>
      </c>
      <c r="U10" s="122">
        <f t="shared" si="6"/>
        <v>3559800</v>
      </c>
      <c r="V10" s="333"/>
      <c r="W10" s="338">
        <f t="shared" si="12"/>
        <v>296650</v>
      </c>
      <c r="X10" s="128">
        <f t="shared" si="13"/>
        <v>160190</v>
      </c>
      <c r="Y10" s="128">
        <f t="shared" si="7"/>
        <v>108040</v>
      </c>
      <c r="Z10" s="128">
        <f t="shared" si="8"/>
        <v>7080</v>
      </c>
      <c r="AA10" s="128">
        <v>0</v>
      </c>
      <c r="AB10" s="128">
        <v>0</v>
      </c>
      <c r="AC10" s="129">
        <f t="shared" si="3"/>
        <v>571960</v>
      </c>
      <c r="AD10" s="619">
        <f t="shared" si="4"/>
        <v>2987840</v>
      </c>
    </row>
    <row r="11" spans="1:30" s="24" customFormat="1" ht="16.5" hidden="1" customHeight="1">
      <c r="A11" s="1150"/>
      <c r="B11" s="119"/>
      <c r="C11" s="120"/>
      <c r="D11" s="120"/>
      <c r="E11" s="124" t="s">
        <v>517</v>
      </c>
      <c r="F11" s="126">
        <f>F9</f>
        <v>2863000</v>
      </c>
      <c r="G11" s="126"/>
      <c r="H11" s="126"/>
      <c r="I11" s="126"/>
      <c r="J11" s="126"/>
      <c r="K11" s="126"/>
      <c r="L11" s="126"/>
      <c r="M11" s="126"/>
      <c r="N11" s="126"/>
      <c r="O11" s="126" t="s">
        <v>513</v>
      </c>
      <c r="P11" s="126"/>
      <c r="Q11" s="126">
        <f t="shared" si="9"/>
        <v>22340</v>
      </c>
      <c r="R11" s="126">
        <f t="shared" si="10"/>
        <v>446800</v>
      </c>
      <c r="S11" s="126">
        <f t="shared" si="11"/>
        <v>111700</v>
      </c>
      <c r="T11" s="127">
        <f t="shared" si="5"/>
        <v>250000</v>
      </c>
      <c r="U11" s="122">
        <f t="shared" si="6"/>
        <v>3559800</v>
      </c>
      <c r="V11" s="333"/>
      <c r="W11" s="338">
        <f t="shared" si="12"/>
        <v>296650</v>
      </c>
      <c r="X11" s="128">
        <f t="shared" si="13"/>
        <v>160190</v>
      </c>
      <c r="Y11" s="128">
        <f t="shared" si="7"/>
        <v>108040</v>
      </c>
      <c r="Z11" s="128">
        <f t="shared" si="8"/>
        <v>7080</v>
      </c>
      <c r="AA11" s="128">
        <v>0</v>
      </c>
      <c r="AB11" s="128">
        <v>0</v>
      </c>
      <c r="AC11" s="129">
        <f t="shared" si="3"/>
        <v>571960</v>
      </c>
      <c r="AD11" s="619">
        <f t="shared" si="4"/>
        <v>2987840</v>
      </c>
    </row>
    <row r="12" spans="1:30" s="24" customFormat="1" ht="16.5" hidden="1" customHeight="1">
      <c r="A12" s="1150"/>
      <c r="B12" s="119"/>
      <c r="C12" s="120">
        <v>9</v>
      </c>
      <c r="D12" s="120"/>
      <c r="E12" s="124" t="s">
        <v>518</v>
      </c>
      <c r="F12" s="126">
        <v>2976000</v>
      </c>
      <c r="G12" s="126"/>
      <c r="H12" s="126"/>
      <c r="I12" s="126"/>
      <c r="J12" s="126"/>
      <c r="K12" s="126"/>
      <c r="L12" s="126"/>
      <c r="M12" s="126"/>
      <c r="N12" s="126"/>
      <c r="O12" s="126" t="s">
        <v>513</v>
      </c>
      <c r="P12" s="126"/>
      <c r="Q12" s="126">
        <f t="shared" si="9"/>
        <v>22340</v>
      </c>
      <c r="R12" s="126">
        <f t="shared" si="10"/>
        <v>446800</v>
      </c>
      <c r="S12" s="126">
        <f t="shared" si="11"/>
        <v>111700</v>
      </c>
      <c r="T12" s="127">
        <f t="shared" si="5"/>
        <v>250000</v>
      </c>
      <c r="U12" s="122">
        <f t="shared" si="6"/>
        <v>3672800</v>
      </c>
      <c r="V12" s="333"/>
      <c r="W12" s="338">
        <f t="shared" si="12"/>
        <v>306070</v>
      </c>
      <c r="X12" s="128">
        <f t="shared" si="13"/>
        <v>165280</v>
      </c>
      <c r="Y12" s="128">
        <f t="shared" si="7"/>
        <v>111470</v>
      </c>
      <c r="Z12" s="128">
        <f t="shared" si="8"/>
        <v>7310</v>
      </c>
      <c r="AA12" s="128">
        <v>0</v>
      </c>
      <c r="AB12" s="128">
        <v>0</v>
      </c>
      <c r="AC12" s="129">
        <f t="shared" si="3"/>
        <v>590130</v>
      </c>
      <c r="AD12" s="619">
        <f t="shared" si="4"/>
        <v>3082670</v>
      </c>
    </row>
    <row r="13" spans="1:30" s="24" customFormat="1" ht="16.5" hidden="1" customHeight="1">
      <c r="A13" s="1150"/>
      <c r="B13" s="119"/>
      <c r="C13" s="120"/>
      <c r="D13" s="120"/>
      <c r="E13" s="124" t="s">
        <v>330</v>
      </c>
      <c r="F13" s="128">
        <f>F12</f>
        <v>2976000</v>
      </c>
      <c r="G13" s="126"/>
      <c r="H13" s="125"/>
      <c r="I13" s="127"/>
      <c r="J13" s="126"/>
      <c r="K13" s="126"/>
      <c r="L13" s="126"/>
      <c r="M13" s="126"/>
      <c r="N13" s="126"/>
      <c r="O13" s="126" t="s">
        <v>513</v>
      </c>
      <c r="P13" s="126"/>
      <c r="Q13" s="126">
        <f t="shared" si="9"/>
        <v>23150</v>
      </c>
      <c r="R13" s="126">
        <f t="shared" si="10"/>
        <v>463000</v>
      </c>
      <c r="S13" s="126">
        <f t="shared" si="11"/>
        <v>115750</v>
      </c>
      <c r="T13" s="127">
        <f t="shared" si="5"/>
        <v>250000</v>
      </c>
      <c r="U13" s="122">
        <f t="shared" si="6"/>
        <v>3689000</v>
      </c>
      <c r="V13" s="333"/>
      <c r="W13" s="338">
        <f t="shared" si="12"/>
        <v>307420</v>
      </c>
      <c r="X13" s="128">
        <f t="shared" si="13"/>
        <v>166010</v>
      </c>
      <c r="Y13" s="128">
        <f t="shared" si="7"/>
        <v>111970</v>
      </c>
      <c r="Z13" s="128">
        <f t="shared" si="8"/>
        <v>7340</v>
      </c>
      <c r="AA13" s="128">
        <v>0</v>
      </c>
      <c r="AB13" s="128">
        <v>0</v>
      </c>
      <c r="AC13" s="129">
        <f t="shared" si="3"/>
        <v>592740</v>
      </c>
      <c r="AD13" s="619">
        <f t="shared" si="4"/>
        <v>3096260</v>
      </c>
    </row>
    <row r="14" spans="1:30" s="24" customFormat="1" ht="16.5" hidden="1" customHeight="1">
      <c r="A14" s="1150"/>
      <c r="B14" s="119"/>
      <c r="C14" s="120"/>
      <c r="D14" s="120"/>
      <c r="E14" s="124" t="s">
        <v>331</v>
      </c>
      <c r="F14" s="126">
        <f>F13</f>
        <v>2976000</v>
      </c>
      <c r="G14" s="126"/>
      <c r="H14" s="126"/>
      <c r="I14" s="126"/>
      <c r="J14" s="126"/>
      <c r="K14" s="126"/>
      <c r="L14" s="126"/>
      <c r="M14" s="126"/>
      <c r="N14" s="126"/>
      <c r="O14" s="126" t="s">
        <v>513</v>
      </c>
      <c r="P14" s="126"/>
      <c r="Q14" s="126">
        <f t="shared" si="9"/>
        <v>23150</v>
      </c>
      <c r="R14" s="126">
        <f t="shared" si="10"/>
        <v>463000</v>
      </c>
      <c r="S14" s="126">
        <f t="shared" si="11"/>
        <v>115750</v>
      </c>
      <c r="T14" s="127">
        <f t="shared" si="5"/>
        <v>250000</v>
      </c>
      <c r="U14" s="122">
        <f t="shared" si="6"/>
        <v>3689000</v>
      </c>
      <c r="V14" s="333"/>
      <c r="W14" s="338">
        <f t="shared" si="12"/>
        <v>307420</v>
      </c>
      <c r="X14" s="128">
        <f t="shared" si="13"/>
        <v>166010</v>
      </c>
      <c r="Y14" s="128">
        <f t="shared" si="7"/>
        <v>111970</v>
      </c>
      <c r="Z14" s="128">
        <f t="shared" si="8"/>
        <v>7340</v>
      </c>
      <c r="AA14" s="128">
        <v>0</v>
      </c>
      <c r="AB14" s="128">
        <v>0</v>
      </c>
      <c r="AC14" s="129">
        <f t="shared" si="3"/>
        <v>592740</v>
      </c>
      <c r="AD14" s="619">
        <f t="shared" si="4"/>
        <v>3096260</v>
      </c>
    </row>
    <row r="15" spans="1:30" s="24" customFormat="1" ht="16.5" hidden="1" customHeight="1">
      <c r="A15" s="1150"/>
      <c r="B15" s="119"/>
      <c r="C15" s="120"/>
      <c r="D15" s="120"/>
      <c r="E15" s="124" t="s">
        <v>62</v>
      </c>
      <c r="F15" s="126">
        <f>F13</f>
        <v>2976000</v>
      </c>
      <c r="G15" s="126"/>
      <c r="H15" s="126"/>
      <c r="I15" s="126"/>
      <c r="J15" s="126"/>
      <c r="K15" s="126"/>
      <c r="L15" s="126"/>
      <c r="M15" s="126">
        <f>F15*60%</f>
        <v>1785600</v>
      </c>
      <c r="N15" s="126"/>
      <c r="O15" s="126" t="s">
        <v>513</v>
      </c>
      <c r="P15" s="126"/>
      <c r="Q15" s="126">
        <f t="shared" si="9"/>
        <v>23150</v>
      </c>
      <c r="R15" s="126">
        <f t="shared" si="10"/>
        <v>463000</v>
      </c>
      <c r="S15" s="126">
        <f t="shared" si="11"/>
        <v>115750</v>
      </c>
      <c r="T15" s="127">
        <f t="shared" si="5"/>
        <v>250000</v>
      </c>
      <c r="U15" s="122">
        <f t="shared" si="6"/>
        <v>5474600</v>
      </c>
      <c r="V15" s="333"/>
      <c r="W15" s="338">
        <f t="shared" si="12"/>
        <v>456220</v>
      </c>
      <c r="X15" s="128">
        <f t="shared" si="13"/>
        <v>246360</v>
      </c>
      <c r="Y15" s="128">
        <f t="shared" si="7"/>
        <v>166160</v>
      </c>
      <c r="Z15" s="128">
        <f t="shared" si="8"/>
        <v>10890</v>
      </c>
      <c r="AA15" s="128">
        <v>0</v>
      </c>
      <c r="AB15" s="128">
        <v>0</v>
      </c>
      <c r="AC15" s="129">
        <f t="shared" si="3"/>
        <v>879630</v>
      </c>
      <c r="AD15" s="619">
        <f t="shared" si="4"/>
        <v>4594970</v>
      </c>
    </row>
    <row r="16" spans="1:30" s="24" customFormat="1" ht="16.5" hidden="1" customHeight="1">
      <c r="A16" s="1150"/>
      <c r="B16" s="119"/>
      <c r="C16" s="120"/>
      <c r="D16" s="120"/>
      <c r="E16" s="124" t="s">
        <v>63</v>
      </c>
      <c r="F16" s="126">
        <f>F13</f>
        <v>2976000</v>
      </c>
      <c r="G16" s="126"/>
      <c r="H16" s="126"/>
      <c r="I16" s="126"/>
      <c r="J16" s="126"/>
      <c r="K16" s="126"/>
      <c r="L16" s="126"/>
      <c r="M16" s="126"/>
      <c r="N16" s="126"/>
      <c r="O16" s="126" t="s">
        <v>513</v>
      </c>
      <c r="P16" s="126"/>
      <c r="Q16" s="126">
        <f t="shared" si="9"/>
        <v>23150</v>
      </c>
      <c r="R16" s="126">
        <f t="shared" si="10"/>
        <v>463000</v>
      </c>
      <c r="S16" s="126">
        <f t="shared" si="11"/>
        <v>115750</v>
      </c>
      <c r="T16" s="127">
        <f t="shared" si="5"/>
        <v>250000</v>
      </c>
      <c r="U16" s="122">
        <f t="shared" si="6"/>
        <v>3689000</v>
      </c>
      <c r="V16" s="333"/>
      <c r="W16" s="338">
        <f t="shared" si="12"/>
        <v>307420</v>
      </c>
      <c r="X16" s="128">
        <f t="shared" si="13"/>
        <v>166010</v>
      </c>
      <c r="Y16" s="128">
        <f t="shared" si="7"/>
        <v>111970</v>
      </c>
      <c r="Z16" s="128">
        <f t="shared" si="8"/>
        <v>7340</v>
      </c>
      <c r="AA16" s="128">
        <v>0</v>
      </c>
      <c r="AB16" s="128">
        <v>0</v>
      </c>
      <c r="AC16" s="129">
        <f t="shared" si="3"/>
        <v>592740</v>
      </c>
      <c r="AD16" s="619">
        <f t="shared" si="4"/>
        <v>3096260</v>
      </c>
    </row>
    <row r="17" spans="1:30" s="24" customFormat="1" ht="16.5" hidden="1" customHeight="1">
      <c r="A17" s="1150"/>
      <c r="B17" s="119"/>
      <c r="C17" s="120"/>
      <c r="D17" s="120"/>
      <c r="E17" s="124" t="s">
        <v>64</v>
      </c>
      <c r="F17" s="126">
        <f>F13</f>
        <v>2976000</v>
      </c>
      <c r="G17" s="126"/>
      <c r="H17" s="126"/>
      <c r="I17" s="126"/>
      <c r="J17" s="126"/>
      <c r="K17" s="126"/>
      <c r="L17" s="126"/>
      <c r="M17" s="126"/>
      <c r="N17" s="126"/>
      <c r="O17" s="126" t="s">
        <v>513</v>
      </c>
      <c r="P17" s="126"/>
      <c r="Q17" s="126">
        <f t="shared" si="9"/>
        <v>23150</v>
      </c>
      <c r="R17" s="126">
        <f t="shared" si="10"/>
        <v>463000</v>
      </c>
      <c r="S17" s="126">
        <f t="shared" si="11"/>
        <v>115750</v>
      </c>
      <c r="T17" s="127">
        <f t="shared" si="5"/>
        <v>250000</v>
      </c>
      <c r="U17" s="122">
        <f t="shared" si="6"/>
        <v>3689000</v>
      </c>
      <c r="V17" s="333"/>
      <c r="W17" s="338">
        <f t="shared" si="12"/>
        <v>307420</v>
      </c>
      <c r="X17" s="128">
        <f t="shared" si="13"/>
        <v>166010</v>
      </c>
      <c r="Y17" s="128">
        <f t="shared" si="7"/>
        <v>111970</v>
      </c>
      <c r="Z17" s="128">
        <f t="shared" si="8"/>
        <v>7340</v>
      </c>
      <c r="AA17" s="128">
        <v>0</v>
      </c>
      <c r="AB17" s="128">
        <v>0</v>
      </c>
      <c r="AC17" s="129">
        <f t="shared" si="3"/>
        <v>592740</v>
      </c>
      <c r="AD17" s="619">
        <f t="shared" si="4"/>
        <v>3096260</v>
      </c>
    </row>
    <row r="18" spans="1:30" s="24" customFormat="1" ht="16.5" hidden="1" customHeight="1">
      <c r="A18" s="1150"/>
      <c r="B18" s="119"/>
      <c r="C18" s="120"/>
      <c r="D18" s="120"/>
      <c r="E18" s="124" t="s">
        <v>519</v>
      </c>
      <c r="F18" s="126">
        <f>F13</f>
        <v>2976000</v>
      </c>
      <c r="G18" s="126"/>
      <c r="H18" s="126"/>
      <c r="I18" s="126"/>
      <c r="J18" s="126"/>
      <c r="K18" s="126"/>
      <c r="L18" s="126"/>
      <c r="M18" s="126"/>
      <c r="N18" s="126"/>
      <c r="O18" s="126" t="s">
        <v>513</v>
      </c>
      <c r="P18" s="126"/>
      <c r="Q18" s="126">
        <f t="shared" si="9"/>
        <v>23150</v>
      </c>
      <c r="R18" s="126">
        <f>Q18*20*2</f>
        <v>926000</v>
      </c>
      <c r="S18" s="126">
        <f t="shared" si="11"/>
        <v>115750</v>
      </c>
      <c r="T18" s="127">
        <f t="shared" si="5"/>
        <v>250000</v>
      </c>
      <c r="U18" s="122">
        <f t="shared" si="6"/>
        <v>4152000</v>
      </c>
      <c r="V18" s="333"/>
      <c r="W18" s="338">
        <f t="shared" si="12"/>
        <v>346000</v>
      </c>
      <c r="X18" s="128">
        <f t="shared" si="13"/>
        <v>186840</v>
      </c>
      <c r="Y18" s="128">
        <f t="shared" si="7"/>
        <v>126020</v>
      </c>
      <c r="Z18" s="128">
        <f t="shared" si="8"/>
        <v>8260</v>
      </c>
      <c r="AA18" s="128">
        <v>0</v>
      </c>
      <c r="AB18" s="128">
        <v>0</v>
      </c>
      <c r="AC18" s="129">
        <f t="shared" si="3"/>
        <v>667120</v>
      </c>
      <c r="AD18" s="619">
        <f t="shared" si="4"/>
        <v>3484880</v>
      </c>
    </row>
    <row r="19" spans="1:30" s="25" customFormat="1" ht="16.5" customHeight="1">
      <c r="A19" s="1150">
        <v>2</v>
      </c>
      <c r="B19" s="119" t="s">
        <v>784</v>
      </c>
      <c r="C19" s="665" t="s">
        <v>946</v>
      </c>
      <c r="D19" s="623">
        <v>1</v>
      </c>
      <c r="E19" s="121" t="s">
        <v>783</v>
      </c>
      <c r="F19" s="122">
        <f>SUM(F20:F31)</f>
        <v>38180000</v>
      </c>
      <c r="G19" s="122">
        <f t="shared" ref="G19:U19" si="14">SUM(G20:G31)</f>
        <v>0</v>
      </c>
      <c r="H19" s="122">
        <f t="shared" si="14"/>
        <v>0</v>
      </c>
      <c r="I19" s="122">
        <f t="shared" si="14"/>
        <v>0</v>
      </c>
      <c r="J19" s="122">
        <f t="shared" si="14"/>
        <v>0</v>
      </c>
      <c r="K19" s="122">
        <f t="shared" si="14"/>
        <v>0</v>
      </c>
      <c r="L19" s="122">
        <f t="shared" si="14"/>
        <v>0</v>
      </c>
      <c r="M19" s="122">
        <f t="shared" si="14"/>
        <v>3857400</v>
      </c>
      <c r="N19" s="122">
        <f t="shared" si="14"/>
        <v>0</v>
      </c>
      <c r="O19" s="122">
        <f t="shared" si="14"/>
        <v>880000</v>
      </c>
      <c r="P19" s="122"/>
      <c r="Q19" s="122"/>
      <c r="R19" s="122">
        <f>SUM(R20:R31)</f>
        <v>5911200</v>
      </c>
      <c r="S19" s="122">
        <f t="shared" si="14"/>
        <v>1357000</v>
      </c>
      <c r="T19" s="122">
        <f t="shared" si="14"/>
        <v>3000000</v>
      </c>
      <c r="U19" s="122">
        <f t="shared" si="14"/>
        <v>51828600</v>
      </c>
      <c r="V19" s="624"/>
      <c r="W19" s="350">
        <f t="shared" ref="W19:AC19" si="15">SUM(W20:W31)</f>
        <v>4339950</v>
      </c>
      <c r="X19" s="122">
        <f t="shared" si="15"/>
        <v>2332280</v>
      </c>
      <c r="Y19" s="122">
        <f t="shared" si="15"/>
        <v>1573060</v>
      </c>
      <c r="Z19" s="122">
        <f t="shared" si="15"/>
        <v>103110</v>
      </c>
      <c r="AA19" s="122">
        <f t="shared" si="15"/>
        <v>466450</v>
      </c>
      <c r="AB19" s="122">
        <f t="shared" si="15"/>
        <v>414620</v>
      </c>
      <c r="AC19" s="123">
        <f t="shared" si="15"/>
        <v>9229470</v>
      </c>
      <c r="AD19" s="618">
        <f t="shared" si="4"/>
        <v>42599130</v>
      </c>
    </row>
    <row r="20" spans="1:30" s="25" customFormat="1" ht="15" hidden="1" customHeight="1">
      <c r="A20" s="1150"/>
      <c r="B20" s="119" t="s">
        <v>785</v>
      </c>
      <c r="C20" s="120">
        <v>17</v>
      </c>
      <c r="D20" s="623"/>
      <c r="E20" s="124" t="s">
        <v>788</v>
      </c>
      <c r="F20" s="125">
        <v>3313000</v>
      </c>
      <c r="G20" s="126"/>
      <c r="H20" s="125"/>
      <c r="I20" s="127"/>
      <c r="J20" s="126"/>
      <c r="K20" s="126"/>
      <c r="L20" s="126"/>
      <c r="M20" s="126"/>
      <c r="N20" s="126"/>
      <c r="O20" s="126">
        <v>60000</v>
      </c>
      <c r="P20" s="126"/>
      <c r="Q20" s="126"/>
      <c r="R20" s="126"/>
      <c r="S20" s="126"/>
      <c r="T20" s="127">
        <v>250000</v>
      </c>
      <c r="U20" s="122">
        <f t="shared" ref="U20:U83" si="16">SUM(F20,M20,O20,R20,T20)</f>
        <v>3623000</v>
      </c>
      <c r="V20" s="624"/>
      <c r="W20" s="625">
        <f>ROUNDUP(U20*1/12,-1)</f>
        <v>301920</v>
      </c>
      <c r="X20" s="626">
        <f>ROUND(U20*4.5%,-1)</f>
        <v>163040</v>
      </c>
      <c r="Y20" s="626">
        <f>ROUNDUP((U20-L20)*3.035%,-1)</f>
        <v>109960</v>
      </c>
      <c r="Z20" s="626">
        <f>ROUNDUP(Y20*6.55%,-1)</f>
        <v>7210</v>
      </c>
      <c r="AA20" s="626">
        <f>ROUND(U20*0.9%,-1)</f>
        <v>32610</v>
      </c>
      <c r="AB20" s="626">
        <f>ROUND(U20*0.8%,-1)</f>
        <v>28980</v>
      </c>
      <c r="AC20" s="129">
        <f t="shared" ref="AC20:AC31" si="17">SUM(W20:AB20)</f>
        <v>643720</v>
      </c>
      <c r="AD20" s="619">
        <f t="shared" si="4"/>
        <v>2979280</v>
      </c>
    </row>
    <row r="21" spans="1:30" s="25" customFormat="1" ht="15" hidden="1" customHeight="1">
      <c r="A21" s="1150"/>
      <c r="B21" s="119"/>
      <c r="C21" s="120"/>
      <c r="D21" s="623"/>
      <c r="E21" s="124" t="s">
        <v>789</v>
      </c>
      <c r="F21" s="126">
        <f>F20</f>
        <v>3313000</v>
      </c>
      <c r="G21" s="126"/>
      <c r="H21" s="126"/>
      <c r="I21" s="126"/>
      <c r="J21" s="126"/>
      <c r="K21" s="126"/>
      <c r="L21" s="126"/>
      <c r="M21" s="126">
        <f>F21*60%</f>
        <v>1987800</v>
      </c>
      <c r="N21" s="126"/>
      <c r="O21" s="126">
        <v>60000</v>
      </c>
      <c r="P21" s="126"/>
      <c r="Q21" s="126">
        <f>ROUND((F20+T20)*1/209*1.5,-1)</f>
        <v>25570</v>
      </c>
      <c r="R21" s="126">
        <f>Q21*20</f>
        <v>511400</v>
      </c>
      <c r="S21" s="126">
        <f>Q21*5</f>
        <v>127850</v>
      </c>
      <c r="T21" s="127">
        <f t="shared" ref="T21:T31" si="18">T20</f>
        <v>250000</v>
      </c>
      <c r="U21" s="122">
        <f t="shared" si="16"/>
        <v>6122200</v>
      </c>
      <c r="V21" s="624"/>
      <c r="W21" s="625">
        <f>ROUNDUP((T21+U21)*1/12,-1)</f>
        <v>531020</v>
      </c>
      <c r="X21" s="626">
        <f>ROUND(U21*4.5%,-1)</f>
        <v>275500</v>
      </c>
      <c r="Y21" s="626">
        <f t="shared" ref="Y21:Y31" si="19">ROUNDUP((U21-L21)*3.035%,-1)</f>
        <v>185810</v>
      </c>
      <c r="Z21" s="626">
        <f t="shared" ref="Z21:Z31" si="20">ROUNDUP(Y21*6.55%,-1)</f>
        <v>12180</v>
      </c>
      <c r="AA21" s="626">
        <f t="shared" ref="AA21:AA31" si="21">ROUND(U21*0.9%,-1)</f>
        <v>55100</v>
      </c>
      <c r="AB21" s="626">
        <f t="shared" ref="AB21:AB31" si="22">ROUND(U21*0.8%,-1)</f>
        <v>48980</v>
      </c>
      <c r="AC21" s="129">
        <f t="shared" si="17"/>
        <v>1108590</v>
      </c>
      <c r="AD21" s="619">
        <f t="shared" si="4"/>
        <v>5013610</v>
      </c>
    </row>
    <row r="22" spans="1:30" s="25" customFormat="1" ht="15" hidden="1" customHeight="1">
      <c r="A22" s="1150"/>
      <c r="B22" s="119"/>
      <c r="C22" s="120"/>
      <c r="D22" s="623"/>
      <c r="E22" s="124" t="s">
        <v>790</v>
      </c>
      <c r="F22" s="126">
        <f>F20</f>
        <v>3313000</v>
      </c>
      <c r="G22" s="126"/>
      <c r="H22" s="126"/>
      <c r="I22" s="126"/>
      <c r="J22" s="126"/>
      <c r="K22" s="126"/>
      <c r="L22" s="126"/>
      <c r="M22" s="126"/>
      <c r="N22" s="126"/>
      <c r="O22" s="126">
        <f t="shared" ref="O22:O31" si="23">O21</f>
        <v>60000</v>
      </c>
      <c r="P22" s="126"/>
      <c r="Q22" s="126">
        <f t="shared" ref="Q22:Q31" si="24">ROUND((F21+T21)*1/209*1.5,-1)</f>
        <v>25570</v>
      </c>
      <c r="R22" s="126">
        <f t="shared" ref="R22:R30" si="25">Q22*20</f>
        <v>511400</v>
      </c>
      <c r="S22" s="126">
        <f t="shared" ref="S22:S31" si="26">Q22*5</f>
        <v>127850</v>
      </c>
      <c r="T22" s="127">
        <f t="shared" si="18"/>
        <v>250000</v>
      </c>
      <c r="U22" s="122">
        <f t="shared" si="16"/>
        <v>4134400</v>
      </c>
      <c r="V22" s="624"/>
      <c r="W22" s="625">
        <f t="shared" ref="W22:W31" si="27">ROUNDUP(U22*1/12,-1)</f>
        <v>344540</v>
      </c>
      <c r="X22" s="626">
        <f t="shared" ref="X22:X31" si="28">ROUND(U22*4.5%,-1)</f>
        <v>186050</v>
      </c>
      <c r="Y22" s="626">
        <f t="shared" si="19"/>
        <v>125480</v>
      </c>
      <c r="Z22" s="626">
        <f t="shared" si="20"/>
        <v>8220</v>
      </c>
      <c r="AA22" s="626">
        <f t="shared" si="21"/>
        <v>37210</v>
      </c>
      <c r="AB22" s="626">
        <f t="shared" si="22"/>
        <v>33080</v>
      </c>
      <c r="AC22" s="129">
        <f t="shared" si="17"/>
        <v>734580</v>
      </c>
      <c r="AD22" s="619">
        <f t="shared" si="4"/>
        <v>3399820</v>
      </c>
    </row>
    <row r="23" spans="1:30" s="25" customFormat="1" ht="15" hidden="1" customHeight="1">
      <c r="A23" s="1150"/>
      <c r="B23" s="119"/>
      <c r="C23" s="120"/>
      <c r="D23" s="623"/>
      <c r="E23" s="124" t="s">
        <v>791</v>
      </c>
      <c r="F23" s="126">
        <f>F20</f>
        <v>3313000</v>
      </c>
      <c r="G23" s="126"/>
      <c r="H23" s="126"/>
      <c r="I23" s="126"/>
      <c r="J23" s="126"/>
      <c r="K23" s="126"/>
      <c r="L23" s="126"/>
      <c r="M23" s="126"/>
      <c r="N23" s="126"/>
      <c r="O23" s="126">
        <f t="shared" si="23"/>
        <v>60000</v>
      </c>
      <c r="P23" s="126"/>
      <c r="Q23" s="126">
        <f t="shared" si="24"/>
        <v>25570</v>
      </c>
      <c r="R23" s="126">
        <f t="shared" si="25"/>
        <v>511400</v>
      </c>
      <c r="S23" s="126">
        <f t="shared" si="26"/>
        <v>127850</v>
      </c>
      <c r="T23" s="127">
        <f t="shared" si="18"/>
        <v>250000</v>
      </c>
      <c r="U23" s="122">
        <f t="shared" si="16"/>
        <v>4134400</v>
      </c>
      <c r="V23" s="624"/>
      <c r="W23" s="625">
        <f t="shared" si="27"/>
        <v>344540</v>
      </c>
      <c r="X23" s="626">
        <f t="shared" si="28"/>
        <v>186050</v>
      </c>
      <c r="Y23" s="626">
        <f t="shared" si="19"/>
        <v>125480</v>
      </c>
      <c r="Z23" s="626">
        <f t="shared" si="20"/>
        <v>8220</v>
      </c>
      <c r="AA23" s="626">
        <f t="shared" si="21"/>
        <v>37210</v>
      </c>
      <c r="AB23" s="626">
        <f t="shared" si="22"/>
        <v>33080</v>
      </c>
      <c r="AC23" s="129">
        <f t="shared" si="17"/>
        <v>734580</v>
      </c>
      <c r="AD23" s="619">
        <f t="shared" si="4"/>
        <v>3399820</v>
      </c>
    </row>
    <row r="24" spans="1:30" s="25" customFormat="1" ht="15" hidden="1" customHeight="1">
      <c r="A24" s="1150"/>
      <c r="B24" s="119" t="s">
        <v>806</v>
      </c>
      <c r="C24" s="636">
        <v>14</v>
      </c>
      <c r="D24" s="637"/>
      <c r="E24" s="638" t="s">
        <v>792</v>
      </c>
      <c r="F24" s="591">
        <v>3116000</v>
      </c>
      <c r="G24" s="126"/>
      <c r="H24" s="126"/>
      <c r="I24" s="126"/>
      <c r="J24" s="126"/>
      <c r="K24" s="126"/>
      <c r="L24" s="126"/>
      <c r="M24" s="126"/>
      <c r="N24" s="126"/>
      <c r="O24" s="126">
        <v>80000</v>
      </c>
      <c r="P24" s="126"/>
      <c r="Q24" s="126">
        <f t="shared" si="24"/>
        <v>25570</v>
      </c>
      <c r="R24" s="126">
        <f t="shared" si="25"/>
        <v>511400</v>
      </c>
      <c r="S24" s="126">
        <f t="shared" si="26"/>
        <v>127850</v>
      </c>
      <c r="T24" s="127">
        <f t="shared" si="18"/>
        <v>250000</v>
      </c>
      <c r="U24" s="122">
        <f t="shared" si="16"/>
        <v>3957400</v>
      </c>
      <c r="V24" s="624"/>
      <c r="W24" s="625">
        <f t="shared" si="27"/>
        <v>329790</v>
      </c>
      <c r="X24" s="626">
        <f t="shared" si="28"/>
        <v>178080</v>
      </c>
      <c r="Y24" s="626">
        <f t="shared" si="19"/>
        <v>120110</v>
      </c>
      <c r="Z24" s="626">
        <f t="shared" si="20"/>
        <v>7870</v>
      </c>
      <c r="AA24" s="626">
        <f t="shared" si="21"/>
        <v>35620</v>
      </c>
      <c r="AB24" s="626">
        <f t="shared" si="22"/>
        <v>31660</v>
      </c>
      <c r="AC24" s="129">
        <f t="shared" si="17"/>
        <v>703130</v>
      </c>
      <c r="AD24" s="619">
        <f t="shared" si="4"/>
        <v>3254270</v>
      </c>
    </row>
    <row r="25" spans="1:30" s="25" customFormat="1" ht="15" hidden="1" customHeight="1">
      <c r="A25" s="1150"/>
      <c r="B25" s="119"/>
      <c r="C25" s="120"/>
      <c r="D25" s="623"/>
      <c r="E25" s="124" t="s">
        <v>793</v>
      </c>
      <c r="F25" s="126">
        <f>F24</f>
        <v>3116000</v>
      </c>
      <c r="G25" s="126"/>
      <c r="H25" s="126"/>
      <c r="I25" s="126"/>
      <c r="J25" s="126"/>
      <c r="K25" s="126"/>
      <c r="L25" s="126"/>
      <c r="M25" s="126"/>
      <c r="N25" s="126"/>
      <c r="O25" s="126">
        <f t="shared" si="23"/>
        <v>80000</v>
      </c>
      <c r="P25" s="126"/>
      <c r="Q25" s="126">
        <f t="shared" si="24"/>
        <v>24160</v>
      </c>
      <c r="R25" s="126">
        <f t="shared" si="25"/>
        <v>483200</v>
      </c>
      <c r="S25" s="126">
        <f t="shared" si="26"/>
        <v>120800</v>
      </c>
      <c r="T25" s="127">
        <f t="shared" si="18"/>
        <v>250000</v>
      </c>
      <c r="U25" s="122">
        <f t="shared" si="16"/>
        <v>3929200</v>
      </c>
      <c r="V25" s="624"/>
      <c r="W25" s="625">
        <f t="shared" si="27"/>
        <v>327440</v>
      </c>
      <c r="X25" s="626">
        <f t="shared" si="28"/>
        <v>176810</v>
      </c>
      <c r="Y25" s="626">
        <f t="shared" si="19"/>
        <v>119260</v>
      </c>
      <c r="Z25" s="626">
        <f t="shared" si="20"/>
        <v>7820</v>
      </c>
      <c r="AA25" s="626">
        <f t="shared" si="21"/>
        <v>35360</v>
      </c>
      <c r="AB25" s="626">
        <f t="shared" si="22"/>
        <v>31430</v>
      </c>
      <c r="AC25" s="129">
        <f t="shared" si="17"/>
        <v>698120</v>
      </c>
      <c r="AD25" s="619">
        <f t="shared" si="4"/>
        <v>3231080</v>
      </c>
    </row>
    <row r="26" spans="1:30" s="25" customFormat="1" ht="15" hidden="1" customHeight="1">
      <c r="A26" s="1150"/>
      <c r="B26" s="119"/>
      <c r="C26" s="120"/>
      <c r="D26" s="623"/>
      <c r="E26" s="124" t="s">
        <v>330</v>
      </c>
      <c r="F26" s="128">
        <f>F25</f>
        <v>3116000</v>
      </c>
      <c r="G26" s="126"/>
      <c r="H26" s="125"/>
      <c r="I26" s="127"/>
      <c r="J26" s="126"/>
      <c r="K26" s="126"/>
      <c r="L26" s="126"/>
      <c r="M26" s="126"/>
      <c r="N26" s="126"/>
      <c r="O26" s="126">
        <f t="shared" si="23"/>
        <v>80000</v>
      </c>
      <c r="P26" s="126"/>
      <c r="Q26" s="126">
        <f t="shared" si="24"/>
        <v>24160</v>
      </c>
      <c r="R26" s="126">
        <f t="shared" si="25"/>
        <v>483200</v>
      </c>
      <c r="S26" s="126">
        <f t="shared" si="26"/>
        <v>120800</v>
      </c>
      <c r="T26" s="127">
        <f t="shared" si="18"/>
        <v>250000</v>
      </c>
      <c r="U26" s="122">
        <f t="shared" si="16"/>
        <v>3929200</v>
      </c>
      <c r="V26" s="624"/>
      <c r="W26" s="625">
        <f t="shared" si="27"/>
        <v>327440</v>
      </c>
      <c r="X26" s="626">
        <f t="shared" si="28"/>
        <v>176810</v>
      </c>
      <c r="Y26" s="626">
        <f t="shared" si="19"/>
        <v>119260</v>
      </c>
      <c r="Z26" s="626">
        <f t="shared" si="20"/>
        <v>7820</v>
      </c>
      <c r="AA26" s="626">
        <f t="shared" si="21"/>
        <v>35360</v>
      </c>
      <c r="AB26" s="626">
        <f t="shared" si="22"/>
        <v>31430</v>
      </c>
      <c r="AC26" s="129">
        <f t="shared" si="17"/>
        <v>698120</v>
      </c>
      <c r="AD26" s="619">
        <f t="shared" si="4"/>
        <v>3231080</v>
      </c>
    </row>
    <row r="27" spans="1:30" s="25" customFormat="1" ht="15" hidden="1" customHeight="1">
      <c r="A27" s="1150"/>
      <c r="B27" s="119"/>
      <c r="C27" s="120"/>
      <c r="D27" s="623"/>
      <c r="E27" s="124" t="s">
        <v>331</v>
      </c>
      <c r="F27" s="128">
        <f>F26</f>
        <v>3116000</v>
      </c>
      <c r="G27" s="126"/>
      <c r="H27" s="126"/>
      <c r="I27" s="126"/>
      <c r="J27" s="126"/>
      <c r="K27" s="126"/>
      <c r="L27" s="126"/>
      <c r="M27" s="126"/>
      <c r="N27" s="126"/>
      <c r="O27" s="126">
        <f t="shared" si="23"/>
        <v>80000</v>
      </c>
      <c r="P27" s="126"/>
      <c r="Q27" s="126">
        <f t="shared" si="24"/>
        <v>24160</v>
      </c>
      <c r="R27" s="126">
        <f t="shared" si="25"/>
        <v>483200</v>
      </c>
      <c r="S27" s="126">
        <f t="shared" si="26"/>
        <v>120800</v>
      </c>
      <c r="T27" s="127">
        <f t="shared" si="18"/>
        <v>250000</v>
      </c>
      <c r="U27" s="122">
        <f t="shared" si="16"/>
        <v>3929200</v>
      </c>
      <c r="V27" s="624"/>
      <c r="W27" s="625">
        <f t="shared" si="27"/>
        <v>327440</v>
      </c>
      <c r="X27" s="626">
        <f t="shared" si="28"/>
        <v>176810</v>
      </c>
      <c r="Y27" s="626">
        <f t="shared" si="19"/>
        <v>119260</v>
      </c>
      <c r="Z27" s="626">
        <f t="shared" si="20"/>
        <v>7820</v>
      </c>
      <c r="AA27" s="626">
        <f t="shared" si="21"/>
        <v>35360</v>
      </c>
      <c r="AB27" s="626">
        <f t="shared" si="22"/>
        <v>31430</v>
      </c>
      <c r="AC27" s="129">
        <f t="shared" si="17"/>
        <v>698120</v>
      </c>
      <c r="AD27" s="619">
        <f t="shared" si="4"/>
        <v>3231080</v>
      </c>
    </row>
    <row r="28" spans="1:30" s="25" customFormat="1" ht="15" hidden="1" customHeight="1">
      <c r="A28" s="1150"/>
      <c r="B28" s="119"/>
      <c r="C28" s="120"/>
      <c r="D28" s="623"/>
      <c r="E28" s="124" t="s">
        <v>62</v>
      </c>
      <c r="F28" s="126">
        <f>F27</f>
        <v>3116000</v>
      </c>
      <c r="G28" s="126"/>
      <c r="H28" s="126"/>
      <c r="I28" s="126"/>
      <c r="J28" s="126"/>
      <c r="K28" s="126"/>
      <c r="L28" s="126"/>
      <c r="M28" s="126">
        <f>F28*60%</f>
        <v>1869600</v>
      </c>
      <c r="N28" s="126"/>
      <c r="O28" s="126">
        <f t="shared" si="23"/>
        <v>80000</v>
      </c>
      <c r="P28" s="126"/>
      <c r="Q28" s="126">
        <f t="shared" si="24"/>
        <v>24160</v>
      </c>
      <c r="R28" s="126">
        <f t="shared" si="25"/>
        <v>483200</v>
      </c>
      <c r="S28" s="126">
        <f t="shared" si="26"/>
        <v>120800</v>
      </c>
      <c r="T28" s="127">
        <f t="shared" si="18"/>
        <v>250000</v>
      </c>
      <c r="U28" s="122">
        <f t="shared" si="16"/>
        <v>5798800</v>
      </c>
      <c r="V28" s="624"/>
      <c r="W28" s="625">
        <f t="shared" si="27"/>
        <v>483240</v>
      </c>
      <c r="X28" s="626">
        <f t="shared" si="28"/>
        <v>260950</v>
      </c>
      <c r="Y28" s="626">
        <f t="shared" si="19"/>
        <v>176000</v>
      </c>
      <c r="Z28" s="626">
        <f t="shared" si="20"/>
        <v>11530</v>
      </c>
      <c r="AA28" s="626">
        <f t="shared" si="21"/>
        <v>52190</v>
      </c>
      <c r="AB28" s="626">
        <f t="shared" si="22"/>
        <v>46390</v>
      </c>
      <c r="AC28" s="129">
        <f t="shared" si="17"/>
        <v>1030300</v>
      </c>
      <c r="AD28" s="619">
        <f t="shared" si="4"/>
        <v>4768500</v>
      </c>
    </row>
    <row r="29" spans="1:30" s="25" customFormat="1" ht="15" hidden="1" customHeight="1">
      <c r="A29" s="1150"/>
      <c r="B29" s="119"/>
      <c r="C29" s="120"/>
      <c r="D29" s="623"/>
      <c r="E29" s="124" t="s">
        <v>63</v>
      </c>
      <c r="F29" s="126">
        <f>F27</f>
        <v>3116000</v>
      </c>
      <c r="G29" s="126"/>
      <c r="H29" s="126"/>
      <c r="I29" s="125"/>
      <c r="J29" s="126"/>
      <c r="K29" s="126"/>
      <c r="L29" s="126"/>
      <c r="M29" s="126"/>
      <c r="N29" s="126"/>
      <c r="O29" s="126">
        <f t="shared" si="23"/>
        <v>80000</v>
      </c>
      <c r="P29" s="126"/>
      <c r="Q29" s="126">
        <f t="shared" si="24"/>
        <v>24160</v>
      </c>
      <c r="R29" s="126">
        <f t="shared" si="25"/>
        <v>483200</v>
      </c>
      <c r="S29" s="126">
        <f t="shared" si="26"/>
        <v>120800</v>
      </c>
      <c r="T29" s="127">
        <f t="shared" si="18"/>
        <v>250000</v>
      </c>
      <c r="U29" s="122">
        <f t="shared" si="16"/>
        <v>3929200</v>
      </c>
      <c r="V29" s="624"/>
      <c r="W29" s="625">
        <f t="shared" si="27"/>
        <v>327440</v>
      </c>
      <c r="X29" s="626">
        <f t="shared" si="28"/>
        <v>176810</v>
      </c>
      <c r="Y29" s="626">
        <f t="shared" si="19"/>
        <v>119260</v>
      </c>
      <c r="Z29" s="626">
        <f t="shared" si="20"/>
        <v>7820</v>
      </c>
      <c r="AA29" s="626">
        <f t="shared" si="21"/>
        <v>35360</v>
      </c>
      <c r="AB29" s="626">
        <f t="shared" si="22"/>
        <v>31430</v>
      </c>
      <c r="AC29" s="129">
        <f t="shared" si="17"/>
        <v>698120</v>
      </c>
      <c r="AD29" s="619">
        <f t="shared" si="4"/>
        <v>3231080</v>
      </c>
    </row>
    <row r="30" spans="1:30" s="25" customFormat="1" ht="15" hidden="1" customHeight="1">
      <c r="A30" s="1150"/>
      <c r="B30" s="119"/>
      <c r="C30" s="120"/>
      <c r="D30" s="623"/>
      <c r="E30" s="124" t="s">
        <v>64</v>
      </c>
      <c r="F30" s="126">
        <f>F29</f>
        <v>3116000</v>
      </c>
      <c r="G30" s="126"/>
      <c r="H30" s="126"/>
      <c r="I30" s="126"/>
      <c r="J30" s="126"/>
      <c r="K30" s="126"/>
      <c r="L30" s="126"/>
      <c r="M30" s="126"/>
      <c r="N30" s="126"/>
      <c r="O30" s="126">
        <f t="shared" si="23"/>
        <v>80000</v>
      </c>
      <c r="P30" s="126"/>
      <c r="Q30" s="126">
        <f t="shared" si="24"/>
        <v>24160</v>
      </c>
      <c r="R30" s="126">
        <f t="shared" si="25"/>
        <v>483200</v>
      </c>
      <c r="S30" s="126">
        <f t="shared" si="26"/>
        <v>120800</v>
      </c>
      <c r="T30" s="127">
        <f t="shared" si="18"/>
        <v>250000</v>
      </c>
      <c r="U30" s="122">
        <f t="shared" si="16"/>
        <v>3929200</v>
      </c>
      <c r="V30" s="624"/>
      <c r="W30" s="625">
        <f t="shared" si="27"/>
        <v>327440</v>
      </c>
      <c r="X30" s="626">
        <f t="shared" si="28"/>
        <v>176810</v>
      </c>
      <c r="Y30" s="626">
        <f t="shared" si="19"/>
        <v>119260</v>
      </c>
      <c r="Z30" s="626">
        <f t="shared" si="20"/>
        <v>7820</v>
      </c>
      <c r="AA30" s="626">
        <f t="shared" si="21"/>
        <v>35360</v>
      </c>
      <c r="AB30" s="626">
        <f t="shared" si="22"/>
        <v>31430</v>
      </c>
      <c r="AC30" s="129">
        <f t="shared" si="17"/>
        <v>698120</v>
      </c>
      <c r="AD30" s="619">
        <f t="shared" si="4"/>
        <v>3231080</v>
      </c>
    </row>
    <row r="31" spans="1:30" s="25" customFormat="1" ht="15" hidden="1" customHeight="1">
      <c r="A31" s="1150"/>
      <c r="B31" s="119"/>
      <c r="C31" s="120"/>
      <c r="D31" s="623"/>
      <c r="E31" s="124" t="s">
        <v>794</v>
      </c>
      <c r="F31" s="126">
        <f>F30</f>
        <v>3116000</v>
      </c>
      <c r="G31" s="126"/>
      <c r="H31" s="126"/>
      <c r="I31" s="126"/>
      <c r="J31" s="126"/>
      <c r="K31" s="126"/>
      <c r="L31" s="126"/>
      <c r="M31" s="126"/>
      <c r="N31" s="126"/>
      <c r="O31" s="126">
        <f t="shared" si="23"/>
        <v>80000</v>
      </c>
      <c r="P31" s="126"/>
      <c r="Q31" s="126">
        <f t="shared" si="24"/>
        <v>24160</v>
      </c>
      <c r="R31" s="126">
        <f>Q31*20*2</f>
        <v>966400</v>
      </c>
      <c r="S31" s="126">
        <f t="shared" si="26"/>
        <v>120800</v>
      </c>
      <c r="T31" s="127">
        <f t="shared" si="18"/>
        <v>250000</v>
      </c>
      <c r="U31" s="122">
        <f t="shared" si="16"/>
        <v>4412400</v>
      </c>
      <c r="V31" s="624"/>
      <c r="W31" s="625">
        <f t="shared" si="27"/>
        <v>367700</v>
      </c>
      <c r="X31" s="626">
        <f t="shared" si="28"/>
        <v>198560</v>
      </c>
      <c r="Y31" s="626">
        <f t="shared" si="19"/>
        <v>133920</v>
      </c>
      <c r="Z31" s="626">
        <f t="shared" si="20"/>
        <v>8780</v>
      </c>
      <c r="AA31" s="626">
        <f t="shared" si="21"/>
        <v>39710</v>
      </c>
      <c r="AB31" s="626">
        <f t="shared" si="22"/>
        <v>35300</v>
      </c>
      <c r="AC31" s="129">
        <f t="shared" si="17"/>
        <v>783970</v>
      </c>
      <c r="AD31" s="619">
        <f t="shared" si="4"/>
        <v>3628430</v>
      </c>
    </row>
    <row r="32" spans="1:30" s="25" customFormat="1" ht="14.25" customHeight="1">
      <c r="A32" s="1150">
        <v>3</v>
      </c>
      <c r="B32" s="119" t="s">
        <v>786</v>
      </c>
      <c r="C32" s="120" t="s">
        <v>787</v>
      </c>
      <c r="D32" s="623">
        <v>1</v>
      </c>
      <c r="E32" s="121" t="s">
        <v>783</v>
      </c>
      <c r="F32" s="122">
        <f t="shared" ref="F32:U32" si="29">SUM(F33:F44)</f>
        <v>31866000</v>
      </c>
      <c r="G32" s="122">
        <f t="shared" si="29"/>
        <v>0</v>
      </c>
      <c r="H32" s="122">
        <f t="shared" si="29"/>
        <v>0</v>
      </c>
      <c r="I32" s="122">
        <f t="shared" si="29"/>
        <v>0</v>
      </c>
      <c r="J32" s="122">
        <f t="shared" si="29"/>
        <v>0</v>
      </c>
      <c r="K32" s="122">
        <f t="shared" si="29"/>
        <v>0</v>
      </c>
      <c r="L32" s="122">
        <f t="shared" si="29"/>
        <v>0</v>
      </c>
      <c r="M32" s="122">
        <f t="shared" si="29"/>
        <v>3186600</v>
      </c>
      <c r="N32" s="122">
        <f t="shared" si="29"/>
        <v>0</v>
      </c>
      <c r="O32" s="122">
        <f t="shared" si="29"/>
        <v>480000</v>
      </c>
      <c r="P32" s="122"/>
      <c r="Q32" s="122"/>
      <c r="R32" s="122">
        <f>SUM(R33:R44)</f>
        <v>5004000</v>
      </c>
      <c r="S32" s="122">
        <f t="shared" si="29"/>
        <v>1145450</v>
      </c>
      <c r="T32" s="122">
        <f t="shared" si="29"/>
        <v>3000000</v>
      </c>
      <c r="U32" s="122">
        <f t="shared" si="29"/>
        <v>43536600</v>
      </c>
      <c r="V32" s="624"/>
      <c r="W32" s="350">
        <f t="shared" ref="W32:AB32" si="30">SUM(W33:W44)</f>
        <v>3648950</v>
      </c>
      <c r="X32" s="122">
        <f t="shared" si="30"/>
        <v>1959170</v>
      </c>
      <c r="Y32" s="122">
        <f t="shared" si="30"/>
        <v>1321380</v>
      </c>
      <c r="Z32" s="122">
        <f t="shared" si="30"/>
        <v>86610</v>
      </c>
      <c r="AA32" s="122">
        <f t="shared" si="30"/>
        <v>391840</v>
      </c>
      <c r="AB32" s="122">
        <f t="shared" si="30"/>
        <v>348300</v>
      </c>
      <c r="AC32" s="123">
        <f>SUM(AC33:AC44)</f>
        <v>7756250</v>
      </c>
      <c r="AD32" s="618">
        <f t="shared" si="4"/>
        <v>35780350</v>
      </c>
    </row>
    <row r="33" spans="1:30" s="24" customFormat="1" ht="14.25" hidden="1" customHeight="1">
      <c r="A33" s="1150"/>
      <c r="B33" s="119" t="s">
        <v>520</v>
      </c>
      <c r="C33" s="120">
        <v>11</v>
      </c>
      <c r="D33" s="120"/>
      <c r="E33" s="124" t="s">
        <v>512</v>
      </c>
      <c r="F33" s="125">
        <v>2619000</v>
      </c>
      <c r="G33" s="126"/>
      <c r="H33" s="125"/>
      <c r="I33" s="127"/>
      <c r="J33" s="126"/>
      <c r="K33" s="126"/>
      <c r="L33" s="126"/>
      <c r="M33" s="126"/>
      <c r="N33" s="126"/>
      <c r="O33" s="126">
        <v>40000</v>
      </c>
      <c r="P33" s="126"/>
      <c r="Q33" s="126"/>
      <c r="R33" s="126"/>
      <c r="S33" s="126"/>
      <c r="T33" s="127">
        <v>250000</v>
      </c>
      <c r="U33" s="122">
        <f>SUM(F33,M33,O33,R33,T33)</f>
        <v>2909000</v>
      </c>
      <c r="V33" s="333"/>
      <c r="W33" s="338">
        <f>ROUNDUP(U33*1/12,-1)</f>
        <v>242420</v>
      </c>
      <c r="X33" s="128">
        <f t="shared" ref="X33:X44" si="31">ROUND(U33*4.5%,-1)</f>
        <v>130910</v>
      </c>
      <c r="Y33" s="128">
        <f t="shared" ref="Y33:Y44" si="32">ROUNDUP((U33-L33)*3.035%,-1)</f>
        <v>88290</v>
      </c>
      <c r="Z33" s="128">
        <f t="shared" ref="Z33:Z96" si="33">ROUNDUP(Y33*6.55%,-1)</f>
        <v>5790</v>
      </c>
      <c r="AA33" s="128">
        <f t="shared" ref="AA33:AA44" si="34">ROUND(U33*0.9%,-1)</f>
        <v>26180</v>
      </c>
      <c r="AB33" s="128">
        <f t="shared" ref="AB33:AB44" si="35">ROUND(U33*0.8%,-1)</f>
        <v>23270</v>
      </c>
      <c r="AC33" s="129">
        <f t="shared" ref="AC33:AC44" si="36">SUM(W33:AB33)</f>
        <v>516860</v>
      </c>
      <c r="AD33" s="619">
        <f t="shared" si="4"/>
        <v>2392140</v>
      </c>
    </row>
    <row r="34" spans="1:30" s="24" customFormat="1" ht="14.25" hidden="1" customHeight="1">
      <c r="A34" s="1150"/>
      <c r="B34" s="119"/>
      <c r="C34" s="120"/>
      <c r="D34" s="120"/>
      <c r="E34" s="124" t="s">
        <v>514</v>
      </c>
      <c r="F34" s="126">
        <f>F33</f>
        <v>2619000</v>
      </c>
      <c r="G34" s="126"/>
      <c r="H34" s="126"/>
      <c r="I34" s="126"/>
      <c r="J34" s="126"/>
      <c r="K34" s="126"/>
      <c r="L34" s="126"/>
      <c r="M34" s="126">
        <f>F34*60%</f>
        <v>1571400</v>
      </c>
      <c r="N34" s="126"/>
      <c r="O34" s="126">
        <f>O33</f>
        <v>40000</v>
      </c>
      <c r="P34" s="126"/>
      <c r="Q34" s="126">
        <f>ROUND((F33+T33)*1/209*1.5,-1)</f>
        <v>20590</v>
      </c>
      <c r="R34" s="126">
        <f>Q34*20</f>
        <v>411800</v>
      </c>
      <c r="S34" s="126">
        <f>Q34*5</f>
        <v>102950</v>
      </c>
      <c r="T34" s="127">
        <f>T33</f>
        <v>250000</v>
      </c>
      <c r="U34" s="122">
        <f t="shared" si="16"/>
        <v>4892200</v>
      </c>
      <c r="V34" s="333"/>
      <c r="W34" s="338">
        <f>ROUNDUP((T34+U34)*1/12,-1)</f>
        <v>428520</v>
      </c>
      <c r="X34" s="128">
        <f t="shared" si="31"/>
        <v>220150</v>
      </c>
      <c r="Y34" s="128">
        <f t="shared" si="32"/>
        <v>148480</v>
      </c>
      <c r="Z34" s="128">
        <f t="shared" si="33"/>
        <v>9730</v>
      </c>
      <c r="AA34" s="128">
        <f t="shared" si="34"/>
        <v>44030</v>
      </c>
      <c r="AB34" s="128">
        <f t="shared" si="35"/>
        <v>39140</v>
      </c>
      <c r="AC34" s="129">
        <f t="shared" si="36"/>
        <v>890050</v>
      </c>
      <c r="AD34" s="619">
        <f t="shared" si="4"/>
        <v>4002150</v>
      </c>
    </row>
    <row r="35" spans="1:30" s="24" customFormat="1" ht="14.25" hidden="1" customHeight="1">
      <c r="A35" s="1150"/>
      <c r="B35" s="119"/>
      <c r="C35" s="120"/>
      <c r="D35" s="120"/>
      <c r="E35" s="124" t="s">
        <v>515</v>
      </c>
      <c r="F35" s="126">
        <f>F33</f>
        <v>2619000</v>
      </c>
      <c r="G35" s="126"/>
      <c r="H35" s="126"/>
      <c r="I35" s="126"/>
      <c r="J35" s="126"/>
      <c r="K35" s="126"/>
      <c r="L35" s="126"/>
      <c r="M35" s="126"/>
      <c r="N35" s="126"/>
      <c r="O35" s="126">
        <f>O33</f>
        <v>40000</v>
      </c>
      <c r="P35" s="126"/>
      <c r="Q35" s="126">
        <f t="shared" ref="Q35:Q44" si="37">ROUND((F34+T34)*1/209*1.5,-1)</f>
        <v>20590</v>
      </c>
      <c r="R35" s="126">
        <f>Q35*20</f>
        <v>411800</v>
      </c>
      <c r="S35" s="126">
        <f>Q35*5</f>
        <v>102950</v>
      </c>
      <c r="T35" s="127">
        <f>T34</f>
        <v>250000</v>
      </c>
      <c r="U35" s="122">
        <f t="shared" si="16"/>
        <v>3320800</v>
      </c>
      <c r="V35" s="333"/>
      <c r="W35" s="338">
        <f t="shared" ref="W35:W44" si="38">ROUNDUP(U35*1/12,-1)</f>
        <v>276740</v>
      </c>
      <c r="X35" s="128">
        <f t="shared" si="31"/>
        <v>149440</v>
      </c>
      <c r="Y35" s="128">
        <f t="shared" si="32"/>
        <v>100790</v>
      </c>
      <c r="Z35" s="128">
        <f t="shared" si="33"/>
        <v>6610</v>
      </c>
      <c r="AA35" s="128">
        <f t="shared" si="34"/>
        <v>29890</v>
      </c>
      <c r="AB35" s="128">
        <f t="shared" si="35"/>
        <v>26570</v>
      </c>
      <c r="AC35" s="129">
        <f t="shared" si="36"/>
        <v>590040</v>
      </c>
      <c r="AD35" s="619">
        <f t="shared" si="4"/>
        <v>2730760</v>
      </c>
    </row>
    <row r="36" spans="1:30" s="24" customFormat="1" ht="14.25" hidden="1" customHeight="1">
      <c r="A36" s="1150"/>
      <c r="B36" s="119"/>
      <c r="C36" s="120"/>
      <c r="D36" s="120"/>
      <c r="E36" s="124" t="s">
        <v>516</v>
      </c>
      <c r="F36" s="126">
        <f>F33</f>
        <v>2619000</v>
      </c>
      <c r="G36" s="126"/>
      <c r="H36" s="126"/>
      <c r="I36" s="126"/>
      <c r="J36" s="126"/>
      <c r="K36" s="126"/>
      <c r="L36" s="126"/>
      <c r="M36" s="126"/>
      <c r="N36" s="126"/>
      <c r="O36" s="126">
        <f>O33</f>
        <v>40000</v>
      </c>
      <c r="P36" s="126"/>
      <c r="Q36" s="126">
        <f t="shared" si="37"/>
        <v>20590</v>
      </c>
      <c r="R36" s="126">
        <f t="shared" ref="R36:R43" si="39">Q36*20</f>
        <v>411800</v>
      </c>
      <c r="S36" s="126">
        <f t="shared" ref="S36:S44" si="40">Q36*5</f>
        <v>102950</v>
      </c>
      <c r="T36" s="127">
        <f>T35</f>
        <v>250000</v>
      </c>
      <c r="U36" s="122">
        <f t="shared" si="16"/>
        <v>3320800</v>
      </c>
      <c r="V36" s="333"/>
      <c r="W36" s="338">
        <f t="shared" si="38"/>
        <v>276740</v>
      </c>
      <c r="X36" s="128">
        <f t="shared" si="31"/>
        <v>149440</v>
      </c>
      <c r="Y36" s="128">
        <f t="shared" si="32"/>
        <v>100790</v>
      </c>
      <c r="Z36" s="128">
        <f t="shared" si="33"/>
        <v>6610</v>
      </c>
      <c r="AA36" s="128">
        <f t="shared" si="34"/>
        <v>29890</v>
      </c>
      <c r="AB36" s="128">
        <f t="shared" si="35"/>
        <v>26570</v>
      </c>
      <c r="AC36" s="129">
        <f t="shared" si="36"/>
        <v>590040</v>
      </c>
      <c r="AD36" s="619">
        <f t="shared" si="4"/>
        <v>2730760</v>
      </c>
    </row>
    <row r="37" spans="1:30" s="24" customFormat="1" ht="14.25" hidden="1" customHeight="1">
      <c r="A37" s="1150"/>
      <c r="B37" s="119"/>
      <c r="C37" s="120"/>
      <c r="D37" s="120"/>
      <c r="E37" s="124" t="s">
        <v>517</v>
      </c>
      <c r="F37" s="126">
        <f>F33</f>
        <v>2619000</v>
      </c>
      <c r="G37" s="126"/>
      <c r="H37" s="126"/>
      <c r="I37" s="126"/>
      <c r="J37" s="126"/>
      <c r="K37" s="126"/>
      <c r="L37" s="126"/>
      <c r="M37" s="126"/>
      <c r="N37" s="126"/>
      <c r="O37" s="126">
        <f>O33</f>
        <v>40000</v>
      </c>
      <c r="P37" s="126"/>
      <c r="Q37" s="126">
        <f t="shared" si="37"/>
        <v>20590</v>
      </c>
      <c r="R37" s="126">
        <f t="shared" si="39"/>
        <v>411800</v>
      </c>
      <c r="S37" s="126">
        <f t="shared" si="40"/>
        <v>102950</v>
      </c>
      <c r="T37" s="127">
        <f>T36</f>
        <v>250000</v>
      </c>
      <c r="U37" s="122">
        <f t="shared" si="16"/>
        <v>3320800</v>
      </c>
      <c r="V37" s="333"/>
      <c r="W37" s="338">
        <f t="shared" si="38"/>
        <v>276740</v>
      </c>
      <c r="X37" s="128">
        <f t="shared" si="31"/>
        <v>149440</v>
      </c>
      <c r="Y37" s="128">
        <f t="shared" si="32"/>
        <v>100790</v>
      </c>
      <c r="Z37" s="128">
        <f t="shared" si="33"/>
        <v>6610</v>
      </c>
      <c r="AA37" s="128">
        <f t="shared" si="34"/>
        <v>29890</v>
      </c>
      <c r="AB37" s="128">
        <f t="shared" si="35"/>
        <v>26570</v>
      </c>
      <c r="AC37" s="129">
        <f t="shared" si="36"/>
        <v>590040</v>
      </c>
      <c r="AD37" s="619">
        <f t="shared" si="4"/>
        <v>2730760</v>
      </c>
    </row>
    <row r="38" spans="1:30" s="24" customFormat="1" ht="14.25" hidden="1" customHeight="1">
      <c r="A38" s="1150"/>
      <c r="B38" s="119"/>
      <c r="C38" s="120"/>
      <c r="D38" s="120"/>
      <c r="E38" s="124" t="s">
        <v>518</v>
      </c>
      <c r="F38" s="592">
        <f>F37</f>
        <v>2619000</v>
      </c>
      <c r="G38" s="126"/>
      <c r="H38" s="126"/>
      <c r="I38" s="126"/>
      <c r="J38" s="126"/>
      <c r="K38" s="126"/>
      <c r="L38" s="126"/>
      <c r="M38" s="126"/>
      <c r="N38" s="126"/>
      <c r="O38" s="126">
        <f>O33</f>
        <v>40000</v>
      </c>
      <c r="P38" s="126"/>
      <c r="Q38" s="126">
        <f t="shared" si="37"/>
        <v>20590</v>
      </c>
      <c r="R38" s="126">
        <f t="shared" si="39"/>
        <v>411800</v>
      </c>
      <c r="S38" s="126">
        <f t="shared" si="40"/>
        <v>102950</v>
      </c>
      <c r="T38" s="127">
        <f>T37</f>
        <v>250000</v>
      </c>
      <c r="U38" s="122">
        <f t="shared" si="16"/>
        <v>3320800</v>
      </c>
      <c r="V38" s="333"/>
      <c r="W38" s="338">
        <f t="shared" si="38"/>
        <v>276740</v>
      </c>
      <c r="X38" s="128">
        <f t="shared" si="31"/>
        <v>149440</v>
      </c>
      <c r="Y38" s="128">
        <f t="shared" si="32"/>
        <v>100790</v>
      </c>
      <c r="Z38" s="128">
        <f t="shared" si="33"/>
        <v>6610</v>
      </c>
      <c r="AA38" s="128">
        <f t="shared" si="34"/>
        <v>29890</v>
      </c>
      <c r="AB38" s="128">
        <f t="shared" si="35"/>
        <v>26570</v>
      </c>
      <c r="AC38" s="129">
        <f t="shared" si="36"/>
        <v>590040</v>
      </c>
      <c r="AD38" s="619">
        <f t="shared" si="4"/>
        <v>2730760</v>
      </c>
    </row>
    <row r="39" spans="1:30" s="24" customFormat="1" ht="14.25" hidden="1" customHeight="1">
      <c r="A39" s="1150"/>
      <c r="B39" s="119"/>
      <c r="C39" s="120">
        <v>12</v>
      </c>
      <c r="D39" s="120"/>
      <c r="E39" s="124" t="s">
        <v>330</v>
      </c>
      <c r="F39" s="591">
        <v>2692000</v>
      </c>
      <c r="G39" s="126"/>
      <c r="H39" s="125"/>
      <c r="I39" s="125"/>
      <c r="J39" s="126"/>
      <c r="K39" s="126"/>
      <c r="L39" s="126"/>
      <c r="M39" s="126"/>
      <c r="N39" s="126"/>
      <c r="O39" s="126">
        <f>O38</f>
        <v>40000</v>
      </c>
      <c r="P39" s="126"/>
      <c r="Q39" s="126">
        <f t="shared" si="37"/>
        <v>20590</v>
      </c>
      <c r="R39" s="126">
        <f t="shared" si="39"/>
        <v>411800</v>
      </c>
      <c r="S39" s="126">
        <f t="shared" si="40"/>
        <v>102950</v>
      </c>
      <c r="T39" s="127">
        <v>250000</v>
      </c>
      <c r="U39" s="122">
        <f t="shared" si="16"/>
        <v>3393800</v>
      </c>
      <c r="V39" s="333"/>
      <c r="W39" s="338">
        <f t="shared" si="38"/>
        <v>282820</v>
      </c>
      <c r="X39" s="128">
        <f t="shared" si="31"/>
        <v>152720</v>
      </c>
      <c r="Y39" s="128">
        <f t="shared" si="32"/>
        <v>103010</v>
      </c>
      <c r="Z39" s="128">
        <f t="shared" si="33"/>
        <v>6750</v>
      </c>
      <c r="AA39" s="128">
        <f t="shared" si="34"/>
        <v>30540</v>
      </c>
      <c r="AB39" s="128">
        <f t="shared" si="35"/>
        <v>27150</v>
      </c>
      <c r="AC39" s="129">
        <f t="shared" si="36"/>
        <v>602990</v>
      </c>
      <c r="AD39" s="619">
        <f t="shared" si="4"/>
        <v>2790810</v>
      </c>
    </row>
    <row r="40" spans="1:30" s="24" customFormat="1" ht="14.25" hidden="1" customHeight="1">
      <c r="A40" s="1150"/>
      <c r="B40" s="119"/>
      <c r="C40" s="120"/>
      <c r="D40" s="120"/>
      <c r="E40" s="124" t="s">
        <v>331</v>
      </c>
      <c r="F40" s="126">
        <f>F39</f>
        <v>2692000</v>
      </c>
      <c r="G40" s="126"/>
      <c r="H40" s="126"/>
      <c r="I40" s="126"/>
      <c r="J40" s="126"/>
      <c r="K40" s="126"/>
      <c r="L40" s="126"/>
      <c r="M40" s="126"/>
      <c r="N40" s="126"/>
      <c r="O40" s="126">
        <f>O39</f>
        <v>40000</v>
      </c>
      <c r="P40" s="126"/>
      <c r="Q40" s="126">
        <f t="shared" si="37"/>
        <v>21110</v>
      </c>
      <c r="R40" s="126">
        <f t="shared" si="39"/>
        <v>422200</v>
      </c>
      <c r="S40" s="126">
        <f t="shared" si="40"/>
        <v>105550</v>
      </c>
      <c r="T40" s="127">
        <f>T39</f>
        <v>250000</v>
      </c>
      <c r="U40" s="122">
        <f t="shared" si="16"/>
        <v>3404200</v>
      </c>
      <c r="V40" s="333"/>
      <c r="W40" s="338">
        <f t="shared" si="38"/>
        <v>283690</v>
      </c>
      <c r="X40" s="128">
        <f t="shared" si="31"/>
        <v>153190</v>
      </c>
      <c r="Y40" s="128">
        <f t="shared" si="32"/>
        <v>103320</v>
      </c>
      <c r="Z40" s="128">
        <f t="shared" si="33"/>
        <v>6770</v>
      </c>
      <c r="AA40" s="128">
        <f t="shared" si="34"/>
        <v>30640</v>
      </c>
      <c r="AB40" s="128">
        <f t="shared" si="35"/>
        <v>27230</v>
      </c>
      <c r="AC40" s="129">
        <f t="shared" si="36"/>
        <v>604840</v>
      </c>
      <c r="AD40" s="619">
        <f t="shared" si="4"/>
        <v>2799360</v>
      </c>
    </row>
    <row r="41" spans="1:30" s="24" customFormat="1" ht="14.25" hidden="1" customHeight="1">
      <c r="A41" s="1150"/>
      <c r="B41" s="119"/>
      <c r="C41" s="120"/>
      <c r="D41" s="120"/>
      <c r="E41" s="124" t="s">
        <v>62</v>
      </c>
      <c r="F41" s="126">
        <f>F39</f>
        <v>2692000</v>
      </c>
      <c r="G41" s="126"/>
      <c r="H41" s="126"/>
      <c r="I41" s="126"/>
      <c r="J41" s="126"/>
      <c r="K41" s="126"/>
      <c r="L41" s="126"/>
      <c r="M41" s="126">
        <f>F41*60%</f>
        <v>1615200</v>
      </c>
      <c r="N41" s="126"/>
      <c r="O41" s="126">
        <f>O39</f>
        <v>40000</v>
      </c>
      <c r="P41" s="126"/>
      <c r="Q41" s="126">
        <f t="shared" si="37"/>
        <v>21110</v>
      </c>
      <c r="R41" s="126">
        <f t="shared" si="39"/>
        <v>422200</v>
      </c>
      <c r="S41" s="126">
        <f t="shared" si="40"/>
        <v>105550</v>
      </c>
      <c r="T41" s="127">
        <f>T40</f>
        <v>250000</v>
      </c>
      <c r="U41" s="122">
        <f t="shared" si="16"/>
        <v>5019400</v>
      </c>
      <c r="V41" s="333"/>
      <c r="W41" s="338">
        <f t="shared" si="38"/>
        <v>418290</v>
      </c>
      <c r="X41" s="128">
        <f t="shared" si="31"/>
        <v>225870</v>
      </c>
      <c r="Y41" s="128">
        <f t="shared" si="32"/>
        <v>152340</v>
      </c>
      <c r="Z41" s="128">
        <f t="shared" si="33"/>
        <v>9980</v>
      </c>
      <c r="AA41" s="128">
        <f t="shared" si="34"/>
        <v>45170</v>
      </c>
      <c r="AB41" s="128">
        <f t="shared" si="35"/>
        <v>40160</v>
      </c>
      <c r="AC41" s="129">
        <f t="shared" si="36"/>
        <v>891810</v>
      </c>
      <c r="AD41" s="619">
        <f t="shared" si="4"/>
        <v>4127590</v>
      </c>
    </row>
    <row r="42" spans="1:30" s="24" customFormat="1" ht="14.25" hidden="1" customHeight="1">
      <c r="A42" s="1150"/>
      <c r="B42" s="119"/>
      <c r="C42" s="120"/>
      <c r="D42" s="120"/>
      <c r="E42" s="124" t="s">
        <v>63</v>
      </c>
      <c r="F42" s="126">
        <f>F40</f>
        <v>2692000</v>
      </c>
      <c r="G42" s="126"/>
      <c r="H42" s="126"/>
      <c r="I42" s="126"/>
      <c r="J42" s="126"/>
      <c r="K42" s="126"/>
      <c r="L42" s="126"/>
      <c r="M42" s="126"/>
      <c r="N42" s="126"/>
      <c r="O42" s="126">
        <f>O39</f>
        <v>40000</v>
      </c>
      <c r="P42" s="126"/>
      <c r="Q42" s="126">
        <f t="shared" si="37"/>
        <v>21110</v>
      </c>
      <c r="R42" s="126">
        <f t="shared" si="39"/>
        <v>422200</v>
      </c>
      <c r="S42" s="126">
        <f t="shared" si="40"/>
        <v>105550</v>
      </c>
      <c r="T42" s="127">
        <f>T41</f>
        <v>250000</v>
      </c>
      <c r="U42" s="122">
        <f t="shared" si="16"/>
        <v>3404200</v>
      </c>
      <c r="V42" s="333"/>
      <c r="W42" s="338">
        <f t="shared" si="38"/>
        <v>283690</v>
      </c>
      <c r="X42" s="128">
        <f t="shared" si="31"/>
        <v>153190</v>
      </c>
      <c r="Y42" s="128">
        <f t="shared" si="32"/>
        <v>103320</v>
      </c>
      <c r="Z42" s="128">
        <f t="shared" si="33"/>
        <v>6770</v>
      </c>
      <c r="AA42" s="128">
        <f t="shared" si="34"/>
        <v>30640</v>
      </c>
      <c r="AB42" s="128">
        <f t="shared" si="35"/>
        <v>27230</v>
      </c>
      <c r="AC42" s="129">
        <f t="shared" si="36"/>
        <v>604840</v>
      </c>
      <c r="AD42" s="619">
        <f t="shared" si="4"/>
        <v>2799360</v>
      </c>
    </row>
    <row r="43" spans="1:30" s="24" customFormat="1" ht="14.25" hidden="1" customHeight="1">
      <c r="A43" s="1150"/>
      <c r="B43" s="119"/>
      <c r="C43" s="120"/>
      <c r="D43" s="120"/>
      <c r="E43" s="124" t="s">
        <v>64</v>
      </c>
      <c r="F43" s="126">
        <f>F42</f>
        <v>2692000</v>
      </c>
      <c r="G43" s="126"/>
      <c r="H43" s="126"/>
      <c r="I43" s="126"/>
      <c r="J43" s="126"/>
      <c r="K43" s="126"/>
      <c r="L43" s="126"/>
      <c r="M43" s="126"/>
      <c r="N43" s="126"/>
      <c r="O43" s="126">
        <f>O39</f>
        <v>40000</v>
      </c>
      <c r="P43" s="126"/>
      <c r="Q43" s="126">
        <f t="shared" si="37"/>
        <v>21110</v>
      </c>
      <c r="R43" s="126">
        <f t="shared" si="39"/>
        <v>422200</v>
      </c>
      <c r="S43" s="126">
        <f t="shared" si="40"/>
        <v>105550</v>
      </c>
      <c r="T43" s="127">
        <f>T42</f>
        <v>250000</v>
      </c>
      <c r="U43" s="122">
        <f t="shared" si="16"/>
        <v>3404200</v>
      </c>
      <c r="V43" s="333"/>
      <c r="W43" s="338">
        <f t="shared" si="38"/>
        <v>283690</v>
      </c>
      <c r="X43" s="128">
        <f t="shared" si="31"/>
        <v>153190</v>
      </c>
      <c r="Y43" s="128">
        <f t="shared" si="32"/>
        <v>103320</v>
      </c>
      <c r="Z43" s="128">
        <f t="shared" si="33"/>
        <v>6770</v>
      </c>
      <c r="AA43" s="128">
        <f t="shared" si="34"/>
        <v>30640</v>
      </c>
      <c r="AB43" s="128">
        <f t="shared" si="35"/>
        <v>27230</v>
      </c>
      <c r="AC43" s="129">
        <f t="shared" si="36"/>
        <v>604840</v>
      </c>
      <c r="AD43" s="619">
        <f t="shared" si="4"/>
        <v>2799360</v>
      </c>
    </row>
    <row r="44" spans="1:30" s="24" customFormat="1" ht="14.25" hidden="1" customHeight="1">
      <c r="A44" s="1150"/>
      <c r="B44" s="119"/>
      <c r="C44" s="120"/>
      <c r="D44" s="120"/>
      <c r="E44" s="124" t="s">
        <v>519</v>
      </c>
      <c r="F44" s="126">
        <f>F43</f>
        <v>2692000</v>
      </c>
      <c r="G44" s="126"/>
      <c r="H44" s="126"/>
      <c r="I44" s="126"/>
      <c r="J44" s="126"/>
      <c r="K44" s="126"/>
      <c r="L44" s="126"/>
      <c r="M44" s="126"/>
      <c r="N44" s="126"/>
      <c r="O44" s="126">
        <f>O39</f>
        <v>40000</v>
      </c>
      <c r="P44" s="126"/>
      <c r="Q44" s="126">
        <f t="shared" si="37"/>
        <v>21110</v>
      </c>
      <c r="R44" s="126">
        <f>Q44*20*2</f>
        <v>844400</v>
      </c>
      <c r="S44" s="126">
        <f t="shared" si="40"/>
        <v>105550</v>
      </c>
      <c r="T44" s="127">
        <f>T43</f>
        <v>250000</v>
      </c>
      <c r="U44" s="122">
        <f t="shared" si="16"/>
        <v>3826400</v>
      </c>
      <c r="V44" s="333"/>
      <c r="W44" s="338">
        <f t="shared" si="38"/>
        <v>318870</v>
      </c>
      <c r="X44" s="128">
        <f t="shared" si="31"/>
        <v>172190</v>
      </c>
      <c r="Y44" s="128">
        <f t="shared" si="32"/>
        <v>116140</v>
      </c>
      <c r="Z44" s="128">
        <f t="shared" si="33"/>
        <v>7610</v>
      </c>
      <c r="AA44" s="128">
        <f t="shared" si="34"/>
        <v>34440</v>
      </c>
      <c r="AB44" s="128">
        <f t="shared" si="35"/>
        <v>30610</v>
      </c>
      <c r="AC44" s="129">
        <f t="shared" si="36"/>
        <v>679860</v>
      </c>
      <c r="AD44" s="619">
        <f t="shared" si="4"/>
        <v>3146540</v>
      </c>
    </row>
    <row r="45" spans="1:30" s="25" customFormat="1" ht="16.5" customHeight="1">
      <c r="A45" s="1150">
        <v>4</v>
      </c>
      <c r="B45" s="119" t="s">
        <v>521</v>
      </c>
      <c r="C45" s="120" t="s">
        <v>732</v>
      </c>
      <c r="D45" s="120">
        <v>1</v>
      </c>
      <c r="E45" s="121" t="s">
        <v>511</v>
      </c>
      <c r="F45" s="122">
        <f t="shared" ref="F45:U45" si="41">SUM(F46:F57)</f>
        <v>37191000</v>
      </c>
      <c r="G45" s="122">
        <f t="shared" si="41"/>
        <v>0</v>
      </c>
      <c r="H45" s="122">
        <f t="shared" si="41"/>
        <v>0</v>
      </c>
      <c r="I45" s="122">
        <f t="shared" si="41"/>
        <v>0</v>
      </c>
      <c r="J45" s="122">
        <f t="shared" si="41"/>
        <v>0</v>
      </c>
      <c r="K45" s="122">
        <f t="shared" si="41"/>
        <v>0</v>
      </c>
      <c r="L45" s="122">
        <f t="shared" si="41"/>
        <v>0</v>
      </c>
      <c r="M45" s="122">
        <f t="shared" si="41"/>
        <v>3703800</v>
      </c>
      <c r="N45" s="122">
        <f t="shared" si="41"/>
        <v>0</v>
      </c>
      <c r="O45" s="122">
        <f t="shared" si="41"/>
        <v>720000</v>
      </c>
      <c r="P45" s="122"/>
      <c r="Q45" s="122"/>
      <c r="R45" s="122">
        <f>SUM(R46:R57)</f>
        <v>5769000</v>
      </c>
      <c r="S45" s="122">
        <f t="shared" si="41"/>
        <v>1321600</v>
      </c>
      <c r="T45" s="122">
        <f t="shared" si="41"/>
        <v>3000000</v>
      </c>
      <c r="U45" s="122">
        <f t="shared" si="41"/>
        <v>50383800</v>
      </c>
      <c r="V45" s="333"/>
      <c r="W45" s="350">
        <f t="shared" ref="W45:AB45" si="42">SUM(W46:W57)</f>
        <v>4219540</v>
      </c>
      <c r="X45" s="122">
        <f t="shared" si="42"/>
        <v>2267290</v>
      </c>
      <c r="Y45" s="122">
        <f t="shared" si="42"/>
        <v>1529220</v>
      </c>
      <c r="Z45" s="122">
        <f t="shared" si="42"/>
        <v>100240</v>
      </c>
      <c r="AA45" s="122">
        <f t="shared" si="42"/>
        <v>453450</v>
      </c>
      <c r="AB45" s="122">
        <f t="shared" si="42"/>
        <v>403090</v>
      </c>
      <c r="AC45" s="123">
        <f>SUM(AC46:AC57)</f>
        <v>8972830</v>
      </c>
      <c r="AD45" s="618">
        <f t="shared" si="4"/>
        <v>41410970</v>
      </c>
    </row>
    <row r="46" spans="1:30" s="24" customFormat="1" ht="16.5" hidden="1" customHeight="1">
      <c r="A46" s="1150"/>
      <c r="B46" s="119" t="s">
        <v>522</v>
      </c>
      <c r="C46" s="120">
        <v>18</v>
      </c>
      <c r="D46" s="120"/>
      <c r="E46" s="124" t="s">
        <v>512</v>
      </c>
      <c r="F46" s="125">
        <v>3061000</v>
      </c>
      <c r="G46" s="126"/>
      <c r="H46" s="125"/>
      <c r="I46" s="127"/>
      <c r="J46" s="126"/>
      <c r="K46" s="126"/>
      <c r="L46" s="126"/>
      <c r="M46" s="126"/>
      <c r="N46" s="126"/>
      <c r="O46" s="126">
        <v>60000</v>
      </c>
      <c r="P46" s="126"/>
      <c r="Q46" s="126"/>
      <c r="R46" s="126"/>
      <c r="S46" s="126"/>
      <c r="T46" s="127">
        <v>250000</v>
      </c>
      <c r="U46" s="122">
        <f>SUM(F46,M46,O46,R46,T46)</f>
        <v>3371000</v>
      </c>
      <c r="V46" s="333"/>
      <c r="W46" s="338">
        <f>ROUNDUP(U46*1/12,-1)</f>
        <v>280920</v>
      </c>
      <c r="X46" s="128">
        <f t="shared" ref="X46:X57" si="43">ROUND(U46*4.5%,-1)</f>
        <v>151700</v>
      </c>
      <c r="Y46" s="128">
        <f t="shared" ref="Y46:Y57" si="44">ROUNDUP((U46-L46)*3.035%,-1)</f>
        <v>102310</v>
      </c>
      <c r="Z46" s="128">
        <f>ROUNDUP(Y46*6.55%,-1)</f>
        <v>6710</v>
      </c>
      <c r="AA46" s="128">
        <f t="shared" ref="AA46:AA57" si="45">ROUND(U46*0.9%,-1)</f>
        <v>30340</v>
      </c>
      <c r="AB46" s="128">
        <f t="shared" ref="AB46:AB57" si="46">ROUND(U46*0.8%,-1)</f>
        <v>26970</v>
      </c>
      <c r="AC46" s="129">
        <f t="shared" ref="AC46:AC57" si="47">SUM(W46:AB46)</f>
        <v>598950</v>
      </c>
      <c r="AD46" s="619">
        <f t="shared" si="4"/>
        <v>2772050</v>
      </c>
    </row>
    <row r="47" spans="1:30" s="24" customFormat="1" ht="16.5" hidden="1" customHeight="1">
      <c r="A47" s="1150"/>
      <c r="B47" s="119"/>
      <c r="C47" s="120"/>
      <c r="D47" s="120"/>
      <c r="E47" s="124" t="s">
        <v>514</v>
      </c>
      <c r="F47" s="126">
        <f>F46</f>
        <v>3061000</v>
      </c>
      <c r="G47" s="126"/>
      <c r="H47" s="126"/>
      <c r="I47" s="126"/>
      <c r="J47" s="126"/>
      <c r="K47" s="126"/>
      <c r="L47" s="126"/>
      <c r="M47" s="126">
        <f>F47*60%</f>
        <v>1836600</v>
      </c>
      <c r="N47" s="126"/>
      <c r="O47" s="126">
        <f>O46</f>
        <v>60000</v>
      </c>
      <c r="P47" s="126"/>
      <c r="Q47" s="126">
        <f t="shared" ref="Q47:Q83" si="48">ROUND((F46+T46)*1/209*1.5,-1)</f>
        <v>23760</v>
      </c>
      <c r="R47" s="126">
        <f>Q47*20</f>
        <v>475200</v>
      </c>
      <c r="S47" s="126">
        <f>Q47*5</f>
        <v>118800</v>
      </c>
      <c r="T47" s="127">
        <f>T46</f>
        <v>250000</v>
      </c>
      <c r="U47" s="122">
        <f t="shared" si="16"/>
        <v>5682800</v>
      </c>
      <c r="V47" s="333"/>
      <c r="W47" s="338">
        <f>ROUNDUP((T47+U47)*1/12,-1)</f>
        <v>494400</v>
      </c>
      <c r="X47" s="128">
        <f t="shared" si="43"/>
        <v>255730</v>
      </c>
      <c r="Y47" s="128">
        <f t="shared" si="44"/>
        <v>172480</v>
      </c>
      <c r="Z47" s="128">
        <f t="shared" si="33"/>
        <v>11300</v>
      </c>
      <c r="AA47" s="128">
        <f t="shared" si="45"/>
        <v>51150</v>
      </c>
      <c r="AB47" s="128">
        <f t="shared" si="46"/>
        <v>45460</v>
      </c>
      <c r="AC47" s="129">
        <f t="shared" si="47"/>
        <v>1030520</v>
      </c>
      <c r="AD47" s="619">
        <f t="shared" si="4"/>
        <v>4652280</v>
      </c>
    </row>
    <row r="48" spans="1:30" s="24" customFormat="1" ht="16.5" hidden="1" customHeight="1">
      <c r="A48" s="1150"/>
      <c r="B48" s="119"/>
      <c r="C48" s="120"/>
      <c r="D48" s="120"/>
      <c r="E48" s="124" t="s">
        <v>515</v>
      </c>
      <c r="F48" s="126">
        <f>F46</f>
        <v>3061000</v>
      </c>
      <c r="G48" s="126"/>
      <c r="H48" s="126"/>
      <c r="I48" s="126"/>
      <c r="J48" s="126"/>
      <c r="K48" s="126"/>
      <c r="L48" s="126"/>
      <c r="M48" s="126"/>
      <c r="N48" s="126"/>
      <c r="O48" s="126">
        <f>O46</f>
        <v>60000</v>
      </c>
      <c r="P48" s="126"/>
      <c r="Q48" s="126">
        <f t="shared" si="48"/>
        <v>23760</v>
      </c>
      <c r="R48" s="126">
        <f>Q48*20</f>
        <v>475200</v>
      </c>
      <c r="S48" s="126">
        <f t="shared" ref="S48:S57" si="49">Q48*5</f>
        <v>118800</v>
      </c>
      <c r="T48" s="127">
        <f>T47</f>
        <v>250000</v>
      </c>
      <c r="U48" s="122">
        <f t="shared" si="16"/>
        <v>3846200</v>
      </c>
      <c r="V48" s="333"/>
      <c r="W48" s="338">
        <f t="shared" ref="W48:W57" si="50">ROUNDUP(U48*1/12,-1)</f>
        <v>320520</v>
      </c>
      <c r="X48" s="128">
        <f t="shared" si="43"/>
        <v>173080</v>
      </c>
      <c r="Y48" s="128">
        <f t="shared" si="44"/>
        <v>116740</v>
      </c>
      <c r="Z48" s="128">
        <f t="shared" si="33"/>
        <v>7650</v>
      </c>
      <c r="AA48" s="128">
        <f t="shared" si="45"/>
        <v>34620</v>
      </c>
      <c r="AB48" s="128">
        <f t="shared" si="46"/>
        <v>30770</v>
      </c>
      <c r="AC48" s="129">
        <f t="shared" si="47"/>
        <v>683380</v>
      </c>
      <c r="AD48" s="619">
        <f t="shared" si="4"/>
        <v>3162820</v>
      </c>
    </row>
    <row r="49" spans="1:30" s="24" customFormat="1" ht="16.5" hidden="1" customHeight="1">
      <c r="A49" s="1150"/>
      <c r="B49" s="119"/>
      <c r="C49" s="120">
        <v>19</v>
      </c>
      <c r="D49" s="120"/>
      <c r="E49" s="124" t="s">
        <v>516</v>
      </c>
      <c r="F49" s="125">
        <v>3112000</v>
      </c>
      <c r="G49" s="126"/>
      <c r="H49" s="126"/>
      <c r="I49" s="125"/>
      <c r="J49" s="126"/>
      <c r="K49" s="126"/>
      <c r="L49" s="126"/>
      <c r="M49" s="126"/>
      <c r="N49" s="126"/>
      <c r="O49" s="126">
        <f>O46</f>
        <v>60000</v>
      </c>
      <c r="P49" s="126"/>
      <c r="Q49" s="126">
        <f t="shared" si="48"/>
        <v>23760</v>
      </c>
      <c r="R49" s="126">
        <f t="shared" ref="R49:R56" si="51">Q49*20</f>
        <v>475200</v>
      </c>
      <c r="S49" s="126">
        <f t="shared" si="49"/>
        <v>118800</v>
      </c>
      <c r="T49" s="127">
        <f>T48</f>
        <v>250000</v>
      </c>
      <c r="U49" s="122">
        <f t="shared" si="16"/>
        <v>3897200</v>
      </c>
      <c r="V49" s="333"/>
      <c r="W49" s="338">
        <f t="shared" si="50"/>
        <v>324770</v>
      </c>
      <c r="X49" s="128">
        <f t="shared" si="43"/>
        <v>175370</v>
      </c>
      <c r="Y49" s="128">
        <f t="shared" si="44"/>
        <v>118290</v>
      </c>
      <c r="Z49" s="128">
        <f t="shared" si="33"/>
        <v>7750</v>
      </c>
      <c r="AA49" s="128">
        <f t="shared" si="45"/>
        <v>35070</v>
      </c>
      <c r="AB49" s="128">
        <f t="shared" si="46"/>
        <v>31180</v>
      </c>
      <c r="AC49" s="129">
        <f t="shared" si="47"/>
        <v>692430</v>
      </c>
      <c r="AD49" s="619">
        <f t="shared" si="4"/>
        <v>3204770</v>
      </c>
    </row>
    <row r="50" spans="1:30" s="24" customFormat="1" ht="16.5" hidden="1" customHeight="1">
      <c r="A50" s="1150"/>
      <c r="B50" s="119"/>
      <c r="C50" s="120"/>
      <c r="D50" s="120"/>
      <c r="E50" s="124" t="s">
        <v>517</v>
      </c>
      <c r="F50" s="126">
        <f>F49</f>
        <v>3112000</v>
      </c>
      <c r="G50" s="126"/>
      <c r="H50" s="126"/>
      <c r="I50" s="126"/>
      <c r="J50" s="126"/>
      <c r="K50" s="126"/>
      <c r="L50" s="126"/>
      <c r="M50" s="126"/>
      <c r="N50" s="126"/>
      <c r="O50" s="126">
        <f>O46</f>
        <v>60000</v>
      </c>
      <c r="P50" s="126"/>
      <c r="Q50" s="126">
        <f t="shared" si="48"/>
        <v>24130</v>
      </c>
      <c r="R50" s="126">
        <f t="shared" si="51"/>
        <v>482600</v>
      </c>
      <c r="S50" s="126">
        <f t="shared" si="49"/>
        <v>120650</v>
      </c>
      <c r="T50" s="127">
        <f>T49</f>
        <v>250000</v>
      </c>
      <c r="U50" s="122">
        <f t="shared" si="16"/>
        <v>3904600</v>
      </c>
      <c r="V50" s="333"/>
      <c r="W50" s="338">
        <f t="shared" si="50"/>
        <v>325390</v>
      </c>
      <c r="X50" s="128">
        <f t="shared" si="43"/>
        <v>175710</v>
      </c>
      <c r="Y50" s="128">
        <f t="shared" si="44"/>
        <v>118510</v>
      </c>
      <c r="Z50" s="128">
        <f t="shared" si="33"/>
        <v>7770</v>
      </c>
      <c r="AA50" s="128">
        <f t="shared" si="45"/>
        <v>35140</v>
      </c>
      <c r="AB50" s="128">
        <f t="shared" si="46"/>
        <v>31240</v>
      </c>
      <c r="AC50" s="129">
        <f t="shared" si="47"/>
        <v>693760</v>
      </c>
      <c r="AD50" s="619">
        <f t="shared" si="4"/>
        <v>3210840</v>
      </c>
    </row>
    <row r="51" spans="1:30" s="24" customFormat="1" ht="16.5" hidden="1" customHeight="1">
      <c r="A51" s="1150"/>
      <c r="B51" s="119"/>
      <c r="C51" s="120"/>
      <c r="D51" s="120"/>
      <c r="E51" s="124" t="s">
        <v>518</v>
      </c>
      <c r="F51" s="126">
        <f>F50</f>
        <v>3112000</v>
      </c>
      <c r="G51" s="126"/>
      <c r="H51" s="126"/>
      <c r="I51" s="126"/>
      <c r="J51" s="126"/>
      <c r="K51" s="126"/>
      <c r="L51" s="126"/>
      <c r="M51" s="126"/>
      <c r="N51" s="126"/>
      <c r="O51" s="126">
        <f>O46</f>
        <v>60000</v>
      </c>
      <c r="P51" s="126"/>
      <c r="Q51" s="126">
        <f t="shared" si="48"/>
        <v>24130</v>
      </c>
      <c r="R51" s="126">
        <f t="shared" si="51"/>
        <v>482600</v>
      </c>
      <c r="S51" s="126">
        <f t="shared" si="49"/>
        <v>120650</v>
      </c>
      <c r="T51" s="127">
        <f>T50</f>
        <v>250000</v>
      </c>
      <c r="U51" s="122">
        <f t="shared" si="16"/>
        <v>3904600</v>
      </c>
      <c r="V51" s="333"/>
      <c r="W51" s="338">
        <f t="shared" si="50"/>
        <v>325390</v>
      </c>
      <c r="X51" s="128">
        <f t="shared" si="43"/>
        <v>175710</v>
      </c>
      <c r="Y51" s="128">
        <f t="shared" si="44"/>
        <v>118510</v>
      </c>
      <c r="Z51" s="128">
        <f t="shared" si="33"/>
        <v>7770</v>
      </c>
      <c r="AA51" s="128">
        <f t="shared" si="45"/>
        <v>35140</v>
      </c>
      <c r="AB51" s="128">
        <f t="shared" si="46"/>
        <v>31240</v>
      </c>
      <c r="AC51" s="129">
        <f t="shared" si="47"/>
        <v>693760</v>
      </c>
      <c r="AD51" s="619">
        <f t="shared" si="4"/>
        <v>3210840</v>
      </c>
    </row>
    <row r="52" spans="1:30" s="24" customFormat="1" ht="16.5" hidden="1" customHeight="1">
      <c r="A52" s="1150"/>
      <c r="B52" s="119"/>
      <c r="C52" s="120"/>
      <c r="D52" s="120"/>
      <c r="E52" s="124" t="s">
        <v>330</v>
      </c>
      <c r="F52" s="128">
        <f>F51</f>
        <v>3112000</v>
      </c>
      <c r="G52" s="126"/>
      <c r="H52" s="125"/>
      <c r="I52" s="127"/>
      <c r="J52" s="126"/>
      <c r="K52" s="126"/>
      <c r="L52" s="126"/>
      <c r="M52" s="126"/>
      <c r="N52" s="126"/>
      <c r="O52" s="126">
        <f>O51</f>
        <v>60000</v>
      </c>
      <c r="P52" s="126"/>
      <c r="Q52" s="126">
        <f t="shared" si="48"/>
        <v>24130</v>
      </c>
      <c r="R52" s="126">
        <f t="shared" si="51"/>
        <v>482600</v>
      </c>
      <c r="S52" s="126">
        <f t="shared" si="49"/>
        <v>120650</v>
      </c>
      <c r="T52" s="127">
        <v>250000</v>
      </c>
      <c r="U52" s="122">
        <f t="shared" si="16"/>
        <v>3904600</v>
      </c>
      <c r="V52" s="333"/>
      <c r="W52" s="338">
        <f t="shared" si="50"/>
        <v>325390</v>
      </c>
      <c r="X52" s="128">
        <f t="shared" si="43"/>
        <v>175710</v>
      </c>
      <c r="Y52" s="128">
        <f t="shared" si="44"/>
        <v>118510</v>
      </c>
      <c r="Z52" s="128">
        <f t="shared" si="33"/>
        <v>7770</v>
      </c>
      <c r="AA52" s="128">
        <f t="shared" si="45"/>
        <v>35140</v>
      </c>
      <c r="AB52" s="128">
        <f t="shared" si="46"/>
        <v>31240</v>
      </c>
      <c r="AC52" s="129">
        <f t="shared" si="47"/>
        <v>693760</v>
      </c>
      <c r="AD52" s="619">
        <f t="shared" si="4"/>
        <v>3210840</v>
      </c>
    </row>
    <row r="53" spans="1:30" s="24" customFormat="1" ht="16.5" hidden="1" customHeight="1">
      <c r="A53" s="1150"/>
      <c r="B53" s="119"/>
      <c r="C53" s="120"/>
      <c r="D53" s="120"/>
      <c r="E53" s="124" t="s">
        <v>331</v>
      </c>
      <c r="F53" s="126">
        <f>F52</f>
        <v>3112000</v>
      </c>
      <c r="G53" s="126"/>
      <c r="H53" s="126"/>
      <c r="I53" s="126"/>
      <c r="J53" s="126"/>
      <c r="K53" s="126"/>
      <c r="L53" s="126"/>
      <c r="M53" s="126"/>
      <c r="N53" s="126"/>
      <c r="O53" s="126">
        <f>O52</f>
        <v>60000</v>
      </c>
      <c r="P53" s="126"/>
      <c r="Q53" s="126">
        <f t="shared" si="48"/>
        <v>24130</v>
      </c>
      <c r="R53" s="126">
        <f t="shared" si="51"/>
        <v>482600</v>
      </c>
      <c r="S53" s="126">
        <f t="shared" si="49"/>
        <v>120650</v>
      </c>
      <c r="T53" s="127">
        <f>T52</f>
        <v>250000</v>
      </c>
      <c r="U53" s="122">
        <f t="shared" si="16"/>
        <v>3904600</v>
      </c>
      <c r="V53" s="333"/>
      <c r="W53" s="338">
        <f t="shared" si="50"/>
        <v>325390</v>
      </c>
      <c r="X53" s="128">
        <f t="shared" si="43"/>
        <v>175710</v>
      </c>
      <c r="Y53" s="128">
        <f t="shared" si="44"/>
        <v>118510</v>
      </c>
      <c r="Z53" s="128">
        <f t="shared" si="33"/>
        <v>7770</v>
      </c>
      <c r="AA53" s="128">
        <f t="shared" si="45"/>
        <v>35140</v>
      </c>
      <c r="AB53" s="128">
        <f t="shared" si="46"/>
        <v>31240</v>
      </c>
      <c r="AC53" s="129">
        <f t="shared" si="47"/>
        <v>693760</v>
      </c>
      <c r="AD53" s="619">
        <f t="shared" si="4"/>
        <v>3210840</v>
      </c>
    </row>
    <row r="54" spans="1:30" s="24" customFormat="1" ht="16.5" hidden="1" customHeight="1">
      <c r="A54" s="1150"/>
      <c r="B54" s="119"/>
      <c r="C54" s="120"/>
      <c r="D54" s="120"/>
      <c r="E54" s="124" t="s">
        <v>62</v>
      </c>
      <c r="F54" s="126">
        <f>F52</f>
        <v>3112000</v>
      </c>
      <c r="G54" s="126"/>
      <c r="H54" s="126"/>
      <c r="I54" s="126"/>
      <c r="J54" s="126"/>
      <c r="K54" s="126"/>
      <c r="L54" s="126"/>
      <c r="M54" s="126">
        <f>F54*60%</f>
        <v>1867200</v>
      </c>
      <c r="N54" s="126"/>
      <c r="O54" s="126">
        <f>O52</f>
        <v>60000</v>
      </c>
      <c r="P54" s="126"/>
      <c r="Q54" s="126">
        <f t="shared" si="48"/>
        <v>24130</v>
      </c>
      <c r="R54" s="126">
        <f t="shared" si="51"/>
        <v>482600</v>
      </c>
      <c r="S54" s="126">
        <f t="shared" si="49"/>
        <v>120650</v>
      </c>
      <c r="T54" s="127">
        <f>T53</f>
        <v>250000</v>
      </c>
      <c r="U54" s="122">
        <f t="shared" si="16"/>
        <v>5771800</v>
      </c>
      <c r="V54" s="333"/>
      <c r="W54" s="338">
        <f t="shared" si="50"/>
        <v>480990</v>
      </c>
      <c r="X54" s="128">
        <f t="shared" si="43"/>
        <v>259730</v>
      </c>
      <c r="Y54" s="128">
        <f t="shared" si="44"/>
        <v>175180</v>
      </c>
      <c r="Z54" s="128">
        <f t="shared" si="33"/>
        <v>11480</v>
      </c>
      <c r="AA54" s="128">
        <f t="shared" si="45"/>
        <v>51950</v>
      </c>
      <c r="AB54" s="128">
        <f t="shared" si="46"/>
        <v>46170</v>
      </c>
      <c r="AC54" s="129">
        <f t="shared" si="47"/>
        <v>1025500</v>
      </c>
      <c r="AD54" s="619">
        <f t="shared" si="4"/>
        <v>4746300</v>
      </c>
    </row>
    <row r="55" spans="1:30" s="24" customFormat="1" ht="16.5" hidden="1" customHeight="1">
      <c r="A55" s="1150"/>
      <c r="B55" s="119"/>
      <c r="C55" s="120"/>
      <c r="D55" s="120"/>
      <c r="E55" s="124" t="s">
        <v>63</v>
      </c>
      <c r="F55" s="126">
        <f>F52</f>
        <v>3112000</v>
      </c>
      <c r="G55" s="126"/>
      <c r="H55" s="126"/>
      <c r="I55" s="126"/>
      <c r="J55" s="126"/>
      <c r="K55" s="126"/>
      <c r="L55" s="126"/>
      <c r="M55" s="126"/>
      <c r="N55" s="126"/>
      <c r="O55" s="126">
        <f>O52</f>
        <v>60000</v>
      </c>
      <c r="P55" s="126"/>
      <c r="Q55" s="126">
        <f t="shared" si="48"/>
        <v>24130</v>
      </c>
      <c r="R55" s="126">
        <f t="shared" si="51"/>
        <v>482600</v>
      </c>
      <c r="S55" s="126">
        <f t="shared" si="49"/>
        <v>120650</v>
      </c>
      <c r="T55" s="127">
        <f>T54</f>
        <v>250000</v>
      </c>
      <c r="U55" s="122">
        <f t="shared" si="16"/>
        <v>3904600</v>
      </c>
      <c r="V55" s="333"/>
      <c r="W55" s="338">
        <f t="shared" si="50"/>
        <v>325390</v>
      </c>
      <c r="X55" s="128">
        <f t="shared" si="43"/>
        <v>175710</v>
      </c>
      <c r="Y55" s="128">
        <f t="shared" si="44"/>
        <v>118510</v>
      </c>
      <c r="Z55" s="128">
        <f t="shared" si="33"/>
        <v>7770</v>
      </c>
      <c r="AA55" s="128">
        <f t="shared" si="45"/>
        <v>35140</v>
      </c>
      <c r="AB55" s="128">
        <f t="shared" si="46"/>
        <v>31240</v>
      </c>
      <c r="AC55" s="129">
        <f t="shared" si="47"/>
        <v>693760</v>
      </c>
      <c r="AD55" s="619">
        <f t="shared" si="4"/>
        <v>3210840</v>
      </c>
    </row>
    <row r="56" spans="1:30" s="24" customFormat="1" ht="16.5" hidden="1" customHeight="1">
      <c r="A56" s="1150"/>
      <c r="B56" s="119"/>
      <c r="C56" s="120"/>
      <c r="D56" s="120"/>
      <c r="E56" s="124" t="s">
        <v>64</v>
      </c>
      <c r="F56" s="126">
        <f>F52</f>
        <v>3112000</v>
      </c>
      <c r="G56" s="126"/>
      <c r="H56" s="126"/>
      <c r="I56" s="126"/>
      <c r="J56" s="126"/>
      <c r="K56" s="126"/>
      <c r="L56" s="126"/>
      <c r="M56" s="126"/>
      <c r="N56" s="126"/>
      <c r="O56" s="126">
        <f>O52</f>
        <v>60000</v>
      </c>
      <c r="P56" s="126"/>
      <c r="Q56" s="126">
        <f t="shared" si="48"/>
        <v>24130</v>
      </c>
      <c r="R56" s="126">
        <f t="shared" si="51"/>
        <v>482600</v>
      </c>
      <c r="S56" s="126">
        <f t="shared" si="49"/>
        <v>120650</v>
      </c>
      <c r="T56" s="127">
        <f>T55</f>
        <v>250000</v>
      </c>
      <c r="U56" s="122">
        <f t="shared" si="16"/>
        <v>3904600</v>
      </c>
      <c r="V56" s="333"/>
      <c r="W56" s="338">
        <f t="shared" si="50"/>
        <v>325390</v>
      </c>
      <c r="X56" s="128">
        <f t="shared" si="43"/>
        <v>175710</v>
      </c>
      <c r="Y56" s="128">
        <f t="shared" si="44"/>
        <v>118510</v>
      </c>
      <c r="Z56" s="128">
        <f t="shared" si="33"/>
        <v>7770</v>
      </c>
      <c r="AA56" s="128">
        <f t="shared" si="45"/>
        <v>35140</v>
      </c>
      <c r="AB56" s="128">
        <f t="shared" si="46"/>
        <v>31240</v>
      </c>
      <c r="AC56" s="129">
        <f t="shared" si="47"/>
        <v>693760</v>
      </c>
      <c r="AD56" s="619">
        <f t="shared" si="4"/>
        <v>3210840</v>
      </c>
    </row>
    <row r="57" spans="1:30" s="24" customFormat="1" ht="16.5" hidden="1" customHeight="1">
      <c r="A57" s="1150"/>
      <c r="B57" s="119"/>
      <c r="C57" s="120"/>
      <c r="D57" s="120"/>
      <c r="E57" s="124" t="s">
        <v>519</v>
      </c>
      <c r="F57" s="126">
        <f>F52</f>
        <v>3112000</v>
      </c>
      <c r="G57" s="126"/>
      <c r="H57" s="126"/>
      <c r="I57" s="126"/>
      <c r="J57" s="126"/>
      <c r="K57" s="126"/>
      <c r="L57" s="126"/>
      <c r="M57" s="126"/>
      <c r="N57" s="126"/>
      <c r="O57" s="126">
        <f>O52</f>
        <v>60000</v>
      </c>
      <c r="P57" s="126"/>
      <c r="Q57" s="126">
        <f t="shared" si="48"/>
        <v>24130</v>
      </c>
      <c r="R57" s="126">
        <f>Q57*20*2</f>
        <v>965200</v>
      </c>
      <c r="S57" s="126">
        <f t="shared" si="49"/>
        <v>120650</v>
      </c>
      <c r="T57" s="127">
        <f>T56</f>
        <v>250000</v>
      </c>
      <c r="U57" s="122">
        <f t="shared" si="16"/>
        <v>4387200</v>
      </c>
      <c r="V57" s="333"/>
      <c r="W57" s="338">
        <f t="shared" si="50"/>
        <v>365600</v>
      </c>
      <c r="X57" s="128">
        <f t="shared" si="43"/>
        <v>197420</v>
      </c>
      <c r="Y57" s="128">
        <f t="shared" si="44"/>
        <v>133160</v>
      </c>
      <c r="Z57" s="128">
        <f t="shared" si="33"/>
        <v>8730</v>
      </c>
      <c r="AA57" s="128">
        <f t="shared" si="45"/>
        <v>39480</v>
      </c>
      <c r="AB57" s="128">
        <f t="shared" si="46"/>
        <v>35100</v>
      </c>
      <c r="AC57" s="129">
        <f t="shared" si="47"/>
        <v>779490</v>
      </c>
      <c r="AD57" s="619">
        <f t="shared" si="4"/>
        <v>3607710</v>
      </c>
    </row>
    <row r="58" spans="1:30" s="24" customFormat="1" ht="16.5" customHeight="1">
      <c r="A58" s="1150">
        <v>5</v>
      </c>
      <c r="B58" s="119" t="s">
        <v>523</v>
      </c>
      <c r="C58" s="120">
        <v>18</v>
      </c>
      <c r="D58" s="120">
        <v>1</v>
      </c>
      <c r="E58" s="121" t="s">
        <v>511</v>
      </c>
      <c r="F58" s="122">
        <f t="shared" ref="F58:U58" si="52">SUM(F59:F70)</f>
        <v>36732000</v>
      </c>
      <c r="G58" s="122">
        <f t="shared" si="52"/>
        <v>0</v>
      </c>
      <c r="H58" s="122">
        <f t="shared" si="52"/>
        <v>0</v>
      </c>
      <c r="I58" s="122">
        <f t="shared" si="52"/>
        <v>0</v>
      </c>
      <c r="J58" s="122">
        <f t="shared" si="52"/>
        <v>0</v>
      </c>
      <c r="K58" s="122">
        <f t="shared" si="52"/>
        <v>0</v>
      </c>
      <c r="L58" s="122">
        <f t="shared" si="52"/>
        <v>0</v>
      </c>
      <c r="M58" s="122">
        <f t="shared" si="52"/>
        <v>3673200</v>
      </c>
      <c r="N58" s="122">
        <f t="shared" si="52"/>
        <v>0</v>
      </c>
      <c r="O58" s="122">
        <f t="shared" si="52"/>
        <v>720000</v>
      </c>
      <c r="P58" s="122"/>
      <c r="Q58" s="122"/>
      <c r="R58" s="122">
        <f>SUM(R59:R70)</f>
        <v>5702400</v>
      </c>
      <c r="S58" s="122">
        <f t="shared" si="52"/>
        <v>1306800</v>
      </c>
      <c r="T58" s="122">
        <f t="shared" si="52"/>
        <v>3000000</v>
      </c>
      <c r="U58" s="122">
        <f t="shared" si="52"/>
        <v>49827600</v>
      </c>
      <c r="V58" s="333"/>
      <c r="W58" s="350">
        <f t="shared" ref="W58:AB58" si="53">SUM(W59:W70)</f>
        <v>4173170</v>
      </c>
      <c r="X58" s="122">
        <f t="shared" si="53"/>
        <v>2242260</v>
      </c>
      <c r="Y58" s="122">
        <f t="shared" si="53"/>
        <v>1512350</v>
      </c>
      <c r="Z58" s="122">
        <f t="shared" si="53"/>
        <v>99110</v>
      </c>
      <c r="AA58" s="122">
        <f t="shared" si="53"/>
        <v>448490</v>
      </c>
      <c r="AB58" s="122">
        <f t="shared" si="53"/>
        <v>398620</v>
      </c>
      <c r="AC58" s="123">
        <f>SUM(AC59:AC70)</f>
        <v>8874000</v>
      </c>
      <c r="AD58" s="618">
        <f t="shared" si="4"/>
        <v>40953600</v>
      </c>
    </row>
    <row r="59" spans="1:30" s="24" customFormat="1" ht="16.5" hidden="1" customHeight="1">
      <c r="A59" s="1150"/>
      <c r="B59" s="119" t="s">
        <v>524</v>
      </c>
      <c r="C59" s="120">
        <v>18</v>
      </c>
      <c r="D59" s="120"/>
      <c r="E59" s="124" t="s">
        <v>512</v>
      </c>
      <c r="F59" s="125">
        <v>3061000</v>
      </c>
      <c r="G59" s="126"/>
      <c r="H59" s="125"/>
      <c r="I59" s="127"/>
      <c r="J59" s="126"/>
      <c r="K59" s="126"/>
      <c r="L59" s="126"/>
      <c r="M59" s="126"/>
      <c r="N59" s="126"/>
      <c r="O59" s="126">
        <v>60000</v>
      </c>
      <c r="P59" s="126"/>
      <c r="Q59" s="126"/>
      <c r="R59" s="126"/>
      <c r="S59" s="126"/>
      <c r="T59" s="127">
        <v>250000</v>
      </c>
      <c r="U59" s="122">
        <f>SUM(F59,M59,O59,R59,T59)</f>
        <v>3371000</v>
      </c>
      <c r="V59" s="333"/>
      <c r="W59" s="338">
        <f>ROUNDUP(U59*1/12,-1)</f>
        <v>280920</v>
      </c>
      <c r="X59" s="128">
        <f t="shared" ref="X59:X70" si="54">ROUND(U59*4.5%,-1)</f>
        <v>151700</v>
      </c>
      <c r="Y59" s="128">
        <f t="shared" ref="Y59:Y70" si="55">ROUNDUP((U59-L59)*3.035%,-1)</f>
        <v>102310</v>
      </c>
      <c r="Z59" s="128">
        <f>ROUNDUP(Y59*6.55%,-1)</f>
        <v>6710</v>
      </c>
      <c r="AA59" s="128">
        <f t="shared" ref="AA59:AA70" si="56">ROUND(U59*0.9%,-1)</f>
        <v>30340</v>
      </c>
      <c r="AB59" s="128">
        <f t="shared" ref="AB59:AB70" si="57">ROUND(U59*0.8%,-1)</f>
        <v>26970</v>
      </c>
      <c r="AC59" s="129">
        <f t="shared" ref="AC59:AC70" si="58">SUM(W59:AB59)</f>
        <v>598950</v>
      </c>
      <c r="AD59" s="619">
        <f t="shared" si="4"/>
        <v>2772050</v>
      </c>
    </row>
    <row r="60" spans="1:30" s="24" customFormat="1" ht="16.5" hidden="1" customHeight="1">
      <c r="A60" s="1150"/>
      <c r="B60" s="119"/>
      <c r="C60" s="120"/>
      <c r="D60" s="120"/>
      <c r="E60" s="124" t="s">
        <v>514</v>
      </c>
      <c r="F60" s="126">
        <f>F59</f>
        <v>3061000</v>
      </c>
      <c r="G60" s="126"/>
      <c r="H60" s="126"/>
      <c r="I60" s="126"/>
      <c r="J60" s="126"/>
      <c r="K60" s="126"/>
      <c r="L60" s="126"/>
      <c r="M60" s="126">
        <f>F60*60%</f>
        <v>1836600</v>
      </c>
      <c r="N60" s="126"/>
      <c r="O60" s="126">
        <f>O59</f>
        <v>60000</v>
      </c>
      <c r="P60" s="126"/>
      <c r="Q60" s="126">
        <f>ROUND((F59+T59)*1/209*1.5,-1)</f>
        <v>23760</v>
      </c>
      <c r="R60" s="126">
        <f>Q60*20</f>
        <v>475200</v>
      </c>
      <c r="S60" s="126">
        <f>Q60*5</f>
        <v>118800</v>
      </c>
      <c r="T60" s="127">
        <v>250000</v>
      </c>
      <c r="U60" s="122">
        <f t="shared" si="16"/>
        <v>5682800</v>
      </c>
      <c r="V60" s="333"/>
      <c r="W60" s="338">
        <f>ROUNDUP((T60+U60)*1/12,-1)</f>
        <v>494400</v>
      </c>
      <c r="X60" s="128">
        <f t="shared" si="54"/>
        <v>255730</v>
      </c>
      <c r="Y60" s="128">
        <f t="shared" si="55"/>
        <v>172480</v>
      </c>
      <c r="Z60" s="128">
        <f t="shared" si="33"/>
        <v>11300</v>
      </c>
      <c r="AA60" s="128">
        <f t="shared" si="56"/>
        <v>51150</v>
      </c>
      <c r="AB60" s="128">
        <f t="shared" si="57"/>
        <v>45460</v>
      </c>
      <c r="AC60" s="129">
        <f t="shared" si="58"/>
        <v>1030520</v>
      </c>
      <c r="AD60" s="619">
        <f t="shared" si="4"/>
        <v>4652280</v>
      </c>
    </row>
    <row r="61" spans="1:30" s="24" customFormat="1" ht="16.5" hidden="1" customHeight="1">
      <c r="A61" s="1150"/>
      <c r="B61" s="119"/>
      <c r="C61" s="120"/>
      <c r="D61" s="120"/>
      <c r="E61" s="124" t="s">
        <v>515</v>
      </c>
      <c r="F61" s="126">
        <f>F60</f>
        <v>3061000</v>
      </c>
      <c r="G61" s="126"/>
      <c r="H61" s="126"/>
      <c r="I61" s="126"/>
      <c r="J61" s="126"/>
      <c r="K61" s="126"/>
      <c r="L61" s="126"/>
      <c r="M61" s="126"/>
      <c r="N61" s="126"/>
      <c r="O61" s="126">
        <f t="shared" ref="O61:O70" si="59">O60</f>
        <v>60000</v>
      </c>
      <c r="P61" s="126"/>
      <c r="Q61" s="126">
        <f t="shared" si="48"/>
        <v>23760</v>
      </c>
      <c r="R61" s="126">
        <f>Q61*20</f>
        <v>475200</v>
      </c>
      <c r="S61" s="126">
        <f t="shared" ref="S61:S70" si="60">Q61*5</f>
        <v>118800</v>
      </c>
      <c r="T61" s="127">
        <v>250000</v>
      </c>
      <c r="U61" s="122">
        <f t="shared" si="16"/>
        <v>3846200</v>
      </c>
      <c r="V61" s="333"/>
      <c r="W61" s="338">
        <f t="shared" ref="W61:W70" si="61">ROUNDUP(U61*1/12,-1)</f>
        <v>320520</v>
      </c>
      <c r="X61" s="128">
        <f t="shared" si="54"/>
        <v>173080</v>
      </c>
      <c r="Y61" s="128">
        <f t="shared" si="55"/>
        <v>116740</v>
      </c>
      <c r="Z61" s="128">
        <f t="shared" si="33"/>
        <v>7650</v>
      </c>
      <c r="AA61" s="128">
        <f t="shared" si="56"/>
        <v>34620</v>
      </c>
      <c r="AB61" s="128">
        <f t="shared" si="57"/>
        <v>30770</v>
      </c>
      <c r="AC61" s="129">
        <f t="shared" si="58"/>
        <v>683380</v>
      </c>
      <c r="AD61" s="619">
        <f t="shared" si="4"/>
        <v>3162820</v>
      </c>
    </row>
    <row r="62" spans="1:30" s="24" customFormat="1" ht="16.5" hidden="1" customHeight="1">
      <c r="A62" s="1150"/>
      <c r="B62" s="119"/>
      <c r="C62" s="120"/>
      <c r="D62" s="120"/>
      <c r="E62" s="124" t="s">
        <v>516</v>
      </c>
      <c r="F62" s="126">
        <f>F61</f>
        <v>3061000</v>
      </c>
      <c r="G62" s="126"/>
      <c r="H62" s="126"/>
      <c r="I62" s="126"/>
      <c r="J62" s="126"/>
      <c r="K62" s="126"/>
      <c r="L62" s="126"/>
      <c r="M62" s="126"/>
      <c r="N62" s="126"/>
      <c r="O62" s="126">
        <f t="shared" si="59"/>
        <v>60000</v>
      </c>
      <c r="P62" s="126"/>
      <c r="Q62" s="126">
        <f t="shared" si="48"/>
        <v>23760</v>
      </c>
      <c r="R62" s="126">
        <f t="shared" ref="R62:R69" si="62">Q62*20</f>
        <v>475200</v>
      </c>
      <c r="S62" s="126">
        <f t="shared" si="60"/>
        <v>118800</v>
      </c>
      <c r="T62" s="127">
        <f>T61</f>
        <v>250000</v>
      </c>
      <c r="U62" s="122">
        <f t="shared" si="16"/>
        <v>3846200</v>
      </c>
      <c r="V62" s="333"/>
      <c r="W62" s="338">
        <f t="shared" si="61"/>
        <v>320520</v>
      </c>
      <c r="X62" s="128">
        <f t="shared" si="54"/>
        <v>173080</v>
      </c>
      <c r="Y62" s="128">
        <f t="shared" si="55"/>
        <v>116740</v>
      </c>
      <c r="Z62" s="128">
        <f t="shared" si="33"/>
        <v>7650</v>
      </c>
      <c r="AA62" s="128">
        <f t="shared" si="56"/>
        <v>34620</v>
      </c>
      <c r="AB62" s="128">
        <f t="shared" si="57"/>
        <v>30770</v>
      </c>
      <c r="AC62" s="129">
        <f t="shared" si="58"/>
        <v>683380</v>
      </c>
      <c r="AD62" s="619">
        <f t="shared" si="4"/>
        <v>3162820</v>
      </c>
    </row>
    <row r="63" spans="1:30" s="24" customFormat="1" ht="16.5" hidden="1" customHeight="1">
      <c r="A63" s="1150"/>
      <c r="B63" s="119"/>
      <c r="C63" s="120"/>
      <c r="D63" s="120"/>
      <c r="E63" s="124" t="s">
        <v>517</v>
      </c>
      <c r="F63" s="126">
        <f t="shared" ref="F63:F70" si="63">F62</f>
        <v>3061000</v>
      </c>
      <c r="G63" s="126"/>
      <c r="H63" s="126"/>
      <c r="I63" s="126"/>
      <c r="J63" s="126"/>
      <c r="K63" s="126"/>
      <c r="L63" s="126"/>
      <c r="M63" s="126"/>
      <c r="N63" s="126"/>
      <c r="O63" s="126">
        <f t="shared" si="59"/>
        <v>60000</v>
      </c>
      <c r="P63" s="126"/>
      <c r="Q63" s="126">
        <f t="shared" si="48"/>
        <v>23760</v>
      </c>
      <c r="R63" s="126">
        <f t="shared" si="62"/>
        <v>475200</v>
      </c>
      <c r="S63" s="126">
        <f t="shared" si="60"/>
        <v>118800</v>
      </c>
      <c r="T63" s="127">
        <f>T62</f>
        <v>250000</v>
      </c>
      <c r="U63" s="122">
        <f t="shared" si="16"/>
        <v>3846200</v>
      </c>
      <c r="V63" s="333"/>
      <c r="W63" s="338">
        <f t="shared" si="61"/>
        <v>320520</v>
      </c>
      <c r="X63" s="128">
        <f t="shared" si="54"/>
        <v>173080</v>
      </c>
      <c r="Y63" s="128">
        <f t="shared" si="55"/>
        <v>116740</v>
      </c>
      <c r="Z63" s="128">
        <f t="shared" si="33"/>
        <v>7650</v>
      </c>
      <c r="AA63" s="128">
        <f t="shared" si="56"/>
        <v>34620</v>
      </c>
      <c r="AB63" s="128">
        <f t="shared" si="57"/>
        <v>30770</v>
      </c>
      <c r="AC63" s="129">
        <f t="shared" si="58"/>
        <v>683380</v>
      </c>
      <c r="AD63" s="619">
        <f t="shared" si="4"/>
        <v>3162820</v>
      </c>
    </row>
    <row r="64" spans="1:30" s="24" customFormat="1" ht="16.5" hidden="1" customHeight="1">
      <c r="A64" s="1150"/>
      <c r="B64" s="119"/>
      <c r="C64" s="120"/>
      <c r="D64" s="120"/>
      <c r="E64" s="124" t="s">
        <v>518</v>
      </c>
      <c r="F64" s="126">
        <f t="shared" si="63"/>
        <v>3061000</v>
      </c>
      <c r="G64" s="126"/>
      <c r="H64" s="126"/>
      <c r="I64" s="126"/>
      <c r="J64" s="126"/>
      <c r="K64" s="126"/>
      <c r="L64" s="126"/>
      <c r="M64" s="126"/>
      <c r="N64" s="126"/>
      <c r="O64" s="126">
        <f t="shared" si="59"/>
        <v>60000</v>
      </c>
      <c r="P64" s="126"/>
      <c r="Q64" s="126">
        <f t="shared" si="48"/>
        <v>23760</v>
      </c>
      <c r="R64" s="126">
        <f t="shared" si="62"/>
        <v>475200</v>
      </c>
      <c r="S64" s="126">
        <f t="shared" si="60"/>
        <v>118800</v>
      </c>
      <c r="T64" s="127">
        <f>T63</f>
        <v>250000</v>
      </c>
      <c r="U64" s="122">
        <f t="shared" si="16"/>
        <v>3846200</v>
      </c>
      <c r="V64" s="333"/>
      <c r="W64" s="338">
        <f t="shared" si="61"/>
        <v>320520</v>
      </c>
      <c r="X64" s="128">
        <f t="shared" si="54"/>
        <v>173080</v>
      </c>
      <c r="Y64" s="128">
        <f t="shared" si="55"/>
        <v>116740</v>
      </c>
      <c r="Z64" s="128">
        <f t="shared" si="33"/>
        <v>7650</v>
      </c>
      <c r="AA64" s="128">
        <f t="shared" si="56"/>
        <v>34620</v>
      </c>
      <c r="AB64" s="128">
        <f t="shared" si="57"/>
        <v>30770</v>
      </c>
      <c r="AC64" s="129">
        <f t="shared" si="58"/>
        <v>683380</v>
      </c>
      <c r="AD64" s="619">
        <f t="shared" si="4"/>
        <v>3162820</v>
      </c>
    </row>
    <row r="65" spans="1:30" s="24" customFormat="1" ht="16.5" hidden="1" customHeight="1">
      <c r="A65" s="1150"/>
      <c r="B65" s="119"/>
      <c r="C65" s="120"/>
      <c r="D65" s="120"/>
      <c r="E65" s="124" t="s">
        <v>330</v>
      </c>
      <c r="F65" s="126">
        <f t="shared" si="63"/>
        <v>3061000</v>
      </c>
      <c r="G65" s="126"/>
      <c r="H65" s="125"/>
      <c r="I65" s="125"/>
      <c r="J65" s="126"/>
      <c r="K65" s="126"/>
      <c r="L65" s="126"/>
      <c r="M65" s="126"/>
      <c r="N65" s="126"/>
      <c r="O65" s="126">
        <f t="shared" si="59"/>
        <v>60000</v>
      </c>
      <c r="P65" s="126"/>
      <c r="Q65" s="126">
        <f t="shared" si="48"/>
        <v>23760</v>
      </c>
      <c r="R65" s="126">
        <f t="shared" si="62"/>
        <v>475200</v>
      </c>
      <c r="S65" s="126">
        <f t="shared" si="60"/>
        <v>118800</v>
      </c>
      <c r="T65" s="127">
        <v>250000</v>
      </c>
      <c r="U65" s="122">
        <f t="shared" si="16"/>
        <v>3846200</v>
      </c>
      <c r="V65" s="333"/>
      <c r="W65" s="338">
        <f t="shared" si="61"/>
        <v>320520</v>
      </c>
      <c r="X65" s="128">
        <f t="shared" si="54"/>
        <v>173080</v>
      </c>
      <c r="Y65" s="128">
        <f t="shared" si="55"/>
        <v>116740</v>
      </c>
      <c r="Z65" s="128">
        <f t="shared" si="33"/>
        <v>7650</v>
      </c>
      <c r="AA65" s="128">
        <f t="shared" si="56"/>
        <v>34620</v>
      </c>
      <c r="AB65" s="128">
        <f t="shared" si="57"/>
        <v>30770</v>
      </c>
      <c r="AC65" s="129">
        <f t="shared" si="58"/>
        <v>683380</v>
      </c>
      <c r="AD65" s="619">
        <f t="shared" si="4"/>
        <v>3162820</v>
      </c>
    </row>
    <row r="66" spans="1:30" s="24" customFormat="1" ht="16.5" hidden="1" customHeight="1">
      <c r="A66" s="1150"/>
      <c r="B66" s="119"/>
      <c r="C66" s="120"/>
      <c r="D66" s="120"/>
      <c r="E66" s="124" t="s">
        <v>331</v>
      </c>
      <c r="F66" s="126">
        <f t="shared" si="63"/>
        <v>3061000</v>
      </c>
      <c r="G66" s="126"/>
      <c r="H66" s="126"/>
      <c r="I66" s="126"/>
      <c r="J66" s="126"/>
      <c r="K66" s="126"/>
      <c r="L66" s="126"/>
      <c r="M66" s="126"/>
      <c r="N66" s="126"/>
      <c r="O66" s="126">
        <f t="shared" si="59"/>
        <v>60000</v>
      </c>
      <c r="P66" s="126"/>
      <c r="Q66" s="126">
        <f t="shared" si="48"/>
        <v>23760</v>
      </c>
      <c r="R66" s="126">
        <f t="shared" si="62"/>
        <v>475200</v>
      </c>
      <c r="S66" s="126">
        <f t="shared" si="60"/>
        <v>118800</v>
      </c>
      <c r="T66" s="127">
        <f>T65</f>
        <v>250000</v>
      </c>
      <c r="U66" s="122">
        <f t="shared" si="16"/>
        <v>3846200</v>
      </c>
      <c r="V66" s="333"/>
      <c r="W66" s="338">
        <f t="shared" si="61"/>
        <v>320520</v>
      </c>
      <c r="X66" s="128">
        <f t="shared" si="54"/>
        <v>173080</v>
      </c>
      <c r="Y66" s="128">
        <f t="shared" si="55"/>
        <v>116740</v>
      </c>
      <c r="Z66" s="128">
        <f t="shared" si="33"/>
        <v>7650</v>
      </c>
      <c r="AA66" s="128">
        <f t="shared" si="56"/>
        <v>34620</v>
      </c>
      <c r="AB66" s="128">
        <f t="shared" si="57"/>
        <v>30770</v>
      </c>
      <c r="AC66" s="129">
        <f t="shared" si="58"/>
        <v>683380</v>
      </c>
      <c r="AD66" s="619">
        <f t="shared" si="4"/>
        <v>3162820</v>
      </c>
    </row>
    <row r="67" spans="1:30" s="24" customFormat="1" ht="16.5" hidden="1" customHeight="1">
      <c r="A67" s="1150"/>
      <c r="B67" s="119"/>
      <c r="C67" s="120"/>
      <c r="D67" s="120"/>
      <c r="E67" s="124">
        <v>0</v>
      </c>
      <c r="F67" s="126">
        <f t="shared" si="63"/>
        <v>3061000</v>
      </c>
      <c r="G67" s="126"/>
      <c r="H67" s="126"/>
      <c r="I67" s="126"/>
      <c r="J67" s="126"/>
      <c r="K67" s="126"/>
      <c r="L67" s="126"/>
      <c r="M67" s="126">
        <f>F67*60%</f>
        <v>1836600</v>
      </c>
      <c r="N67" s="126"/>
      <c r="O67" s="126">
        <f t="shared" si="59"/>
        <v>60000</v>
      </c>
      <c r="P67" s="126"/>
      <c r="Q67" s="126">
        <f t="shared" si="48"/>
        <v>23760</v>
      </c>
      <c r="R67" s="126">
        <f t="shared" si="62"/>
        <v>475200</v>
      </c>
      <c r="S67" s="126">
        <f t="shared" si="60"/>
        <v>118800</v>
      </c>
      <c r="T67" s="127">
        <f>T66</f>
        <v>250000</v>
      </c>
      <c r="U67" s="122">
        <f t="shared" si="16"/>
        <v>5682800</v>
      </c>
      <c r="V67" s="333"/>
      <c r="W67" s="338">
        <f t="shared" si="61"/>
        <v>473570</v>
      </c>
      <c r="X67" s="128">
        <f t="shared" si="54"/>
        <v>255730</v>
      </c>
      <c r="Y67" s="128">
        <f t="shared" si="55"/>
        <v>172480</v>
      </c>
      <c r="Z67" s="128">
        <f t="shared" si="33"/>
        <v>11300</v>
      </c>
      <c r="AA67" s="128">
        <f t="shared" si="56"/>
        <v>51150</v>
      </c>
      <c r="AB67" s="128">
        <f t="shared" si="57"/>
        <v>45460</v>
      </c>
      <c r="AC67" s="129">
        <f t="shared" si="58"/>
        <v>1009690</v>
      </c>
      <c r="AD67" s="619">
        <f t="shared" si="4"/>
        <v>4673110</v>
      </c>
    </row>
    <row r="68" spans="1:30" s="24" customFormat="1" ht="16.5" hidden="1" customHeight="1">
      <c r="A68" s="1150"/>
      <c r="B68" s="119"/>
      <c r="C68" s="120"/>
      <c r="D68" s="120"/>
      <c r="E68" s="124" t="s">
        <v>63</v>
      </c>
      <c r="F68" s="126">
        <f t="shared" si="63"/>
        <v>3061000</v>
      </c>
      <c r="G68" s="126"/>
      <c r="H68" s="126"/>
      <c r="I68" s="126"/>
      <c r="J68" s="126"/>
      <c r="K68" s="126"/>
      <c r="L68" s="126"/>
      <c r="M68" s="126"/>
      <c r="N68" s="126"/>
      <c r="O68" s="126">
        <f t="shared" si="59"/>
        <v>60000</v>
      </c>
      <c r="P68" s="126"/>
      <c r="Q68" s="126">
        <f t="shared" si="48"/>
        <v>23760</v>
      </c>
      <c r="R68" s="126">
        <f t="shared" si="62"/>
        <v>475200</v>
      </c>
      <c r="S68" s="126">
        <f t="shared" si="60"/>
        <v>118800</v>
      </c>
      <c r="T68" s="127">
        <f>T67</f>
        <v>250000</v>
      </c>
      <c r="U68" s="122">
        <f t="shared" si="16"/>
        <v>3846200</v>
      </c>
      <c r="V68" s="333"/>
      <c r="W68" s="338">
        <f t="shared" si="61"/>
        <v>320520</v>
      </c>
      <c r="X68" s="128">
        <f t="shared" si="54"/>
        <v>173080</v>
      </c>
      <c r="Y68" s="128">
        <f t="shared" si="55"/>
        <v>116740</v>
      </c>
      <c r="Z68" s="128">
        <f t="shared" si="33"/>
        <v>7650</v>
      </c>
      <c r="AA68" s="128">
        <f t="shared" si="56"/>
        <v>34620</v>
      </c>
      <c r="AB68" s="128">
        <f t="shared" si="57"/>
        <v>30770</v>
      </c>
      <c r="AC68" s="129">
        <f t="shared" si="58"/>
        <v>683380</v>
      </c>
      <c r="AD68" s="619">
        <f t="shared" si="4"/>
        <v>3162820</v>
      </c>
    </row>
    <row r="69" spans="1:30" s="24" customFormat="1" ht="16.5" hidden="1" customHeight="1">
      <c r="A69" s="1150"/>
      <c r="B69" s="119"/>
      <c r="C69" s="120"/>
      <c r="D69" s="120"/>
      <c r="E69" s="124" t="s">
        <v>64</v>
      </c>
      <c r="F69" s="126">
        <f t="shared" si="63"/>
        <v>3061000</v>
      </c>
      <c r="G69" s="126"/>
      <c r="H69" s="126"/>
      <c r="I69" s="126"/>
      <c r="J69" s="126"/>
      <c r="K69" s="126"/>
      <c r="L69" s="126"/>
      <c r="M69" s="126"/>
      <c r="N69" s="126"/>
      <c r="O69" s="126">
        <f t="shared" si="59"/>
        <v>60000</v>
      </c>
      <c r="P69" s="126"/>
      <c r="Q69" s="126">
        <f t="shared" si="48"/>
        <v>23760</v>
      </c>
      <c r="R69" s="126">
        <f t="shared" si="62"/>
        <v>475200</v>
      </c>
      <c r="S69" s="126">
        <f t="shared" si="60"/>
        <v>118800</v>
      </c>
      <c r="T69" s="127">
        <f>T68</f>
        <v>250000</v>
      </c>
      <c r="U69" s="122">
        <f t="shared" si="16"/>
        <v>3846200</v>
      </c>
      <c r="V69" s="333"/>
      <c r="W69" s="338">
        <f t="shared" si="61"/>
        <v>320520</v>
      </c>
      <c r="X69" s="128">
        <f t="shared" si="54"/>
        <v>173080</v>
      </c>
      <c r="Y69" s="128">
        <f t="shared" si="55"/>
        <v>116740</v>
      </c>
      <c r="Z69" s="128">
        <f t="shared" si="33"/>
        <v>7650</v>
      </c>
      <c r="AA69" s="128">
        <f t="shared" si="56"/>
        <v>34620</v>
      </c>
      <c r="AB69" s="128">
        <f t="shared" si="57"/>
        <v>30770</v>
      </c>
      <c r="AC69" s="129">
        <f t="shared" si="58"/>
        <v>683380</v>
      </c>
      <c r="AD69" s="619">
        <f t="shared" si="4"/>
        <v>3162820</v>
      </c>
    </row>
    <row r="70" spans="1:30" s="24" customFormat="1" ht="16.5" hidden="1" customHeight="1">
      <c r="A70" s="1150"/>
      <c r="B70" s="119"/>
      <c r="C70" s="120"/>
      <c r="D70" s="120"/>
      <c r="E70" s="124" t="s">
        <v>519</v>
      </c>
      <c r="F70" s="126">
        <f t="shared" si="63"/>
        <v>3061000</v>
      </c>
      <c r="G70" s="126"/>
      <c r="H70" s="126"/>
      <c r="I70" s="126"/>
      <c r="J70" s="126"/>
      <c r="K70" s="126"/>
      <c r="L70" s="126"/>
      <c r="M70" s="126"/>
      <c r="N70" s="126"/>
      <c r="O70" s="126">
        <f t="shared" si="59"/>
        <v>60000</v>
      </c>
      <c r="P70" s="126"/>
      <c r="Q70" s="126">
        <f t="shared" si="48"/>
        <v>23760</v>
      </c>
      <c r="R70" s="126">
        <f>Q70*20*2</f>
        <v>950400</v>
      </c>
      <c r="S70" s="126">
        <f t="shared" si="60"/>
        <v>118800</v>
      </c>
      <c r="T70" s="127">
        <f>T69</f>
        <v>250000</v>
      </c>
      <c r="U70" s="122">
        <f t="shared" si="16"/>
        <v>4321400</v>
      </c>
      <c r="V70" s="333"/>
      <c r="W70" s="338">
        <f t="shared" si="61"/>
        <v>360120</v>
      </c>
      <c r="X70" s="128">
        <f t="shared" si="54"/>
        <v>194460</v>
      </c>
      <c r="Y70" s="128">
        <f t="shared" si="55"/>
        <v>131160</v>
      </c>
      <c r="Z70" s="128">
        <f t="shared" si="33"/>
        <v>8600</v>
      </c>
      <c r="AA70" s="128">
        <f t="shared" si="56"/>
        <v>38890</v>
      </c>
      <c r="AB70" s="128">
        <f t="shared" si="57"/>
        <v>34570</v>
      </c>
      <c r="AC70" s="129">
        <f t="shared" si="58"/>
        <v>767800</v>
      </c>
      <c r="AD70" s="619">
        <f t="shared" si="4"/>
        <v>3553600</v>
      </c>
    </row>
    <row r="71" spans="1:30" s="24" customFormat="1" ht="17.25" customHeight="1">
      <c r="A71" s="1150">
        <v>6</v>
      </c>
      <c r="B71" s="119" t="s">
        <v>525</v>
      </c>
      <c r="C71" s="120" t="s">
        <v>661</v>
      </c>
      <c r="D71" s="120">
        <v>1</v>
      </c>
      <c r="E71" s="121" t="s">
        <v>511</v>
      </c>
      <c r="F71" s="122">
        <f t="shared" ref="F71:U71" si="64">SUM(F72:F83)</f>
        <v>26589000</v>
      </c>
      <c r="G71" s="122">
        <f t="shared" si="64"/>
        <v>0</v>
      </c>
      <c r="H71" s="122">
        <f t="shared" si="64"/>
        <v>0</v>
      </c>
      <c r="I71" s="122">
        <f t="shared" si="64"/>
        <v>0</v>
      </c>
      <c r="J71" s="122">
        <f t="shared" si="64"/>
        <v>0</v>
      </c>
      <c r="K71" s="122">
        <f t="shared" si="64"/>
        <v>0</v>
      </c>
      <c r="L71" s="122">
        <f t="shared" si="64"/>
        <v>0</v>
      </c>
      <c r="M71" s="122">
        <f t="shared" si="64"/>
        <v>2629800</v>
      </c>
      <c r="N71" s="122">
        <f t="shared" si="64"/>
        <v>0</v>
      </c>
      <c r="O71" s="122">
        <f t="shared" si="64"/>
        <v>440000</v>
      </c>
      <c r="P71" s="122"/>
      <c r="Q71" s="122"/>
      <c r="R71" s="122">
        <f>SUM(R72:R83)</f>
        <v>4246800</v>
      </c>
      <c r="S71" s="122">
        <f t="shared" si="64"/>
        <v>972350</v>
      </c>
      <c r="T71" s="122">
        <f t="shared" si="64"/>
        <v>3000000</v>
      </c>
      <c r="U71" s="122">
        <f t="shared" si="64"/>
        <v>36905600</v>
      </c>
      <c r="V71" s="333"/>
      <c r="W71" s="350">
        <f t="shared" ref="W71:AB71" si="65">SUM(W72:W83)</f>
        <v>3096330</v>
      </c>
      <c r="X71" s="122">
        <f t="shared" si="65"/>
        <v>1660740</v>
      </c>
      <c r="Y71" s="122">
        <f t="shared" si="65"/>
        <v>1120150</v>
      </c>
      <c r="Z71" s="122">
        <f t="shared" si="65"/>
        <v>73460</v>
      </c>
      <c r="AA71" s="122">
        <f t="shared" si="65"/>
        <v>332170</v>
      </c>
      <c r="AB71" s="122">
        <f t="shared" si="65"/>
        <v>295250</v>
      </c>
      <c r="AC71" s="123">
        <f>SUM(AC72:AC83)</f>
        <v>6578100</v>
      </c>
      <c r="AD71" s="618">
        <f t="shared" ref="AD71:AD96" si="66">U71-AC71</f>
        <v>30327500</v>
      </c>
    </row>
    <row r="72" spans="1:30" s="24" customFormat="1" ht="17.25" hidden="1" customHeight="1">
      <c r="A72" s="1150"/>
      <c r="B72" s="119" t="s">
        <v>733</v>
      </c>
      <c r="C72" s="120">
        <v>6</v>
      </c>
      <c r="D72" s="120"/>
      <c r="E72" s="124" t="s">
        <v>512</v>
      </c>
      <c r="F72" s="125">
        <v>2143000</v>
      </c>
      <c r="G72" s="126">
        <v>0</v>
      </c>
      <c r="H72" s="125"/>
      <c r="I72" s="125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7">
        <v>250000</v>
      </c>
      <c r="U72" s="122">
        <f>SUM(F72,M72,O72,R72,T72)</f>
        <v>2393000</v>
      </c>
      <c r="V72" s="333"/>
      <c r="W72" s="338">
        <f>ROUNDUP(U72*1/12,-1)</f>
        <v>199420</v>
      </c>
      <c r="X72" s="128">
        <f t="shared" ref="X72:X83" si="67">ROUND(U72*4.5%,-1)</f>
        <v>107690</v>
      </c>
      <c r="Y72" s="128">
        <f t="shared" ref="Y72:Y83" si="68">ROUNDUP((U72-L72)*3.035%,-1)</f>
        <v>72630</v>
      </c>
      <c r="Z72" s="128">
        <f>ROUNDUP(Y72*6.55%,-1)</f>
        <v>4760</v>
      </c>
      <c r="AA72" s="128">
        <f t="shared" ref="AA72:AA83" si="69">ROUND(U72*0.9%,-1)</f>
        <v>21540</v>
      </c>
      <c r="AB72" s="128">
        <f t="shared" ref="AB72:AB83" si="70">ROUND(U72*0.8%,-1)</f>
        <v>19140</v>
      </c>
      <c r="AC72" s="129">
        <f t="shared" ref="AC72:AC83" si="71">SUM(W72:AB72)</f>
        <v>425180</v>
      </c>
      <c r="AD72" s="619">
        <f t="shared" si="66"/>
        <v>1967820</v>
      </c>
    </row>
    <row r="73" spans="1:30" s="24" customFormat="1" ht="17.25" hidden="1" customHeight="1">
      <c r="A73" s="1150"/>
      <c r="B73" s="119"/>
      <c r="C73" s="120"/>
      <c r="D73" s="120"/>
      <c r="E73" s="124" t="s">
        <v>514</v>
      </c>
      <c r="F73" s="126">
        <f>F72</f>
        <v>2143000</v>
      </c>
      <c r="G73" s="126"/>
      <c r="H73" s="126"/>
      <c r="I73" s="126"/>
      <c r="J73" s="126"/>
      <c r="K73" s="126"/>
      <c r="L73" s="126"/>
      <c r="M73" s="126">
        <f>F73*60%</f>
        <v>1285800</v>
      </c>
      <c r="N73" s="126"/>
      <c r="O73" s="126">
        <v>40000</v>
      </c>
      <c r="P73" s="126"/>
      <c r="Q73" s="126">
        <f>ROUND((F72+T72)*1/209*1.5,-1)</f>
        <v>17170</v>
      </c>
      <c r="R73" s="126">
        <f>Q73*20</f>
        <v>343400</v>
      </c>
      <c r="S73" s="126">
        <f>Q73*5</f>
        <v>85850</v>
      </c>
      <c r="T73" s="127">
        <v>250000</v>
      </c>
      <c r="U73" s="122">
        <f t="shared" si="16"/>
        <v>4062200</v>
      </c>
      <c r="V73" s="333"/>
      <c r="W73" s="338">
        <f>ROUNDUP((T73+U73)*1/12,-1)</f>
        <v>359350</v>
      </c>
      <c r="X73" s="128">
        <f t="shared" si="67"/>
        <v>182800</v>
      </c>
      <c r="Y73" s="128">
        <f t="shared" si="68"/>
        <v>123290</v>
      </c>
      <c r="Z73" s="128">
        <f t="shared" si="33"/>
        <v>8080</v>
      </c>
      <c r="AA73" s="128">
        <f t="shared" si="69"/>
        <v>36560</v>
      </c>
      <c r="AB73" s="128">
        <f t="shared" si="70"/>
        <v>32500</v>
      </c>
      <c r="AC73" s="129">
        <f t="shared" si="71"/>
        <v>742580</v>
      </c>
      <c r="AD73" s="619">
        <f t="shared" si="66"/>
        <v>3319620</v>
      </c>
    </row>
    <row r="74" spans="1:30" s="24" customFormat="1" ht="17.25" hidden="1" customHeight="1">
      <c r="A74" s="1150"/>
      <c r="B74" s="119"/>
      <c r="C74" s="120"/>
      <c r="D74" s="120"/>
      <c r="E74" s="124" t="s">
        <v>515</v>
      </c>
      <c r="F74" s="126">
        <f>F73</f>
        <v>2143000</v>
      </c>
      <c r="G74" s="126"/>
      <c r="H74" s="126"/>
      <c r="I74" s="126"/>
      <c r="J74" s="126"/>
      <c r="K74" s="126"/>
      <c r="L74" s="126"/>
      <c r="M74" s="126"/>
      <c r="N74" s="126"/>
      <c r="O74" s="126">
        <f>O73</f>
        <v>40000</v>
      </c>
      <c r="P74" s="126"/>
      <c r="Q74" s="126">
        <f t="shared" si="48"/>
        <v>17170</v>
      </c>
      <c r="R74" s="126">
        <f>Q74*20</f>
        <v>343400</v>
      </c>
      <c r="S74" s="126">
        <f t="shared" ref="S74:S83" si="72">Q74*5</f>
        <v>85850</v>
      </c>
      <c r="T74" s="127">
        <v>250000</v>
      </c>
      <c r="U74" s="122">
        <f t="shared" si="16"/>
        <v>2776400</v>
      </c>
      <c r="V74" s="333"/>
      <c r="W74" s="338">
        <f t="shared" ref="W74:W83" si="73">ROUNDUP(U74*1/12,-1)</f>
        <v>231370</v>
      </c>
      <c r="X74" s="128">
        <f t="shared" si="67"/>
        <v>124940</v>
      </c>
      <c r="Y74" s="128">
        <f t="shared" si="68"/>
        <v>84270</v>
      </c>
      <c r="Z74" s="128">
        <f t="shared" si="33"/>
        <v>5520</v>
      </c>
      <c r="AA74" s="128">
        <f t="shared" si="69"/>
        <v>24990</v>
      </c>
      <c r="AB74" s="128">
        <f t="shared" si="70"/>
        <v>22210</v>
      </c>
      <c r="AC74" s="129">
        <f t="shared" si="71"/>
        <v>493300</v>
      </c>
      <c r="AD74" s="619">
        <f t="shared" si="66"/>
        <v>2283100</v>
      </c>
    </row>
    <row r="75" spans="1:30" s="24" customFormat="1" ht="17.25" hidden="1" customHeight="1">
      <c r="A75" s="1150"/>
      <c r="B75" s="119"/>
      <c r="C75" s="120">
        <v>7</v>
      </c>
      <c r="D75" s="120"/>
      <c r="E75" s="124" t="s">
        <v>516</v>
      </c>
      <c r="F75" s="125">
        <v>2240000</v>
      </c>
      <c r="G75" s="126"/>
      <c r="H75" s="126"/>
      <c r="I75" s="126"/>
      <c r="J75" s="126"/>
      <c r="K75" s="126"/>
      <c r="L75" s="126"/>
      <c r="M75" s="126"/>
      <c r="N75" s="126"/>
      <c r="O75" s="126">
        <f t="shared" ref="O75:O83" si="74">O74</f>
        <v>40000</v>
      </c>
      <c r="P75" s="126"/>
      <c r="Q75" s="126">
        <f t="shared" si="48"/>
        <v>17170</v>
      </c>
      <c r="R75" s="126">
        <f t="shared" ref="R75:R82" si="75">Q75*20</f>
        <v>343400</v>
      </c>
      <c r="S75" s="126">
        <f t="shared" si="72"/>
        <v>85850</v>
      </c>
      <c r="T75" s="127">
        <v>250000</v>
      </c>
      <c r="U75" s="122">
        <f t="shared" si="16"/>
        <v>2873400</v>
      </c>
      <c r="V75" s="333"/>
      <c r="W75" s="338">
        <f t="shared" si="73"/>
        <v>239450</v>
      </c>
      <c r="X75" s="128">
        <f t="shared" si="67"/>
        <v>129300</v>
      </c>
      <c r="Y75" s="128">
        <f t="shared" si="68"/>
        <v>87210</v>
      </c>
      <c r="Z75" s="128">
        <f t="shared" si="33"/>
        <v>5720</v>
      </c>
      <c r="AA75" s="128">
        <f t="shared" si="69"/>
        <v>25860</v>
      </c>
      <c r="AB75" s="128">
        <f t="shared" si="70"/>
        <v>22990</v>
      </c>
      <c r="AC75" s="129">
        <f t="shared" si="71"/>
        <v>510530</v>
      </c>
      <c r="AD75" s="619">
        <f t="shared" si="66"/>
        <v>2362870</v>
      </c>
    </row>
    <row r="76" spans="1:30" s="24" customFormat="1" ht="17.25" hidden="1" customHeight="1">
      <c r="A76" s="1150"/>
      <c r="B76" s="119"/>
      <c r="C76" s="120"/>
      <c r="D76" s="120"/>
      <c r="E76" s="124" t="s">
        <v>517</v>
      </c>
      <c r="F76" s="126">
        <f t="shared" ref="F76:F83" si="76">F75</f>
        <v>2240000</v>
      </c>
      <c r="G76" s="126"/>
      <c r="H76" s="126"/>
      <c r="I76" s="126"/>
      <c r="J76" s="126"/>
      <c r="K76" s="126"/>
      <c r="L76" s="126"/>
      <c r="M76" s="126"/>
      <c r="N76" s="126"/>
      <c r="O76" s="126">
        <f t="shared" si="74"/>
        <v>40000</v>
      </c>
      <c r="P76" s="126"/>
      <c r="Q76" s="126">
        <f t="shared" si="48"/>
        <v>17870</v>
      </c>
      <c r="R76" s="126">
        <f t="shared" si="75"/>
        <v>357400</v>
      </c>
      <c r="S76" s="126">
        <f t="shared" si="72"/>
        <v>89350</v>
      </c>
      <c r="T76" s="127">
        <v>250000</v>
      </c>
      <c r="U76" s="122">
        <f t="shared" si="16"/>
        <v>2887400</v>
      </c>
      <c r="V76" s="333"/>
      <c r="W76" s="338">
        <f t="shared" si="73"/>
        <v>240620</v>
      </c>
      <c r="X76" s="128">
        <f t="shared" si="67"/>
        <v>129930</v>
      </c>
      <c r="Y76" s="128">
        <f t="shared" si="68"/>
        <v>87640</v>
      </c>
      <c r="Z76" s="128">
        <f t="shared" si="33"/>
        <v>5750</v>
      </c>
      <c r="AA76" s="128">
        <f t="shared" si="69"/>
        <v>25990</v>
      </c>
      <c r="AB76" s="128">
        <f t="shared" si="70"/>
        <v>23100</v>
      </c>
      <c r="AC76" s="129">
        <f t="shared" si="71"/>
        <v>513030</v>
      </c>
      <c r="AD76" s="619">
        <f t="shared" si="66"/>
        <v>2374370</v>
      </c>
    </row>
    <row r="77" spans="1:30" s="24" customFormat="1" ht="17.25" hidden="1" customHeight="1">
      <c r="A77" s="1150"/>
      <c r="B77" s="119"/>
      <c r="C77" s="120"/>
      <c r="D77" s="120"/>
      <c r="E77" s="124" t="s">
        <v>518</v>
      </c>
      <c r="F77" s="126">
        <f t="shared" si="76"/>
        <v>2240000</v>
      </c>
      <c r="G77" s="126"/>
      <c r="H77" s="126"/>
      <c r="I77" s="126"/>
      <c r="J77" s="126"/>
      <c r="K77" s="126"/>
      <c r="L77" s="126"/>
      <c r="M77" s="126"/>
      <c r="N77" s="126"/>
      <c r="O77" s="126">
        <f t="shared" si="74"/>
        <v>40000</v>
      </c>
      <c r="P77" s="126"/>
      <c r="Q77" s="126">
        <f t="shared" si="48"/>
        <v>17870</v>
      </c>
      <c r="R77" s="126">
        <f t="shared" si="75"/>
        <v>357400</v>
      </c>
      <c r="S77" s="126">
        <f t="shared" si="72"/>
        <v>89350</v>
      </c>
      <c r="T77" s="127">
        <f t="shared" ref="T77:T83" si="77">T76</f>
        <v>250000</v>
      </c>
      <c r="U77" s="122">
        <f t="shared" si="16"/>
        <v>2887400</v>
      </c>
      <c r="V77" s="333"/>
      <c r="W77" s="338">
        <f t="shared" si="73"/>
        <v>240620</v>
      </c>
      <c r="X77" s="128">
        <f t="shared" si="67"/>
        <v>129930</v>
      </c>
      <c r="Y77" s="128">
        <f t="shared" si="68"/>
        <v>87640</v>
      </c>
      <c r="Z77" s="128">
        <f t="shared" si="33"/>
        <v>5750</v>
      </c>
      <c r="AA77" s="128">
        <f t="shared" si="69"/>
        <v>25990</v>
      </c>
      <c r="AB77" s="128">
        <f t="shared" si="70"/>
        <v>23100</v>
      </c>
      <c r="AC77" s="129">
        <f t="shared" si="71"/>
        <v>513030</v>
      </c>
      <c r="AD77" s="619">
        <f t="shared" si="66"/>
        <v>2374370</v>
      </c>
    </row>
    <row r="78" spans="1:30" s="24" customFormat="1" ht="17.25" hidden="1" customHeight="1">
      <c r="A78" s="1150"/>
      <c r="B78" s="119"/>
      <c r="C78" s="120"/>
      <c r="D78" s="120"/>
      <c r="E78" s="124" t="s">
        <v>330</v>
      </c>
      <c r="F78" s="126">
        <f t="shared" si="76"/>
        <v>2240000</v>
      </c>
      <c r="G78" s="126"/>
      <c r="H78" s="125"/>
      <c r="I78" s="127"/>
      <c r="J78" s="126"/>
      <c r="K78" s="126"/>
      <c r="L78" s="126"/>
      <c r="M78" s="126"/>
      <c r="N78" s="126"/>
      <c r="O78" s="126">
        <f t="shared" si="74"/>
        <v>40000</v>
      </c>
      <c r="P78" s="126"/>
      <c r="Q78" s="126">
        <f t="shared" si="48"/>
        <v>17870</v>
      </c>
      <c r="R78" s="126">
        <f t="shared" si="75"/>
        <v>357400</v>
      </c>
      <c r="S78" s="126">
        <f t="shared" si="72"/>
        <v>89350</v>
      </c>
      <c r="T78" s="127">
        <f t="shared" si="77"/>
        <v>250000</v>
      </c>
      <c r="U78" s="122">
        <f t="shared" si="16"/>
        <v>2887400</v>
      </c>
      <c r="V78" s="333"/>
      <c r="W78" s="338">
        <f t="shared" si="73"/>
        <v>240620</v>
      </c>
      <c r="X78" s="128">
        <f t="shared" si="67"/>
        <v>129930</v>
      </c>
      <c r="Y78" s="128">
        <f t="shared" si="68"/>
        <v>87640</v>
      </c>
      <c r="Z78" s="128">
        <f t="shared" si="33"/>
        <v>5750</v>
      </c>
      <c r="AA78" s="128">
        <f t="shared" si="69"/>
        <v>25990</v>
      </c>
      <c r="AB78" s="128">
        <f t="shared" si="70"/>
        <v>23100</v>
      </c>
      <c r="AC78" s="129">
        <f t="shared" si="71"/>
        <v>513030</v>
      </c>
      <c r="AD78" s="619">
        <f t="shared" si="66"/>
        <v>2374370</v>
      </c>
    </row>
    <row r="79" spans="1:30" s="24" customFormat="1" ht="17.25" hidden="1" customHeight="1">
      <c r="A79" s="1150"/>
      <c r="B79" s="119"/>
      <c r="C79" s="120"/>
      <c r="D79" s="120"/>
      <c r="E79" s="124" t="s">
        <v>331</v>
      </c>
      <c r="F79" s="126">
        <f t="shared" si="76"/>
        <v>2240000</v>
      </c>
      <c r="G79" s="126"/>
      <c r="H79" s="126"/>
      <c r="I79" s="126"/>
      <c r="J79" s="126"/>
      <c r="K79" s="126"/>
      <c r="L79" s="126"/>
      <c r="M79" s="126"/>
      <c r="N79" s="126"/>
      <c r="O79" s="126">
        <f t="shared" si="74"/>
        <v>40000</v>
      </c>
      <c r="P79" s="126"/>
      <c r="Q79" s="126">
        <f t="shared" si="48"/>
        <v>17870</v>
      </c>
      <c r="R79" s="126">
        <f t="shared" si="75"/>
        <v>357400</v>
      </c>
      <c r="S79" s="126">
        <f t="shared" si="72"/>
        <v>89350</v>
      </c>
      <c r="T79" s="127">
        <f t="shared" si="77"/>
        <v>250000</v>
      </c>
      <c r="U79" s="122">
        <f t="shared" si="16"/>
        <v>2887400</v>
      </c>
      <c r="V79" s="333"/>
      <c r="W79" s="338">
        <f t="shared" si="73"/>
        <v>240620</v>
      </c>
      <c r="X79" s="128">
        <f t="shared" si="67"/>
        <v>129930</v>
      </c>
      <c r="Y79" s="128">
        <f t="shared" si="68"/>
        <v>87640</v>
      </c>
      <c r="Z79" s="128">
        <f t="shared" si="33"/>
        <v>5750</v>
      </c>
      <c r="AA79" s="128">
        <f t="shared" si="69"/>
        <v>25990</v>
      </c>
      <c r="AB79" s="128">
        <f t="shared" si="70"/>
        <v>23100</v>
      </c>
      <c r="AC79" s="129">
        <f t="shared" si="71"/>
        <v>513030</v>
      </c>
      <c r="AD79" s="619">
        <f t="shared" si="66"/>
        <v>2374370</v>
      </c>
    </row>
    <row r="80" spans="1:30" s="24" customFormat="1" ht="17.25" hidden="1" customHeight="1">
      <c r="A80" s="1150"/>
      <c r="B80" s="119"/>
      <c r="C80" s="120"/>
      <c r="D80" s="120"/>
      <c r="E80" s="124" t="s">
        <v>62</v>
      </c>
      <c r="F80" s="126">
        <f t="shared" si="76"/>
        <v>2240000</v>
      </c>
      <c r="G80" s="126"/>
      <c r="H80" s="126"/>
      <c r="I80" s="126"/>
      <c r="J80" s="126"/>
      <c r="K80" s="126"/>
      <c r="L80" s="126"/>
      <c r="M80" s="126">
        <f>F80*60%</f>
        <v>1344000</v>
      </c>
      <c r="N80" s="126"/>
      <c r="O80" s="126">
        <f t="shared" si="74"/>
        <v>40000</v>
      </c>
      <c r="P80" s="126"/>
      <c r="Q80" s="126">
        <f t="shared" si="48"/>
        <v>17870</v>
      </c>
      <c r="R80" s="126">
        <f t="shared" si="75"/>
        <v>357400</v>
      </c>
      <c r="S80" s="126">
        <f t="shared" si="72"/>
        <v>89350</v>
      </c>
      <c r="T80" s="127">
        <f t="shared" si="77"/>
        <v>250000</v>
      </c>
      <c r="U80" s="122">
        <f t="shared" si="16"/>
        <v>4231400</v>
      </c>
      <c r="V80" s="333"/>
      <c r="W80" s="338">
        <f t="shared" si="73"/>
        <v>352620</v>
      </c>
      <c r="X80" s="128">
        <f t="shared" si="67"/>
        <v>190410</v>
      </c>
      <c r="Y80" s="128">
        <f t="shared" si="68"/>
        <v>128430</v>
      </c>
      <c r="Z80" s="128">
        <f t="shared" si="33"/>
        <v>8420</v>
      </c>
      <c r="AA80" s="128">
        <f t="shared" si="69"/>
        <v>38080</v>
      </c>
      <c r="AB80" s="128">
        <f t="shared" si="70"/>
        <v>33850</v>
      </c>
      <c r="AC80" s="129">
        <f t="shared" si="71"/>
        <v>751810</v>
      </c>
      <c r="AD80" s="619">
        <f t="shared" si="66"/>
        <v>3479590</v>
      </c>
    </row>
    <row r="81" spans="1:30" s="24" customFormat="1" ht="17.25" hidden="1" customHeight="1">
      <c r="A81" s="1150"/>
      <c r="B81" s="119"/>
      <c r="C81" s="120"/>
      <c r="D81" s="120"/>
      <c r="E81" s="124" t="s">
        <v>63</v>
      </c>
      <c r="F81" s="126">
        <f t="shared" si="76"/>
        <v>2240000</v>
      </c>
      <c r="G81" s="126"/>
      <c r="H81" s="126"/>
      <c r="I81" s="126"/>
      <c r="J81" s="126"/>
      <c r="K81" s="126"/>
      <c r="L81" s="126"/>
      <c r="M81" s="126"/>
      <c r="N81" s="126"/>
      <c r="O81" s="126">
        <f t="shared" si="74"/>
        <v>40000</v>
      </c>
      <c r="P81" s="126"/>
      <c r="Q81" s="126">
        <f t="shared" si="48"/>
        <v>17870</v>
      </c>
      <c r="R81" s="126">
        <f t="shared" si="75"/>
        <v>357400</v>
      </c>
      <c r="S81" s="126">
        <f t="shared" si="72"/>
        <v>89350</v>
      </c>
      <c r="T81" s="127">
        <f t="shared" si="77"/>
        <v>250000</v>
      </c>
      <c r="U81" s="122">
        <f t="shared" si="16"/>
        <v>2887400</v>
      </c>
      <c r="V81" s="333"/>
      <c r="W81" s="338">
        <f t="shared" si="73"/>
        <v>240620</v>
      </c>
      <c r="X81" s="128">
        <f t="shared" si="67"/>
        <v>129930</v>
      </c>
      <c r="Y81" s="128">
        <f t="shared" si="68"/>
        <v>87640</v>
      </c>
      <c r="Z81" s="128">
        <f t="shared" si="33"/>
        <v>5750</v>
      </c>
      <c r="AA81" s="128">
        <f t="shared" si="69"/>
        <v>25990</v>
      </c>
      <c r="AB81" s="128">
        <f t="shared" si="70"/>
        <v>23100</v>
      </c>
      <c r="AC81" s="129">
        <f t="shared" si="71"/>
        <v>513030</v>
      </c>
      <c r="AD81" s="619">
        <f t="shared" si="66"/>
        <v>2374370</v>
      </c>
    </row>
    <row r="82" spans="1:30" s="24" customFormat="1" ht="17.25" hidden="1" customHeight="1">
      <c r="A82" s="1150"/>
      <c r="B82" s="119"/>
      <c r="C82" s="120"/>
      <c r="D82" s="120"/>
      <c r="E82" s="124" t="s">
        <v>64</v>
      </c>
      <c r="F82" s="126">
        <f t="shared" si="76"/>
        <v>2240000</v>
      </c>
      <c r="G82" s="126"/>
      <c r="H82" s="126"/>
      <c r="I82" s="126"/>
      <c r="J82" s="126"/>
      <c r="K82" s="126"/>
      <c r="L82" s="126"/>
      <c r="M82" s="126"/>
      <c r="N82" s="126"/>
      <c r="O82" s="126">
        <f t="shared" si="74"/>
        <v>40000</v>
      </c>
      <c r="P82" s="126"/>
      <c r="Q82" s="126">
        <f t="shared" si="48"/>
        <v>17870</v>
      </c>
      <c r="R82" s="126">
        <f t="shared" si="75"/>
        <v>357400</v>
      </c>
      <c r="S82" s="126">
        <f t="shared" si="72"/>
        <v>89350</v>
      </c>
      <c r="T82" s="127">
        <f t="shared" si="77"/>
        <v>250000</v>
      </c>
      <c r="U82" s="122">
        <f t="shared" si="16"/>
        <v>2887400</v>
      </c>
      <c r="V82" s="333"/>
      <c r="W82" s="338">
        <f t="shared" si="73"/>
        <v>240620</v>
      </c>
      <c r="X82" s="128">
        <f t="shared" si="67"/>
        <v>129930</v>
      </c>
      <c r="Y82" s="128">
        <f t="shared" si="68"/>
        <v>87640</v>
      </c>
      <c r="Z82" s="128">
        <f t="shared" si="33"/>
        <v>5750</v>
      </c>
      <c r="AA82" s="128">
        <f t="shared" si="69"/>
        <v>25990</v>
      </c>
      <c r="AB82" s="128">
        <f t="shared" si="70"/>
        <v>23100</v>
      </c>
      <c r="AC82" s="129">
        <f t="shared" si="71"/>
        <v>513030</v>
      </c>
      <c r="AD82" s="619">
        <f t="shared" si="66"/>
        <v>2374370</v>
      </c>
    </row>
    <row r="83" spans="1:30" s="24" customFormat="1" ht="17.25" hidden="1" customHeight="1">
      <c r="A83" s="1150"/>
      <c r="B83" s="119"/>
      <c r="C83" s="120">
        <v>8</v>
      </c>
      <c r="D83" s="120"/>
      <c r="E83" s="124" t="s">
        <v>519</v>
      </c>
      <c r="F83" s="126">
        <f t="shared" si="76"/>
        <v>2240000</v>
      </c>
      <c r="G83" s="126"/>
      <c r="H83" s="126"/>
      <c r="I83" s="126"/>
      <c r="J83" s="126"/>
      <c r="K83" s="126"/>
      <c r="L83" s="126"/>
      <c r="M83" s="126"/>
      <c r="N83" s="126"/>
      <c r="O83" s="126">
        <f t="shared" si="74"/>
        <v>40000</v>
      </c>
      <c r="P83" s="126"/>
      <c r="Q83" s="126">
        <f t="shared" si="48"/>
        <v>17870</v>
      </c>
      <c r="R83" s="126">
        <f>Q83*20*2</f>
        <v>714800</v>
      </c>
      <c r="S83" s="126">
        <f t="shared" si="72"/>
        <v>89350</v>
      </c>
      <c r="T83" s="127">
        <f t="shared" si="77"/>
        <v>250000</v>
      </c>
      <c r="U83" s="122">
        <f t="shared" si="16"/>
        <v>3244800</v>
      </c>
      <c r="V83" s="333"/>
      <c r="W83" s="338">
        <f t="shared" si="73"/>
        <v>270400</v>
      </c>
      <c r="X83" s="128">
        <f t="shared" si="67"/>
        <v>146020</v>
      </c>
      <c r="Y83" s="128">
        <f t="shared" si="68"/>
        <v>98480</v>
      </c>
      <c r="Z83" s="128">
        <f t="shared" si="33"/>
        <v>6460</v>
      </c>
      <c r="AA83" s="128">
        <f t="shared" si="69"/>
        <v>29200</v>
      </c>
      <c r="AB83" s="128">
        <f t="shared" si="70"/>
        <v>25960</v>
      </c>
      <c r="AC83" s="129">
        <f t="shared" si="71"/>
        <v>576520</v>
      </c>
      <c r="AD83" s="619">
        <f t="shared" si="66"/>
        <v>2668280</v>
      </c>
    </row>
    <row r="84" spans="1:30" s="24" customFormat="1" ht="16.5" customHeight="1">
      <c r="A84" s="1150">
        <v>7</v>
      </c>
      <c r="B84" s="119" t="s">
        <v>754</v>
      </c>
      <c r="C84" s="120" t="s">
        <v>526</v>
      </c>
      <c r="D84" s="120">
        <v>1</v>
      </c>
      <c r="E84" s="121" t="s">
        <v>94</v>
      </c>
      <c r="F84" s="122">
        <f t="shared" ref="F84:L84" si="78">SUM(F85:F96)</f>
        <v>23408000</v>
      </c>
      <c r="G84" s="122">
        <f t="shared" si="78"/>
        <v>0</v>
      </c>
      <c r="H84" s="122">
        <f t="shared" si="78"/>
        <v>0</v>
      </c>
      <c r="I84" s="122">
        <f t="shared" si="78"/>
        <v>0</v>
      </c>
      <c r="J84" s="122">
        <f t="shared" si="78"/>
        <v>0</v>
      </c>
      <c r="K84" s="122">
        <f t="shared" si="78"/>
        <v>0</v>
      </c>
      <c r="L84" s="122">
        <f t="shared" si="78"/>
        <v>0</v>
      </c>
      <c r="M84" s="122">
        <f>SUM(M85:M96)</f>
        <v>2328000</v>
      </c>
      <c r="N84" s="122">
        <f>SUM(N85:N96)</f>
        <v>0</v>
      </c>
      <c r="O84" s="122">
        <f>SUM(O85:O96)</f>
        <v>720000</v>
      </c>
      <c r="P84" s="122"/>
      <c r="Q84" s="122"/>
      <c r="R84" s="122">
        <f>SUM(R85:R96)</f>
        <v>3791200</v>
      </c>
      <c r="S84" s="122">
        <f>SUM(S85:S96)</f>
        <v>866900</v>
      </c>
      <c r="T84" s="122">
        <f>SUM(T85:T96)</f>
        <v>3000000</v>
      </c>
      <c r="U84" s="122">
        <f>SUM(U85:U96)</f>
        <v>33247200</v>
      </c>
      <c r="V84" s="333"/>
      <c r="W84" s="350">
        <f t="shared" ref="W84:AB84" si="79">SUM(W85:W96)</f>
        <v>2791450</v>
      </c>
      <c r="X84" s="122">
        <f t="shared" si="79"/>
        <v>1496140</v>
      </c>
      <c r="Y84" s="122">
        <f t="shared" si="79"/>
        <v>1009080</v>
      </c>
      <c r="Z84" s="122">
        <f t="shared" si="79"/>
        <v>66140</v>
      </c>
      <c r="AA84" s="122">
        <f t="shared" si="79"/>
        <v>299240</v>
      </c>
      <c r="AB84" s="122">
        <f t="shared" si="79"/>
        <v>266020</v>
      </c>
      <c r="AC84" s="123">
        <f>SUM(AC85:AC96)</f>
        <v>5928070</v>
      </c>
      <c r="AD84" s="618">
        <f t="shared" si="66"/>
        <v>27319130</v>
      </c>
    </row>
    <row r="85" spans="1:30" s="24" customFormat="1" ht="16.5" hidden="1" customHeight="1">
      <c r="A85" s="1150"/>
      <c r="B85" s="119" t="s">
        <v>541</v>
      </c>
      <c r="C85" s="120">
        <v>7</v>
      </c>
      <c r="D85" s="120"/>
      <c r="E85" s="124" t="s">
        <v>324</v>
      </c>
      <c r="F85" s="125">
        <v>1940000</v>
      </c>
      <c r="G85" s="126"/>
      <c r="H85" s="125"/>
      <c r="I85" s="125"/>
      <c r="J85" s="126"/>
      <c r="K85" s="126"/>
      <c r="L85" s="126"/>
      <c r="M85" s="126"/>
      <c r="N85" s="126"/>
      <c r="O85" s="126">
        <v>60000</v>
      </c>
      <c r="P85" s="126"/>
      <c r="Q85" s="126"/>
      <c r="R85" s="126"/>
      <c r="S85" s="126"/>
      <c r="T85" s="127">
        <v>250000</v>
      </c>
      <c r="U85" s="122">
        <f t="shared" ref="U85:U135" si="80">SUM(F85,M85,O85,R85,T85)</f>
        <v>2250000</v>
      </c>
      <c r="V85" s="333"/>
      <c r="W85" s="338">
        <f>ROUNDUP(U85*1/12,-1)</f>
        <v>187500</v>
      </c>
      <c r="X85" s="128">
        <f t="shared" ref="X85:X96" si="81">ROUND(U85*4.5%,-1)</f>
        <v>101250</v>
      </c>
      <c r="Y85" s="128">
        <f t="shared" ref="Y85:Y96" si="82">ROUNDUP((U85-L85)*3.035%,-1)</f>
        <v>68290</v>
      </c>
      <c r="Z85" s="128">
        <f>ROUNDUP(Y85*6.55%,-1)</f>
        <v>4480</v>
      </c>
      <c r="AA85" s="128">
        <f t="shared" ref="AA85:AA96" si="83">ROUND(U85*0.9%,-1)</f>
        <v>20250</v>
      </c>
      <c r="AB85" s="128">
        <f t="shared" ref="AB85:AB96" si="84">ROUND(U85*0.8%,-1)</f>
        <v>18000</v>
      </c>
      <c r="AC85" s="129">
        <f t="shared" ref="AC85:AC96" si="85">SUM(W85:AB85)</f>
        <v>399770</v>
      </c>
      <c r="AD85" s="619">
        <f t="shared" si="66"/>
        <v>1850230</v>
      </c>
    </row>
    <row r="86" spans="1:30" s="24" customFormat="1" ht="16.5" hidden="1" customHeight="1">
      <c r="A86" s="1150"/>
      <c r="B86" s="119"/>
      <c r="C86" s="120"/>
      <c r="D86" s="120"/>
      <c r="E86" s="124" t="s">
        <v>325</v>
      </c>
      <c r="F86" s="126">
        <f>F85</f>
        <v>1940000</v>
      </c>
      <c r="G86" s="126"/>
      <c r="H86" s="126"/>
      <c r="I86" s="126"/>
      <c r="J86" s="126"/>
      <c r="K86" s="126"/>
      <c r="L86" s="126"/>
      <c r="M86" s="126">
        <f>F86*60%</f>
        <v>1164000</v>
      </c>
      <c r="N86" s="126"/>
      <c r="O86" s="126">
        <f t="shared" ref="O86:O96" si="86">O85</f>
        <v>60000</v>
      </c>
      <c r="P86" s="126"/>
      <c r="Q86" s="126">
        <f>ROUND((F85+T85)*1/209*1.5,-1)</f>
        <v>15720</v>
      </c>
      <c r="R86" s="126">
        <f>Q86*20</f>
        <v>314400</v>
      </c>
      <c r="S86" s="126">
        <f>Q86*5</f>
        <v>78600</v>
      </c>
      <c r="T86" s="127">
        <f t="shared" ref="T86:T96" si="87">T85</f>
        <v>250000</v>
      </c>
      <c r="U86" s="122">
        <f t="shared" si="80"/>
        <v>3728400</v>
      </c>
      <c r="V86" s="333"/>
      <c r="W86" s="338">
        <f>ROUNDUP((T86+U86)*1/12,-1)</f>
        <v>331540</v>
      </c>
      <c r="X86" s="128">
        <f t="shared" si="81"/>
        <v>167780</v>
      </c>
      <c r="Y86" s="128">
        <f t="shared" si="82"/>
        <v>113160</v>
      </c>
      <c r="Z86" s="128">
        <f t="shared" si="33"/>
        <v>7420</v>
      </c>
      <c r="AA86" s="128">
        <f t="shared" si="83"/>
        <v>33560</v>
      </c>
      <c r="AB86" s="128">
        <f t="shared" si="84"/>
        <v>29830</v>
      </c>
      <c r="AC86" s="129">
        <f t="shared" si="85"/>
        <v>683290</v>
      </c>
      <c r="AD86" s="619">
        <f t="shared" si="66"/>
        <v>3045110</v>
      </c>
    </row>
    <row r="87" spans="1:30" s="24" customFormat="1" ht="16.5" hidden="1" customHeight="1">
      <c r="A87" s="1150"/>
      <c r="B87" s="119"/>
      <c r="C87" s="120"/>
      <c r="D87" s="120"/>
      <c r="E87" s="124" t="s">
        <v>326</v>
      </c>
      <c r="F87" s="126">
        <f>F85</f>
        <v>1940000</v>
      </c>
      <c r="G87" s="126"/>
      <c r="H87" s="126"/>
      <c r="I87" s="126"/>
      <c r="J87" s="126"/>
      <c r="K87" s="126"/>
      <c r="L87" s="126"/>
      <c r="M87" s="126"/>
      <c r="N87" s="126"/>
      <c r="O87" s="126">
        <f t="shared" si="86"/>
        <v>60000</v>
      </c>
      <c r="P87" s="126"/>
      <c r="Q87" s="126">
        <f t="shared" ref="Q87:Q96" si="88">ROUND((F86+T86)*1/209*1.5,-1)</f>
        <v>15720</v>
      </c>
      <c r="R87" s="126">
        <f>Q87*20</f>
        <v>314400</v>
      </c>
      <c r="S87" s="126">
        <f t="shared" ref="S87:S96" si="89">Q87*5</f>
        <v>78600</v>
      </c>
      <c r="T87" s="127">
        <f t="shared" si="87"/>
        <v>250000</v>
      </c>
      <c r="U87" s="122">
        <f t="shared" si="80"/>
        <v>2564400</v>
      </c>
      <c r="V87" s="333"/>
      <c r="W87" s="338">
        <f t="shared" ref="W87:W96" si="90">ROUNDUP(U87*1/12,-1)</f>
        <v>213700</v>
      </c>
      <c r="X87" s="128">
        <f t="shared" si="81"/>
        <v>115400</v>
      </c>
      <c r="Y87" s="128">
        <f t="shared" si="82"/>
        <v>77830</v>
      </c>
      <c r="Z87" s="128">
        <f t="shared" si="33"/>
        <v>5100</v>
      </c>
      <c r="AA87" s="128">
        <f t="shared" si="83"/>
        <v>23080</v>
      </c>
      <c r="AB87" s="128">
        <f t="shared" si="84"/>
        <v>20520</v>
      </c>
      <c r="AC87" s="129">
        <f t="shared" si="85"/>
        <v>455630</v>
      </c>
      <c r="AD87" s="619">
        <f t="shared" si="66"/>
        <v>2108770</v>
      </c>
    </row>
    <row r="88" spans="1:30" s="24" customFormat="1" ht="16.5" hidden="1" customHeight="1">
      <c r="A88" s="1150"/>
      <c r="B88" s="119"/>
      <c r="C88" s="120"/>
      <c r="D88" s="120"/>
      <c r="E88" s="124" t="s">
        <v>327</v>
      </c>
      <c r="F88" s="126">
        <f>F85</f>
        <v>1940000</v>
      </c>
      <c r="G88" s="126"/>
      <c r="H88" s="126"/>
      <c r="I88" s="126"/>
      <c r="J88" s="126"/>
      <c r="K88" s="126"/>
      <c r="L88" s="126"/>
      <c r="M88" s="126"/>
      <c r="N88" s="126"/>
      <c r="O88" s="126">
        <f t="shared" si="86"/>
        <v>60000</v>
      </c>
      <c r="P88" s="126"/>
      <c r="Q88" s="126">
        <f t="shared" si="88"/>
        <v>15720</v>
      </c>
      <c r="R88" s="126">
        <f t="shared" ref="R88:R95" si="91">Q88*20</f>
        <v>314400</v>
      </c>
      <c r="S88" s="126">
        <f t="shared" si="89"/>
        <v>78600</v>
      </c>
      <c r="T88" s="127">
        <f t="shared" si="87"/>
        <v>250000</v>
      </c>
      <c r="U88" s="122">
        <f t="shared" si="80"/>
        <v>2564400</v>
      </c>
      <c r="V88" s="333"/>
      <c r="W88" s="338">
        <f t="shared" si="90"/>
        <v>213700</v>
      </c>
      <c r="X88" s="128">
        <f t="shared" si="81"/>
        <v>115400</v>
      </c>
      <c r="Y88" s="128">
        <f t="shared" si="82"/>
        <v>77830</v>
      </c>
      <c r="Z88" s="128">
        <f t="shared" si="33"/>
        <v>5100</v>
      </c>
      <c r="AA88" s="128">
        <f t="shared" si="83"/>
        <v>23080</v>
      </c>
      <c r="AB88" s="128">
        <f t="shared" si="84"/>
        <v>20520</v>
      </c>
      <c r="AC88" s="129">
        <f t="shared" si="85"/>
        <v>455630</v>
      </c>
      <c r="AD88" s="619">
        <f t="shared" si="66"/>
        <v>2108770</v>
      </c>
    </row>
    <row r="89" spans="1:30" s="24" customFormat="1" ht="16.5" hidden="1" customHeight="1">
      <c r="A89" s="1150"/>
      <c r="B89" s="119"/>
      <c r="C89" s="120"/>
      <c r="D89" s="120"/>
      <c r="E89" s="124" t="s">
        <v>328</v>
      </c>
      <c r="F89" s="126">
        <f>F85</f>
        <v>1940000</v>
      </c>
      <c r="G89" s="126"/>
      <c r="H89" s="126"/>
      <c r="I89" s="126"/>
      <c r="J89" s="126"/>
      <c r="K89" s="126"/>
      <c r="L89" s="126"/>
      <c r="M89" s="126"/>
      <c r="N89" s="126"/>
      <c r="O89" s="126">
        <f t="shared" si="86"/>
        <v>60000</v>
      </c>
      <c r="P89" s="126"/>
      <c r="Q89" s="126">
        <f t="shared" si="88"/>
        <v>15720</v>
      </c>
      <c r="R89" s="126">
        <f t="shared" si="91"/>
        <v>314400</v>
      </c>
      <c r="S89" s="126">
        <f t="shared" si="89"/>
        <v>78600</v>
      </c>
      <c r="T89" s="127">
        <f t="shared" si="87"/>
        <v>250000</v>
      </c>
      <c r="U89" s="122">
        <f t="shared" si="80"/>
        <v>2564400</v>
      </c>
      <c r="V89" s="333"/>
      <c r="W89" s="338">
        <f t="shared" si="90"/>
        <v>213700</v>
      </c>
      <c r="X89" s="128">
        <f t="shared" si="81"/>
        <v>115400</v>
      </c>
      <c r="Y89" s="128">
        <f t="shared" si="82"/>
        <v>77830</v>
      </c>
      <c r="Z89" s="128">
        <f t="shared" si="33"/>
        <v>5100</v>
      </c>
      <c r="AA89" s="128">
        <f t="shared" si="83"/>
        <v>23080</v>
      </c>
      <c r="AB89" s="128">
        <f t="shared" si="84"/>
        <v>20520</v>
      </c>
      <c r="AC89" s="129">
        <f t="shared" si="85"/>
        <v>455630</v>
      </c>
      <c r="AD89" s="619">
        <f t="shared" si="66"/>
        <v>2108770</v>
      </c>
    </row>
    <row r="90" spans="1:30" s="24" customFormat="1" ht="16.5" hidden="1" customHeight="1">
      <c r="A90" s="1150"/>
      <c r="B90" s="119"/>
      <c r="C90" s="120"/>
      <c r="D90" s="120"/>
      <c r="E90" s="124" t="s">
        <v>329</v>
      </c>
      <c r="F90" s="126">
        <f>F85</f>
        <v>1940000</v>
      </c>
      <c r="G90" s="126"/>
      <c r="H90" s="126"/>
      <c r="I90" s="126"/>
      <c r="J90" s="126"/>
      <c r="K90" s="126"/>
      <c r="L90" s="126"/>
      <c r="M90" s="126"/>
      <c r="N90" s="126"/>
      <c r="O90" s="126">
        <f t="shared" si="86"/>
        <v>60000</v>
      </c>
      <c r="P90" s="126"/>
      <c r="Q90" s="126">
        <f t="shared" si="88"/>
        <v>15720</v>
      </c>
      <c r="R90" s="126">
        <f t="shared" si="91"/>
        <v>314400</v>
      </c>
      <c r="S90" s="126">
        <f t="shared" si="89"/>
        <v>78600</v>
      </c>
      <c r="T90" s="127">
        <f t="shared" si="87"/>
        <v>250000</v>
      </c>
      <c r="U90" s="122">
        <f t="shared" si="80"/>
        <v>2564400</v>
      </c>
      <c r="V90" s="333"/>
      <c r="W90" s="338">
        <f t="shared" si="90"/>
        <v>213700</v>
      </c>
      <c r="X90" s="128">
        <f t="shared" si="81"/>
        <v>115400</v>
      </c>
      <c r="Y90" s="128">
        <f t="shared" si="82"/>
        <v>77830</v>
      </c>
      <c r="Z90" s="128">
        <f t="shared" si="33"/>
        <v>5100</v>
      </c>
      <c r="AA90" s="128">
        <f t="shared" si="83"/>
        <v>23080</v>
      </c>
      <c r="AB90" s="128">
        <f t="shared" si="84"/>
        <v>20520</v>
      </c>
      <c r="AC90" s="129">
        <f t="shared" si="85"/>
        <v>455630</v>
      </c>
      <c r="AD90" s="619">
        <f t="shared" si="66"/>
        <v>2108770</v>
      </c>
    </row>
    <row r="91" spans="1:30" s="24" customFormat="1" ht="16.5" hidden="1" customHeight="1">
      <c r="A91" s="1150"/>
      <c r="B91" s="119"/>
      <c r="C91" s="120"/>
      <c r="D91" s="120"/>
      <c r="E91" s="124" t="s">
        <v>330</v>
      </c>
      <c r="F91" s="127">
        <f>F85</f>
        <v>1940000</v>
      </c>
      <c r="G91" s="126"/>
      <c r="H91" s="125"/>
      <c r="I91" s="127"/>
      <c r="J91" s="126"/>
      <c r="K91" s="126"/>
      <c r="L91" s="126"/>
      <c r="M91" s="126"/>
      <c r="N91" s="126"/>
      <c r="O91" s="126">
        <f t="shared" si="86"/>
        <v>60000</v>
      </c>
      <c r="P91" s="126"/>
      <c r="Q91" s="126">
        <f t="shared" si="88"/>
        <v>15720</v>
      </c>
      <c r="R91" s="126">
        <f t="shared" si="91"/>
        <v>314400</v>
      </c>
      <c r="S91" s="126">
        <f t="shared" si="89"/>
        <v>78600</v>
      </c>
      <c r="T91" s="127">
        <f t="shared" si="87"/>
        <v>250000</v>
      </c>
      <c r="U91" s="122">
        <f t="shared" si="80"/>
        <v>2564400</v>
      </c>
      <c r="V91" s="333"/>
      <c r="W91" s="338">
        <f t="shared" si="90"/>
        <v>213700</v>
      </c>
      <c r="X91" s="128">
        <f t="shared" si="81"/>
        <v>115400</v>
      </c>
      <c r="Y91" s="128">
        <f t="shared" si="82"/>
        <v>77830</v>
      </c>
      <c r="Z91" s="128">
        <f t="shared" si="33"/>
        <v>5100</v>
      </c>
      <c r="AA91" s="128">
        <f t="shared" si="83"/>
        <v>23080</v>
      </c>
      <c r="AB91" s="128">
        <f t="shared" si="84"/>
        <v>20520</v>
      </c>
      <c r="AC91" s="129">
        <f t="shared" si="85"/>
        <v>455630</v>
      </c>
      <c r="AD91" s="619">
        <f t="shared" si="66"/>
        <v>2108770</v>
      </c>
    </row>
    <row r="92" spans="1:30" s="24" customFormat="1" ht="16.5" hidden="1" customHeight="1">
      <c r="A92" s="1150"/>
      <c r="B92" s="119"/>
      <c r="C92" s="120"/>
      <c r="D92" s="120"/>
      <c r="E92" s="124" t="s">
        <v>331</v>
      </c>
      <c r="F92" s="126">
        <f>F85</f>
        <v>1940000</v>
      </c>
      <c r="G92" s="126"/>
      <c r="H92" s="126"/>
      <c r="I92" s="126"/>
      <c r="J92" s="126"/>
      <c r="K92" s="126"/>
      <c r="L92" s="126"/>
      <c r="M92" s="126"/>
      <c r="N92" s="126"/>
      <c r="O92" s="126">
        <f t="shared" si="86"/>
        <v>60000</v>
      </c>
      <c r="P92" s="126"/>
      <c r="Q92" s="126">
        <f t="shared" si="88"/>
        <v>15720</v>
      </c>
      <c r="R92" s="126">
        <f t="shared" si="91"/>
        <v>314400</v>
      </c>
      <c r="S92" s="126">
        <f t="shared" si="89"/>
        <v>78600</v>
      </c>
      <c r="T92" s="127">
        <f t="shared" si="87"/>
        <v>250000</v>
      </c>
      <c r="U92" s="122">
        <f t="shared" si="80"/>
        <v>2564400</v>
      </c>
      <c r="V92" s="333"/>
      <c r="W92" s="338">
        <f t="shared" si="90"/>
        <v>213700</v>
      </c>
      <c r="X92" s="128">
        <f t="shared" si="81"/>
        <v>115400</v>
      </c>
      <c r="Y92" s="128">
        <f t="shared" si="82"/>
        <v>77830</v>
      </c>
      <c r="Z92" s="128">
        <f t="shared" si="33"/>
        <v>5100</v>
      </c>
      <c r="AA92" s="128">
        <f t="shared" si="83"/>
        <v>23080</v>
      </c>
      <c r="AB92" s="128">
        <f t="shared" si="84"/>
        <v>20520</v>
      </c>
      <c r="AC92" s="129">
        <f t="shared" si="85"/>
        <v>455630</v>
      </c>
      <c r="AD92" s="619">
        <f t="shared" si="66"/>
        <v>2108770</v>
      </c>
    </row>
    <row r="93" spans="1:30" s="24" customFormat="1" ht="16.5" hidden="1" customHeight="1">
      <c r="A93" s="1150"/>
      <c r="B93" s="119"/>
      <c r="C93" s="120"/>
      <c r="D93" s="120"/>
      <c r="E93" s="124" t="s">
        <v>62</v>
      </c>
      <c r="F93" s="126">
        <f>F85</f>
        <v>1940000</v>
      </c>
      <c r="G93" s="126"/>
      <c r="H93" s="126"/>
      <c r="I93" s="126"/>
      <c r="J93" s="126"/>
      <c r="K93" s="126"/>
      <c r="L93" s="126"/>
      <c r="M93" s="126">
        <f>F93*60%</f>
        <v>1164000</v>
      </c>
      <c r="N93" s="126"/>
      <c r="O93" s="126">
        <f t="shared" si="86"/>
        <v>60000</v>
      </c>
      <c r="P93" s="126"/>
      <c r="Q93" s="126">
        <f t="shared" si="88"/>
        <v>15720</v>
      </c>
      <c r="R93" s="126">
        <f t="shared" si="91"/>
        <v>314400</v>
      </c>
      <c r="S93" s="126">
        <f t="shared" si="89"/>
        <v>78600</v>
      </c>
      <c r="T93" s="127">
        <f t="shared" si="87"/>
        <v>250000</v>
      </c>
      <c r="U93" s="122">
        <f t="shared" si="80"/>
        <v>3728400</v>
      </c>
      <c r="V93" s="333"/>
      <c r="W93" s="338">
        <f t="shared" si="90"/>
        <v>310700</v>
      </c>
      <c r="X93" s="128">
        <f t="shared" si="81"/>
        <v>167780</v>
      </c>
      <c r="Y93" s="128">
        <f t="shared" si="82"/>
        <v>113160</v>
      </c>
      <c r="Z93" s="128">
        <f t="shared" si="33"/>
        <v>7420</v>
      </c>
      <c r="AA93" s="128">
        <f t="shared" si="83"/>
        <v>33560</v>
      </c>
      <c r="AB93" s="128">
        <f t="shared" si="84"/>
        <v>29830</v>
      </c>
      <c r="AC93" s="129">
        <f t="shared" si="85"/>
        <v>662450</v>
      </c>
      <c r="AD93" s="619">
        <f t="shared" si="66"/>
        <v>3065950</v>
      </c>
    </row>
    <row r="94" spans="1:30" s="24" customFormat="1" ht="16.5" hidden="1" customHeight="1">
      <c r="A94" s="1150"/>
      <c r="B94" s="119"/>
      <c r="C94" s="120"/>
      <c r="D94" s="120"/>
      <c r="E94" s="124" t="s">
        <v>63</v>
      </c>
      <c r="F94" s="126">
        <f>F85</f>
        <v>1940000</v>
      </c>
      <c r="G94" s="126"/>
      <c r="H94" s="126"/>
      <c r="I94" s="126"/>
      <c r="J94" s="126"/>
      <c r="K94" s="126"/>
      <c r="L94" s="126"/>
      <c r="M94" s="126"/>
      <c r="N94" s="126"/>
      <c r="O94" s="126">
        <f t="shared" si="86"/>
        <v>60000</v>
      </c>
      <c r="P94" s="126"/>
      <c r="Q94" s="126">
        <f t="shared" si="88"/>
        <v>15720</v>
      </c>
      <c r="R94" s="126">
        <f t="shared" si="91"/>
        <v>314400</v>
      </c>
      <c r="S94" s="126">
        <f t="shared" si="89"/>
        <v>78600</v>
      </c>
      <c r="T94" s="127">
        <f t="shared" si="87"/>
        <v>250000</v>
      </c>
      <c r="U94" s="122">
        <f t="shared" si="80"/>
        <v>2564400</v>
      </c>
      <c r="V94" s="333"/>
      <c r="W94" s="338">
        <f t="shared" si="90"/>
        <v>213700</v>
      </c>
      <c r="X94" s="128">
        <f t="shared" si="81"/>
        <v>115400</v>
      </c>
      <c r="Y94" s="128">
        <f t="shared" si="82"/>
        <v>77830</v>
      </c>
      <c r="Z94" s="128">
        <f t="shared" si="33"/>
        <v>5100</v>
      </c>
      <c r="AA94" s="128">
        <f t="shared" si="83"/>
        <v>23080</v>
      </c>
      <c r="AB94" s="128">
        <f t="shared" si="84"/>
        <v>20520</v>
      </c>
      <c r="AC94" s="129">
        <f t="shared" si="85"/>
        <v>455630</v>
      </c>
      <c r="AD94" s="619">
        <f t="shared" si="66"/>
        <v>2108770</v>
      </c>
    </row>
    <row r="95" spans="1:30" s="24" customFormat="1" ht="16.5" hidden="1" customHeight="1">
      <c r="A95" s="1150"/>
      <c r="B95" s="119"/>
      <c r="C95" s="120">
        <v>8</v>
      </c>
      <c r="D95" s="120"/>
      <c r="E95" s="124" t="s">
        <v>64</v>
      </c>
      <c r="F95" s="591">
        <v>2004000</v>
      </c>
      <c r="G95" s="126"/>
      <c r="H95" s="126"/>
      <c r="I95" s="126"/>
      <c r="J95" s="126"/>
      <c r="K95" s="126"/>
      <c r="L95" s="126"/>
      <c r="M95" s="126"/>
      <c r="N95" s="126"/>
      <c r="O95" s="126">
        <f t="shared" si="86"/>
        <v>60000</v>
      </c>
      <c r="P95" s="126"/>
      <c r="Q95" s="126">
        <f t="shared" si="88"/>
        <v>15720</v>
      </c>
      <c r="R95" s="126">
        <f t="shared" si="91"/>
        <v>314400</v>
      </c>
      <c r="S95" s="126">
        <f t="shared" si="89"/>
        <v>78600</v>
      </c>
      <c r="T95" s="127">
        <v>250000</v>
      </c>
      <c r="U95" s="122">
        <f t="shared" si="80"/>
        <v>2628400</v>
      </c>
      <c r="V95" s="333"/>
      <c r="W95" s="338">
        <f t="shared" si="90"/>
        <v>219040</v>
      </c>
      <c r="X95" s="128">
        <f t="shared" si="81"/>
        <v>118280</v>
      </c>
      <c r="Y95" s="128">
        <f t="shared" si="82"/>
        <v>79780</v>
      </c>
      <c r="Z95" s="128">
        <f t="shared" si="33"/>
        <v>5230</v>
      </c>
      <c r="AA95" s="128">
        <f t="shared" si="83"/>
        <v>23660</v>
      </c>
      <c r="AB95" s="128">
        <f t="shared" si="84"/>
        <v>21030</v>
      </c>
      <c r="AC95" s="129">
        <f t="shared" si="85"/>
        <v>467020</v>
      </c>
      <c r="AD95" s="619">
        <f t="shared" si="66"/>
        <v>2161380</v>
      </c>
    </row>
    <row r="96" spans="1:30" s="24" customFormat="1" ht="16.5" hidden="1" customHeight="1">
      <c r="A96" s="1150"/>
      <c r="B96" s="119"/>
      <c r="C96" s="120"/>
      <c r="D96" s="120"/>
      <c r="E96" s="124" t="s">
        <v>332</v>
      </c>
      <c r="F96" s="126">
        <f>F95</f>
        <v>2004000</v>
      </c>
      <c r="G96" s="126"/>
      <c r="H96" s="126"/>
      <c r="I96" s="126"/>
      <c r="J96" s="126"/>
      <c r="K96" s="126"/>
      <c r="L96" s="126"/>
      <c r="M96" s="126"/>
      <c r="N96" s="126"/>
      <c r="O96" s="126">
        <f t="shared" si="86"/>
        <v>60000</v>
      </c>
      <c r="P96" s="126"/>
      <c r="Q96" s="126">
        <f t="shared" si="88"/>
        <v>16180</v>
      </c>
      <c r="R96" s="126">
        <f>Q96*20*2</f>
        <v>647200</v>
      </c>
      <c r="S96" s="126">
        <f t="shared" si="89"/>
        <v>80900</v>
      </c>
      <c r="T96" s="127">
        <f t="shared" si="87"/>
        <v>250000</v>
      </c>
      <c r="U96" s="122">
        <f t="shared" si="80"/>
        <v>2961200</v>
      </c>
      <c r="V96" s="333"/>
      <c r="W96" s="338">
        <f t="shared" si="90"/>
        <v>246770</v>
      </c>
      <c r="X96" s="128">
        <f t="shared" si="81"/>
        <v>133250</v>
      </c>
      <c r="Y96" s="128">
        <f t="shared" si="82"/>
        <v>89880</v>
      </c>
      <c r="Z96" s="128">
        <f t="shared" si="33"/>
        <v>5890</v>
      </c>
      <c r="AA96" s="128">
        <f t="shared" si="83"/>
        <v>26650</v>
      </c>
      <c r="AB96" s="128">
        <f t="shared" si="84"/>
        <v>23690</v>
      </c>
      <c r="AC96" s="129">
        <f t="shared" si="85"/>
        <v>526130</v>
      </c>
      <c r="AD96" s="619">
        <f t="shared" si="66"/>
        <v>2435070</v>
      </c>
    </row>
    <row r="97" spans="1:30" s="24" customFormat="1" ht="17.25" customHeight="1">
      <c r="A97" s="1150">
        <v>8</v>
      </c>
      <c r="B97" s="664" t="s">
        <v>947</v>
      </c>
      <c r="C97" s="120" t="s">
        <v>662</v>
      </c>
      <c r="D97" s="120">
        <v>1</v>
      </c>
      <c r="E97" s="121" t="s">
        <v>94</v>
      </c>
      <c r="F97" s="122">
        <f t="shared" ref="F97:L97" si="92">SUM(F98:F109)</f>
        <v>26928000</v>
      </c>
      <c r="G97" s="122">
        <f t="shared" si="92"/>
        <v>0</v>
      </c>
      <c r="H97" s="122">
        <f t="shared" si="92"/>
        <v>0</v>
      </c>
      <c r="I97" s="122">
        <f t="shared" si="92"/>
        <v>0</v>
      </c>
      <c r="J97" s="122">
        <f t="shared" si="92"/>
        <v>0</v>
      </c>
      <c r="K97" s="122">
        <f t="shared" si="92"/>
        <v>0</v>
      </c>
      <c r="L97" s="122">
        <f t="shared" si="92"/>
        <v>0</v>
      </c>
      <c r="M97" s="122">
        <f>SUM(M98:M109)</f>
        <v>2709600</v>
      </c>
      <c r="N97" s="122">
        <f>SUM(N98:N109)</f>
        <v>0</v>
      </c>
      <c r="O97" s="122">
        <f>SUM(O98:O109)</f>
        <v>480000</v>
      </c>
      <c r="P97" s="122"/>
      <c r="Q97" s="122"/>
      <c r="R97" s="122">
        <f>SUM(R98:R109)</f>
        <v>4296000</v>
      </c>
      <c r="S97" s="122">
        <f>SUM(S98:S109)</f>
        <v>1074000</v>
      </c>
      <c r="T97" s="122">
        <f>SUM(T98:T109)</f>
        <v>3000000</v>
      </c>
      <c r="U97" s="122">
        <f>SUM(U98:U109)</f>
        <v>37413600</v>
      </c>
      <c r="V97" s="333"/>
      <c r="W97" s="350">
        <f t="shared" ref="W97:AB97" si="93">SUM(W98:W109)</f>
        <v>3138710</v>
      </c>
      <c r="X97" s="122">
        <f t="shared" si="93"/>
        <v>1683610</v>
      </c>
      <c r="Y97" s="122">
        <f t="shared" si="93"/>
        <v>1135590</v>
      </c>
      <c r="Z97" s="122">
        <f t="shared" si="93"/>
        <v>74430</v>
      </c>
      <c r="AA97" s="122">
        <f t="shared" si="93"/>
        <v>336720</v>
      </c>
      <c r="AB97" s="122">
        <f t="shared" si="93"/>
        <v>299320</v>
      </c>
      <c r="AC97" s="123">
        <f>SUM(AC98:AC109)</f>
        <v>6668380</v>
      </c>
      <c r="AD97" s="618">
        <f t="shared" ref="AD97:AD109" si="94">U97-AC97</f>
        <v>30745220</v>
      </c>
    </row>
    <row r="98" spans="1:30" s="24" customFormat="1" ht="17.25" hidden="1" customHeight="1">
      <c r="A98" s="1150"/>
      <c r="B98" s="119" t="s">
        <v>528</v>
      </c>
      <c r="C98" s="120">
        <v>9</v>
      </c>
      <c r="D98" s="120"/>
      <c r="E98" s="124" t="s">
        <v>324</v>
      </c>
      <c r="F98" s="125">
        <v>2216000</v>
      </c>
      <c r="G98" s="126"/>
      <c r="H98" s="125"/>
      <c r="I98" s="127"/>
      <c r="J98" s="126"/>
      <c r="K98" s="126"/>
      <c r="L98" s="126"/>
      <c r="M98" s="126"/>
      <c r="N98" s="126"/>
      <c r="O98" s="126">
        <v>40000</v>
      </c>
      <c r="P98" s="126"/>
      <c r="Q98" s="126"/>
      <c r="R98" s="126"/>
      <c r="S98" s="126"/>
      <c r="T98" s="127">
        <v>250000</v>
      </c>
      <c r="U98" s="122">
        <f>SUM(F98,M98,O98,R98,T98)</f>
        <v>2506000</v>
      </c>
      <c r="V98" s="333"/>
      <c r="W98" s="338">
        <f>ROUNDUP(U98*1/12,-1)</f>
        <v>208840</v>
      </c>
      <c r="X98" s="128">
        <f t="shared" ref="X98:X109" si="95">ROUND(U98*4.5%,-1)</f>
        <v>112770</v>
      </c>
      <c r="Y98" s="128">
        <f t="shared" ref="Y98:Y109" si="96">ROUNDUP((U98-L98)*3.035%,-1)</f>
        <v>76060</v>
      </c>
      <c r="Z98" s="128">
        <f t="shared" ref="Z98:Z161" si="97">ROUNDUP(Y98*6.55%,-1)</f>
        <v>4990</v>
      </c>
      <c r="AA98" s="128">
        <f t="shared" ref="AA98:AA109" si="98">ROUND(U98*0.9%,-1)</f>
        <v>22550</v>
      </c>
      <c r="AB98" s="128">
        <f t="shared" ref="AB98:AB109" si="99">ROUND(U98*0.8%,-1)</f>
        <v>20050</v>
      </c>
      <c r="AC98" s="129">
        <f t="shared" ref="AC98:AC109" si="100">SUM(W98:AB98)</f>
        <v>445260</v>
      </c>
      <c r="AD98" s="619">
        <f t="shared" si="94"/>
        <v>2060740</v>
      </c>
    </row>
    <row r="99" spans="1:30" s="24" customFormat="1" ht="17.25" hidden="1" customHeight="1">
      <c r="A99" s="1150"/>
      <c r="B99" s="119"/>
      <c r="C99" s="120"/>
      <c r="D99" s="120"/>
      <c r="E99" s="124" t="s">
        <v>325</v>
      </c>
      <c r="F99" s="126">
        <f>F98</f>
        <v>2216000</v>
      </c>
      <c r="G99" s="126"/>
      <c r="H99" s="126"/>
      <c r="I99" s="126"/>
      <c r="J99" s="126"/>
      <c r="K99" s="126"/>
      <c r="L99" s="126"/>
      <c r="M99" s="126">
        <f>F99*60%</f>
        <v>1329600</v>
      </c>
      <c r="N99" s="126"/>
      <c r="O99" s="126">
        <f>O98</f>
        <v>40000</v>
      </c>
      <c r="P99" s="126"/>
      <c r="Q99" s="126">
        <f t="shared" ref="Q99:Q109" si="101">ROUND((F98+T98)*1/209*1.5,-1)</f>
        <v>17700</v>
      </c>
      <c r="R99" s="126">
        <f>Q99*20</f>
        <v>354000</v>
      </c>
      <c r="S99" s="126">
        <f>Q99*5</f>
        <v>88500</v>
      </c>
      <c r="T99" s="127">
        <f t="shared" ref="T99:T109" si="102">T98</f>
        <v>250000</v>
      </c>
      <c r="U99" s="122">
        <f t="shared" si="80"/>
        <v>4189600</v>
      </c>
      <c r="V99" s="333"/>
      <c r="W99" s="338">
        <f>ROUNDUP((T99+U99)*1/12,-1)</f>
        <v>369970</v>
      </c>
      <c r="X99" s="128">
        <f t="shared" si="95"/>
        <v>188530</v>
      </c>
      <c r="Y99" s="128">
        <f t="shared" si="96"/>
        <v>127160</v>
      </c>
      <c r="Z99" s="128">
        <f t="shared" si="97"/>
        <v>8330</v>
      </c>
      <c r="AA99" s="128">
        <f t="shared" si="98"/>
        <v>37710</v>
      </c>
      <c r="AB99" s="128">
        <f t="shared" si="99"/>
        <v>33520</v>
      </c>
      <c r="AC99" s="129">
        <f t="shared" si="100"/>
        <v>765220</v>
      </c>
      <c r="AD99" s="619">
        <f t="shared" si="94"/>
        <v>3424380</v>
      </c>
    </row>
    <row r="100" spans="1:30" s="24" customFormat="1" ht="17.25" hidden="1" customHeight="1">
      <c r="A100" s="1150"/>
      <c r="B100" s="119"/>
      <c r="C100" s="120"/>
      <c r="D100" s="120"/>
      <c r="E100" s="124" t="s">
        <v>326</v>
      </c>
      <c r="F100" s="126">
        <f>F98</f>
        <v>2216000</v>
      </c>
      <c r="G100" s="126"/>
      <c r="H100" s="126"/>
      <c r="I100" s="126"/>
      <c r="J100" s="126"/>
      <c r="K100" s="126"/>
      <c r="L100" s="126"/>
      <c r="M100" s="126"/>
      <c r="N100" s="126"/>
      <c r="O100" s="126">
        <f t="shared" ref="O100:O109" si="103">O99</f>
        <v>40000</v>
      </c>
      <c r="P100" s="126"/>
      <c r="Q100" s="126">
        <f t="shared" si="101"/>
        <v>17700</v>
      </c>
      <c r="R100" s="126">
        <f>Q100*20</f>
        <v>354000</v>
      </c>
      <c r="S100" s="126">
        <f t="shared" ref="S100:S108" si="104">Q100*5</f>
        <v>88500</v>
      </c>
      <c r="T100" s="127">
        <f t="shared" si="102"/>
        <v>250000</v>
      </c>
      <c r="U100" s="122">
        <f t="shared" si="80"/>
        <v>2860000</v>
      </c>
      <c r="V100" s="333"/>
      <c r="W100" s="338">
        <f t="shared" ref="W100:W109" si="105">ROUNDUP(U100*1/12,-1)</f>
        <v>238340</v>
      </c>
      <c r="X100" s="128">
        <f t="shared" si="95"/>
        <v>128700</v>
      </c>
      <c r="Y100" s="128">
        <f t="shared" si="96"/>
        <v>86810</v>
      </c>
      <c r="Z100" s="128">
        <f t="shared" si="97"/>
        <v>5690</v>
      </c>
      <c r="AA100" s="128">
        <f t="shared" si="98"/>
        <v>25740</v>
      </c>
      <c r="AB100" s="128">
        <f t="shared" si="99"/>
        <v>22880</v>
      </c>
      <c r="AC100" s="129">
        <f t="shared" si="100"/>
        <v>508160</v>
      </c>
      <c r="AD100" s="619">
        <f t="shared" si="94"/>
        <v>2351840</v>
      </c>
    </row>
    <row r="101" spans="1:30" s="24" customFormat="1" ht="17.25" hidden="1" customHeight="1">
      <c r="A101" s="1150"/>
      <c r="B101" s="119"/>
      <c r="C101" s="120"/>
      <c r="D101" s="120"/>
      <c r="E101" s="124" t="s">
        <v>327</v>
      </c>
      <c r="F101" s="126">
        <f>F98</f>
        <v>2216000</v>
      </c>
      <c r="G101" s="126"/>
      <c r="H101" s="126"/>
      <c r="I101" s="126"/>
      <c r="J101" s="126"/>
      <c r="K101" s="126"/>
      <c r="L101" s="126"/>
      <c r="M101" s="126"/>
      <c r="N101" s="126"/>
      <c r="O101" s="126">
        <f t="shared" si="103"/>
        <v>40000</v>
      </c>
      <c r="P101" s="126"/>
      <c r="Q101" s="126">
        <f t="shared" si="101"/>
        <v>17700</v>
      </c>
      <c r="R101" s="126">
        <f t="shared" ref="R101:R108" si="106">Q101*20</f>
        <v>354000</v>
      </c>
      <c r="S101" s="126">
        <f t="shared" si="104"/>
        <v>88500</v>
      </c>
      <c r="T101" s="127">
        <f t="shared" si="102"/>
        <v>250000</v>
      </c>
      <c r="U101" s="122">
        <f t="shared" si="80"/>
        <v>2860000</v>
      </c>
      <c r="V101" s="333"/>
      <c r="W101" s="338">
        <f t="shared" si="105"/>
        <v>238340</v>
      </c>
      <c r="X101" s="128">
        <f t="shared" si="95"/>
        <v>128700</v>
      </c>
      <c r="Y101" s="128">
        <f t="shared" si="96"/>
        <v>86810</v>
      </c>
      <c r="Z101" s="128">
        <f t="shared" si="97"/>
        <v>5690</v>
      </c>
      <c r="AA101" s="128">
        <f t="shared" si="98"/>
        <v>25740</v>
      </c>
      <c r="AB101" s="128">
        <f t="shared" si="99"/>
        <v>22880</v>
      </c>
      <c r="AC101" s="129">
        <f t="shared" si="100"/>
        <v>508160</v>
      </c>
      <c r="AD101" s="619">
        <f t="shared" si="94"/>
        <v>2351840</v>
      </c>
    </row>
    <row r="102" spans="1:30" s="24" customFormat="1" ht="17.25" hidden="1" customHeight="1">
      <c r="A102" s="1150"/>
      <c r="B102" s="119"/>
      <c r="C102" s="120"/>
      <c r="D102" s="120"/>
      <c r="E102" s="124" t="s">
        <v>328</v>
      </c>
      <c r="F102" s="126">
        <f>F98</f>
        <v>2216000</v>
      </c>
      <c r="G102" s="126"/>
      <c r="H102" s="126"/>
      <c r="I102" s="126"/>
      <c r="J102" s="126"/>
      <c r="K102" s="126"/>
      <c r="L102" s="126"/>
      <c r="M102" s="126"/>
      <c r="N102" s="126"/>
      <c r="O102" s="126">
        <f t="shared" si="103"/>
        <v>40000</v>
      </c>
      <c r="P102" s="126"/>
      <c r="Q102" s="126">
        <f t="shared" si="101"/>
        <v>17700</v>
      </c>
      <c r="R102" s="126">
        <f t="shared" si="106"/>
        <v>354000</v>
      </c>
      <c r="S102" s="126">
        <f t="shared" si="104"/>
        <v>88500</v>
      </c>
      <c r="T102" s="127">
        <f t="shared" si="102"/>
        <v>250000</v>
      </c>
      <c r="U102" s="122">
        <f t="shared" si="80"/>
        <v>2860000</v>
      </c>
      <c r="V102" s="333"/>
      <c r="W102" s="338">
        <f t="shared" si="105"/>
        <v>238340</v>
      </c>
      <c r="X102" s="128">
        <f t="shared" si="95"/>
        <v>128700</v>
      </c>
      <c r="Y102" s="128">
        <f t="shared" si="96"/>
        <v>86810</v>
      </c>
      <c r="Z102" s="128">
        <f t="shared" si="97"/>
        <v>5690</v>
      </c>
      <c r="AA102" s="128">
        <f t="shared" si="98"/>
        <v>25740</v>
      </c>
      <c r="AB102" s="128">
        <f t="shared" si="99"/>
        <v>22880</v>
      </c>
      <c r="AC102" s="129">
        <f t="shared" si="100"/>
        <v>508160</v>
      </c>
      <c r="AD102" s="619">
        <f t="shared" si="94"/>
        <v>2351840</v>
      </c>
    </row>
    <row r="103" spans="1:30" s="24" customFormat="1" ht="17.25" hidden="1" customHeight="1">
      <c r="A103" s="1150"/>
      <c r="B103" s="119"/>
      <c r="C103" s="120"/>
      <c r="D103" s="120"/>
      <c r="E103" s="124" t="s">
        <v>329</v>
      </c>
      <c r="F103" s="126">
        <f>F98</f>
        <v>2216000</v>
      </c>
      <c r="G103" s="126"/>
      <c r="H103" s="126"/>
      <c r="I103" s="126"/>
      <c r="J103" s="126"/>
      <c r="K103" s="126"/>
      <c r="L103" s="126"/>
      <c r="M103" s="126"/>
      <c r="N103" s="126"/>
      <c r="O103" s="126">
        <f t="shared" si="103"/>
        <v>40000</v>
      </c>
      <c r="P103" s="126"/>
      <c r="Q103" s="126">
        <f t="shared" si="101"/>
        <v>17700</v>
      </c>
      <c r="R103" s="126">
        <f t="shared" si="106"/>
        <v>354000</v>
      </c>
      <c r="S103" s="126">
        <f t="shared" si="104"/>
        <v>88500</v>
      </c>
      <c r="T103" s="127">
        <f t="shared" si="102"/>
        <v>250000</v>
      </c>
      <c r="U103" s="122">
        <f t="shared" si="80"/>
        <v>2860000</v>
      </c>
      <c r="V103" s="333"/>
      <c r="W103" s="338">
        <f t="shared" si="105"/>
        <v>238340</v>
      </c>
      <c r="X103" s="128">
        <f t="shared" si="95"/>
        <v>128700</v>
      </c>
      <c r="Y103" s="128">
        <f t="shared" si="96"/>
        <v>86810</v>
      </c>
      <c r="Z103" s="128">
        <f t="shared" si="97"/>
        <v>5690</v>
      </c>
      <c r="AA103" s="128">
        <f t="shared" si="98"/>
        <v>25740</v>
      </c>
      <c r="AB103" s="128">
        <f t="shared" si="99"/>
        <v>22880</v>
      </c>
      <c r="AC103" s="129">
        <f t="shared" si="100"/>
        <v>508160</v>
      </c>
      <c r="AD103" s="619">
        <f t="shared" si="94"/>
        <v>2351840</v>
      </c>
    </row>
    <row r="104" spans="1:30" s="24" customFormat="1" ht="17.25" hidden="1" customHeight="1">
      <c r="A104" s="1150"/>
      <c r="B104" s="119"/>
      <c r="C104" s="120"/>
      <c r="D104" s="120"/>
      <c r="E104" s="124" t="s">
        <v>330</v>
      </c>
      <c r="F104" s="128">
        <f>F103</f>
        <v>2216000</v>
      </c>
      <c r="G104" s="126"/>
      <c r="H104" s="125"/>
      <c r="I104" s="127"/>
      <c r="J104" s="126"/>
      <c r="K104" s="126"/>
      <c r="L104" s="126"/>
      <c r="M104" s="126"/>
      <c r="N104" s="126"/>
      <c r="O104" s="126">
        <f t="shared" si="103"/>
        <v>40000</v>
      </c>
      <c r="P104" s="126"/>
      <c r="Q104" s="126">
        <f t="shared" si="101"/>
        <v>17700</v>
      </c>
      <c r="R104" s="126">
        <f t="shared" si="106"/>
        <v>354000</v>
      </c>
      <c r="S104" s="126">
        <f t="shared" si="104"/>
        <v>88500</v>
      </c>
      <c r="T104" s="127">
        <f t="shared" si="102"/>
        <v>250000</v>
      </c>
      <c r="U104" s="122">
        <f t="shared" si="80"/>
        <v>2860000</v>
      </c>
      <c r="V104" s="333"/>
      <c r="W104" s="338">
        <f t="shared" si="105"/>
        <v>238340</v>
      </c>
      <c r="X104" s="128">
        <f t="shared" si="95"/>
        <v>128700</v>
      </c>
      <c r="Y104" s="128">
        <f t="shared" si="96"/>
        <v>86810</v>
      </c>
      <c r="Z104" s="128">
        <f t="shared" si="97"/>
        <v>5690</v>
      </c>
      <c r="AA104" s="128">
        <f t="shared" si="98"/>
        <v>25740</v>
      </c>
      <c r="AB104" s="128">
        <f t="shared" si="99"/>
        <v>22880</v>
      </c>
      <c r="AC104" s="129">
        <f t="shared" si="100"/>
        <v>508160</v>
      </c>
      <c r="AD104" s="619">
        <f t="shared" si="94"/>
        <v>2351840</v>
      </c>
    </row>
    <row r="105" spans="1:30" s="24" customFormat="1" ht="17.25" hidden="1" customHeight="1">
      <c r="A105" s="1150"/>
      <c r="B105" s="119"/>
      <c r="C105" s="120"/>
      <c r="D105" s="120"/>
      <c r="E105" s="124" t="s">
        <v>331</v>
      </c>
      <c r="F105" s="126">
        <f>F104</f>
        <v>2216000</v>
      </c>
      <c r="G105" s="126"/>
      <c r="H105" s="126"/>
      <c r="I105" s="126"/>
      <c r="J105" s="126"/>
      <c r="K105" s="126"/>
      <c r="L105" s="126"/>
      <c r="M105" s="126"/>
      <c r="N105" s="126"/>
      <c r="O105" s="126">
        <f t="shared" si="103"/>
        <v>40000</v>
      </c>
      <c r="P105" s="126"/>
      <c r="Q105" s="126">
        <f t="shared" si="101"/>
        <v>17700</v>
      </c>
      <c r="R105" s="126">
        <f t="shared" si="106"/>
        <v>354000</v>
      </c>
      <c r="S105" s="126">
        <f t="shared" si="104"/>
        <v>88500</v>
      </c>
      <c r="T105" s="127">
        <f t="shared" si="102"/>
        <v>250000</v>
      </c>
      <c r="U105" s="122">
        <f t="shared" si="80"/>
        <v>2860000</v>
      </c>
      <c r="V105" s="333"/>
      <c r="W105" s="338">
        <f t="shared" si="105"/>
        <v>238340</v>
      </c>
      <c r="X105" s="128">
        <f t="shared" si="95"/>
        <v>128700</v>
      </c>
      <c r="Y105" s="128">
        <f t="shared" si="96"/>
        <v>86810</v>
      </c>
      <c r="Z105" s="128">
        <f t="shared" si="97"/>
        <v>5690</v>
      </c>
      <c r="AA105" s="128">
        <f t="shared" si="98"/>
        <v>25740</v>
      </c>
      <c r="AB105" s="128">
        <f t="shared" si="99"/>
        <v>22880</v>
      </c>
      <c r="AC105" s="129">
        <f t="shared" si="100"/>
        <v>508160</v>
      </c>
      <c r="AD105" s="619">
        <f t="shared" si="94"/>
        <v>2351840</v>
      </c>
    </row>
    <row r="106" spans="1:30" s="24" customFormat="1" ht="17.25" hidden="1" customHeight="1">
      <c r="A106" s="1150"/>
      <c r="B106" s="119"/>
      <c r="C106" s="120">
        <v>10</v>
      </c>
      <c r="D106" s="120"/>
      <c r="E106" s="124" t="s">
        <v>62</v>
      </c>
      <c r="F106" s="591">
        <v>2300000</v>
      </c>
      <c r="G106" s="126"/>
      <c r="H106" s="126"/>
      <c r="I106" s="126"/>
      <c r="J106" s="126"/>
      <c r="K106" s="126"/>
      <c r="L106" s="126"/>
      <c r="M106" s="126">
        <f>F106*60%</f>
        <v>1380000</v>
      </c>
      <c r="N106" s="126"/>
      <c r="O106" s="126">
        <f t="shared" si="103"/>
        <v>40000</v>
      </c>
      <c r="P106" s="126"/>
      <c r="Q106" s="126">
        <f t="shared" si="101"/>
        <v>17700</v>
      </c>
      <c r="R106" s="126">
        <f t="shared" si="106"/>
        <v>354000</v>
      </c>
      <c r="S106" s="126">
        <f t="shared" si="104"/>
        <v>88500</v>
      </c>
      <c r="T106" s="127">
        <f t="shared" si="102"/>
        <v>250000</v>
      </c>
      <c r="U106" s="122">
        <f t="shared" si="80"/>
        <v>4324000</v>
      </c>
      <c r="V106" s="333"/>
      <c r="W106" s="338">
        <f t="shared" si="105"/>
        <v>360340</v>
      </c>
      <c r="X106" s="128">
        <f t="shared" si="95"/>
        <v>194580</v>
      </c>
      <c r="Y106" s="128">
        <f t="shared" si="96"/>
        <v>131240</v>
      </c>
      <c r="Z106" s="128">
        <f t="shared" si="97"/>
        <v>8600</v>
      </c>
      <c r="AA106" s="128">
        <f t="shared" si="98"/>
        <v>38920</v>
      </c>
      <c r="AB106" s="128">
        <f t="shared" si="99"/>
        <v>34590</v>
      </c>
      <c r="AC106" s="129">
        <f t="shared" si="100"/>
        <v>768270</v>
      </c>
      <c r="AD106" s="619">
        <f t="shared" si="94"/>
        <v>3555730</v>
      </c>
    </row>
    <row r="107" spans="1:30" s="24" customFormat="1" ht="17.25" hidden="1" customHeight="1">
      <c r="A107" s="1150"/>
      <c r="B107" s="119"/>
      <c r="C107" s="120"/>
      <c r="D107" s="120"/>
      <c r="E107" s="124" t="s">
        <v>63</v>
      </c>
      <c r="F107" s="590">
        <f>F106</f>
        <v>2300000</v>
      </c>
      <c r="G107" s="126"/>
      <c r="H107" s="126"/>
      <c r="I107" s="125"/>
      <c r="J107" s="126"/>
      <c r="K107" s="126"/>
      <c r="L107" s="126"/>
      <c r="M107" s="126"/>
      <c r="N107" s="126"/>
      <c r="O107" s="126">
        <f t="shared" si="103"/>
        <v>40000</v>
      </c>
      <c r="P107" s="126"/>
      <c r="Q107" s="126">
        <f t="shared" si="101"/>
        <v>18300</v>
      </c>
      <c r="R107" s="126">
        <f t="shared" si="106"/>
        <v>366000</v>
      </c>
      <c r="S107" s="126">
        <f t="shared" si="104"/>
        <v>91500</v>
      </c>
      <c r="T107" s="127">
        <v>250000</v>
      </c>
      <c r="U107" s="122">
        <f t="shared" si="80"/>
        <v>2956000</v>
      </c>
      <c r="V107" s="333"/>
      <c r="W107" s="338">
        <f t="shared" si="105"/>
        <v>246340</v>
      </c>
      <c r="X107" s="128">
        <f t="shared" si="95"/>
        <v>133020</v>
      </c>
      <c r="Y107" s="128">
        <f t="shared" si="96"/>
        <v>89720</v>
      </c>
      <c r="Z107" s="128">
        <f t="shared" si="97"/>
        <v>5880</v>
      </c>
      <c r="AA107" s="128">
        <f t="shared" si="98"/>
        <v>26600</v>
      </c>
      <c r="AB107" s="128">
        <f t="shared" si="99"/>
        <v>23650</v>
      </c>
      <c r="AC107" s="129">
        <f t="shared" si="100"/>
        <v>525210</v>
      </c>
      <c r="AD107" s="619">
        <f t="shared" si="94"/>
        <v>2430790</v>
      </c>
    </row>
    <row r="108" spans="1:30" s="24" customFormat="1" ht="17.25" hidden="1" customHeight="1">
      <c r="A108" s="1150"/>
      <c r="B108" s="119"/>
      <c r="C108" s="120"/>
      <c r="D108" s="120"/>
      <c r="E108" s="124" t="s">
        <v>64</v>
      </c>
      <c r="F108" s="126">
        <f>F107</f>
        <v>2300000</v>
      </c>
      <c r="G108" s="126"/>
      <c r="H108" s="126"/>
      <c r="I108" s="125"/>
      <c r="J108" s="126"/>
      <c r="K108" s="126"/>
      <c r="L108" s="126"/>
      <c r="M108" s="126"/>
      <c r="N108" s="126"/>
      <c r="O108" s="126">
        <f t="shared" si="103"/>
        <v>40000</v>
      </c>
      <c r="P108" s="126"/>
      <c r="Q108" s="126">
        <f t="shared" si="101"/>
        <v>18300</v>
      </c>
      <c r="R108" s="126">
        <f t="shared" si="106"/>
        <v>366000</v>
      </c>
      <c r="S108" s="126">
        <f t="shared" si="104"/>
        <v>91500</v>
      </c>
      <c r="T108" s="127">
        <f t="shared" si="102"/>
        <v>250000</v>
      </c>
      <c r="U108" s="122">
        <f t="shared" si="80"/>
        <v>2956000</v>
      </c>
      <c r="V108" s="333"/>
      <c r="W108" s="338">
        <f t="shared" si="105"/>
        <v>246340</v>
      </c>
      <c r="X108" s="128">
        <f t="shared" si="95"/>
        <v>133020</v>
      </c>
      <c r="Y108" s="128">
        <f t="shared" si="96"/>
        <v>89720</v>
      </c>
      <c r="Z108" s="128">
        <f t="shared" si="97"/>
        <v>5880</v>
      </c>
      <c r="AA108" s="128">
        <f t="shared" si="98"/>
        <v>26600</v>
      </c>
      <c r="AB108" s="128">
        <f t="shared" si="99"/>
        <v>23650</v>
      </c>
      <c r="AC108" s="129">
        <f t="shared" si="100"/>
        <v>525210</v>
      </c>
      <c r="AD108" s="619">
        <f t="shared" si="94"/>
        <v>2430790</v>
      </c>
    </row>
    <row r="109" spans="1:30" s="24" customFormat="1" ht="17.25" hidden="1" customHeight="1">
      <c r="A109" s="1150"/>
      <c r="B109" s="119"/>
      <c r="C109" s="120"/>
      <c r="D109" s="120"/>
      <c r="E109" s="124" t="s">
        <v>332</v>
      </c>
      <c r="F109" s="126">
        <f>F108</f>
        <v>2300000</v>
      </c>
      <c r="G109" s="126"/>
      <c r="H109" s="126"/>
      <c r="I109" s="125"/>
      <c r="J109" s="126"/>
      <c r="K109" s="126"/>
      <c r="L109" s="126"/>
      <c r="M109" s="126"/>
      <c r="N109" s="126"/>
      <c r="O109" s="126">
        <f t="shared" si="103"/>
        <v>40000</v>
      </c>
      <c r="P109" s="126"/>
      <c r="Q109" s="126">
        <f t="shared" si="101"/>
        <v>18300</v>
      </c>
      <c r="R109" s="126">
        <f>Q109*20*2</f>
        <v>732000</v>
      </c>
      <c r="S109" s="126">
        <f>(Q109*5)*2</f>
        <v>183000</v>
      </c>
      <c r="T109" s="127">
        <f t="shared" si="102"/>
        <v>250000</v>
      </c>
      <c r="U109" s="122">
        <f t="shared" si="80"/>
        <v>3322000</v>
      </c>
      <c r="V109" s="333"/>
      <c r="W109" s="338">
        <f t="shared" si="105"/>
        <v>276840</v>
      </c>
      <c r="X109" s="128">
        <f t="shared" si="95"/>
        <v>149490</v>
      </c>
      <c r="Y109" s="128">
        <f t="shared" si="96"/>
        <v>100830</v>
      </c>
      <c r="Z109" s="128">
        <f t="shared" si="97"/>
        <v>6610</v>
      </c>
      <c r="AA109" s="128">
        <f t="shared" si="98"/>
        <v>29900</v>
      </c>
      <c r="AB109" s="128">
        <f t="shared" si="99"/>
        <v>26580</v>
      </c>
      <c r="AC109" s="129">
        <f t="shared" si="100"/>
        <v>590250</v>
      </c>
      <c r="AD109" s="619">
        <f t="shared" si="94"/>
        <v>2731750</v>
      </c>
    </row>
    <row r="110" spans="1:30" s="24" customFormat="1" ht="16.5" customHeight="1">
      <c r="A110" s="1150">
        <v>9</v>
      </c>
      <c r="B110" s="119" t="s">
        <v>95</v>
      </c>
      <c r="C110" s="120" t="s">
        <v>662</v>
      </c>
      <c r="D110" s="120"/>
      <c r="E110" s="121" t="s">
        <v>94</v>
      </c>
      <c r="F110" s="122">
        <f t="shared" ref="F110:L110" si="107">SUM(F111:F122)</f>
        <v>24796000</v>
      </c>
      <c r="G110" s="122">
        <f t="shared" si="107"/>
        <v>0</v>
      </c>
      <c r="H110" s="122">
        <f t="shared" si="107"/>
        <v>0</v>
      </c>
      <c r="I110" s="122">
        <f t="shared" si="107"/>
        <v>0</v>
      </c>
      <c r="J110" s="122">
        <f t="shared" si="107"/>
        <v>0</v>
      </c>
      <c r="K110" s="122">
        <f t="shared" si="107"/>
        <v>0</v>
      </c>
      <c r="L110" s="122">
        <f t="shared" si="107"/>
        <v>0</v>
      </c>
      <c r="M110" s="122">
        <f>SUM(M111:M122)</f>
        <v>2472000</v>
      </c>
      <c r="N110" s="122">
        <f>SUM(N111:N122)</f>
        <v>0</v>
      </c>
      <c r="O110" s="122">
        <f>SUM(O111:O122)</f>
        <v>960000</v>
      </c>
      <c r="P110" s="122"/>
      <c r="Q110" s="122"/>
      <c r="R110" s="122">
        <f>SUM(R111:R122)</f>
        <v>3990000</v>
      </c>
      <c r="S110" s="122">
        <f>SUM(S111:S122)</f>
        <v>997500</v>
      </c>
      <c r="T110" s="122">
        <f>SUM(T111:T122)</f>
        <v>3000000</v>
      </c>
      <c r="U110" s="122">
        <f>SUM(U111:U122)</f>
        <v>35218000</v>
      </c>
      <c r="V110" s="333"/>
      <c r="W110" s="350">
        <f t="shared" ref="W110:AB110" si="108">SUM(W111:W122)</f>
        <v>2955710</v>
      </c>
      <c r="X110" s="122">
        <f t="shared" si="108"/>
        <v>1584830</v>
      </c>
      <c r="Y110" s="122">
        <f t="shared" si="108"/>
        <v>1068920</v>
      </c>
      <c r="Z110" s="122">
        <f t="shared" si="108"/>
        <v>70060</v>
      </c>
      <c r="AA110" s="122">
        <f t="shared" si="108"/>
        <v>316970</v>
      </c>
      <c r="AB110" s="122">
        <f t="shared" si="108"/>
        <v>281760</v>
      </c>
      <c r="AC110" s="123">
        <f>SUM(AC111:AC122)</f>
        <v>6278250</v>
      </c>
      <c r="AD110" s="618">
        <f t="shared" ref="AD110:AD122" si="109">U110-AC110</f>
        <v>28939750</v>
      </c>
    </row>
    <row r="111" spans="1:30" s="24" customFormat="1" ht="16.5" hidden="1" customHeight="1">
      <c r="A111" s="1150"/>
      <c r="B111" s="119" t="s">
        <v>527</v>
      </c>
      <c r="C111" s="120">
        <v>9</v>
      </c>
      <c r="D111" s="120"/>
      <c r="E111" s="124" t="s">
        <v>324</v>
      </c>
      <c r="F111" s="125">
        <v>2022000</v>
      </c>
      <c r="G111" s="126"/>
      <c r="H111" s="125"/>
      <c r="I111" s="127"/>
      <c r="J111" s="126"/>
      <c r="K111" s="126"/>
      <c r="L111" s="126"/>
      <c r="M111" s="126"/>
      <c r="N111" s="126"/>
      <c r="O111" s="126">
        <v>80000</v>
      </c>
      <c r="P111" s="126"/>
      <c r="Q111" s="126"/>
      <c r="R111" s="126"/>
      <c r="S111" s="126"/>
      <c r="T111" s="127">
        <v>250000</v>
      </c>
      <c r="U111" s="122">
        <f>SUM(F111,M111,O111,R111,T111)</f>
        <v>2352000</v>
      </c>
      <c r="V111" s="333"/>
      <c r="W111" s="338">
        <f>ROUNDUP(U111*1/12,-1)</f>
        <v>196000</v>
      </c>
      <c r="X111" s="128">
        <f t="shared" ref="X111:X122" si="110">ROUND(U111*4.5%,-1)</f>
        <v>105840</v>
      </c>
      <c r="Y111" s="128">
        <f t="shared" ref="Y111:Y122" si="111">ROUNDUP((U111-L111)*3.035%,-1)</f>
        <v>71390</v>
      </c>
      <c r="Z111" s="128">
        <f>ROUNDUP(Y111*6.55%,-1)</f>
        <v>4680</v>
      </c>
      <c r="AA111" s="128">
        <f t="shared" ref="AA111:AA122" si="112">ROUND(U111*0.9%,-1)</f>
        <v>21170</v>
      </c>
      <c r="AB111" s="128">
        <f t="shared" ref="AB111:AB122" si="113">ROUND(U111*0.8%,-1)</f>
        <v>18820</v>
      </c>
      <c r="AC111" s="129">
        <f t="shared" ref="AC111:AC122" si="114">SUM(W111:AB111)</f>
        <v>417900</v>
      </c>
      <c r="AD111" s="619">
        <f t="shared" si="109"/>
        <v>1934100</v>
      </c>
    </row>
    <row r="112" spans="1:30" s="24" customFormat="1" ht="16.5" hidden="1" customHeight="1">
      <c r="A112" s="1150"/>
      <c r="B112" s="119"/>
      <c r="C112" s="120"/>
      <c r="D112" s="120"/>
      <c r="E112" s="124" t="s">
        <v>325</v>
      </c>
      <c r="F112" s="126">
        <f>F111</f>
        <v>2022000</v>
      </c>
      <c r="G112" s="126"/>
      <c r="H112" s="126"/>
      <c r="I112" s="126"/>
      <c r="J112" s="126"/>
      <c r="K112" s="126"/>
      <c r="L112" s="126"/>
      <c r="M112" s="126">
        <f>F112*60%</f>
        <v>1213200</v>
      </c>
      <c r="N112" s="126"/>
      <c r="O112" s="126">
        <f>O111</f>
        <v>80000</v>
      </c>
      <c r="P112" s="126"/>
      <c r="Q112" s="126">
        <f>ROUND((F111+T111)*1/209*1.5,-1)</f>
        <v>16310</v>
      </c>
      <c r="R112" s="126">
        <f>Q112*20</f>
        <v>326200</v>
      </c>
      <c r="S112" s="126">
        <f>Q112*5</f>
        <v>81550</v>
      </c>
      <c r="T112" s="127">
        <f t="shared" ref="T112:T122" si="115">T111</f>
        <v>250000</v>
      </c>
      <c r="U112" s="122">
        <f t="shared" si="80"/>
        <v>3891400</v>
      </c>
      <c r="V112" s="333"/>
      <c r="W112" s="338">
        <f>ROUNDUP((T112+U112)*1/12,-1)</f>
        <v>345120</v>
      </c>
      <c r="X112" s="128">
        <f t="shared" si="110"/>
        <v>175110</v>
      </c>
      <c r="Y112" s="128">
        <f t="shared" si="111"/>
        <v>118110</v>
      </c>
      <c r="Z112" s="128">
        <f t="shared" si="97"/>
        <v>7740</v>
      </c>
      <c r="AA112" s="128">
        <f t="shared" si="112"/>
        <v>35020</v>
      </c>
      <c r="AB112" s="128">
        <f t="shared" si="113"/>
        <v>31130</v>
      </c>
      <c r="AC112" s="129">
        <f t="shared" si="114"/>
        <v>712230</v>
      </c>
      <c r="AD112" s="619">
        <f t="shared" si="109"/>
        <v>3179170</v>
      </c>
    </row>
    <row r="113" spans="1:30" s="24" customFormat="1" ht="16.5" hidden="1" customHeight="1">
      <c r="A113" s="1150"/>
      <c r="B113" s="119"/>
      <c r="C113" s="120"/>
      <c r="D113" s="120"/>
      <c r="E113" s="124" t="s">
        <v>326</v>
      </c>
      <c r="F113" s="126">
        <f>F111</f>
        <v>2022000</v>
      </c>
      <c r="G113" s="126"/>
      <c r="H113" s="126"/>
      <c r="I113" s="126"/>
      <c r="J113" s="126"/>
      <c r="K113" s="126"/>
      <c r="L113" s="126"/>
      <c r="M113" s="126"/>
      <c r="N113" s="126"/>
      <c r="O113" s="126">
        <f t="shared" ref="O113:O122" si="116">O112</f>
        <v>80000</v>
      </c>
      <c r="P113" s="126"/>
      <c r="Q113" s="126">
        <f t="shared" ref="Q113:Q122" si="117">ROUND((F112+T112)*1/209*1.5,-1)</f>
        <v>16310</v>
      </c>
      <c r="R113" s="126">
        <f>Q113*20</f>
        <v>326200</v>
      </c>
      <c r="S113" s="126">
        <f t="shared" ref="S113:S121" si="118">Q113*5</f>
        <v>81550</v>
      </c>
      <c r="T113" s="127">
        <f t="shared" si="115"/>
        <v>250000</v>
      </c>
      <c r="U113" s="122">
        <f t="shared" si="80"/>
        <v>2678200</v>
      </c>
      <c r="V113" s="333"/>
      <c r="W113" s="338">
        <f t="shared" ref="W113:W122" si="119">ROUNDUP(U113*1/12,-1)</f>
        <v>223190</v>
      </c>
      <c r="X113" s="128">
        <f t="shared" si="110"/>
        <v>120520</v>
      </c>
      <c r="Y113" s="128">
        <f t="shared" si="111"/>
        <v>81290</v>
      </c>
      <c r="Z113" s="128">
        <f t="shared" si="97"/>
        <v>5330</v>
      </c>
      <c r="AA113" s="128">
        <f t="shared" si="112"/>
        <v>24100</v>
      </c>
      <c r="AB113" s="128">
        <f t="shared" si="113"/>
        <v>21430</v>
      </c>
      <c r="AC113" s="129">
        <f t="shared" si="114"/>
        <v>475860</v>
      </c>
      <c r="AD113" s="619">
        <f t="shared" si="109"/>
        <v>2202340</v>
      </c>
    </row>
    <row r="114" spans="1:30" s="24" customFormat="1" ht="16.5" hidden="1" customHeight="1">
      <c r="A114" s="1150"/>
      <c r="B114" s="119"/>
      <c r="C114" s="120"/>
      <c r="D114" s="120"/>
      <c r="E114" s="124" t="s">
        <v>327</v>
      </c>
      <c r="F114" s="126">
        <f>F111</f>
        <v>2022000</v>
      </c>
      <c r="G114" s="126"/>
      <c r="H114" s="126"/>
      <c r="I114" s="126"/>
      <c r="J114" s="126"/>
      <c r="K114" s="126"/>
      <c r="L114" s="126"/>
      <c r="M114" s="126"/>
      <c r="N114" s="126"/>
      <c r="O114" s="126">
        <f t="shared" si="116"/>
        <v>80000</v>
      </c>
      <c r="P114" s="126"/>
      <c r="Q114" s="126">
        <f t="shared" si="117"/>
        <v>16310</v>
      </c>
      <c r="R114" s="126">
        <f t="shared" ref="R114:R121" si="120">Q114*20</f>
        <v>326200</v>
      </c>
      <c r="S114" s="126">
        <f t="shared" si="118"/>
        <v>81550</v>
      </c>
      <c r="T114" s="127">
        <f t="shared" si="115"/>
        <v>250000</v>
      </c>
      <c r="U114" s="122">
        <f t="shared" si="80"/>
        <v>2678200</v>
      </c>
      <c r="V114" s="333"/>
      <c r="W114" s="338">
        <f t="shared" si="119"/>
        <v>223190</v>
      </c>
      <c r="X114" s="128">
        <f t="shared" si="110"/>
        <v>120520</v>
      </c>
      <c r="Y114" s="128">
        <f t="shared" si="111"/>
        <v>81290</v>
      </c>
      <c r="Z114" s="128">
        <f t="shared" si="97"/>
        <v>5330</v>
      </c>
      <c r="AA114" s="128">
        <f t="shared" si="112"/>
        <v>24100</v>
      </c>
      <c r="AB114" s="128">
        <f t="shared" si="113"/>
        <v>21430</v>
      </c>
      <c r="AC114" s="129">
        <f t="shared" si="114"/>
        <v>475860</v>
      </c>
      <c r="AD114" s="619">
        <f t="shared" si="109"/>
        <v>2202340</v>
      </c>
    </row>
    <row r="115" spans="1:30" s="24" customFormat="1" ht="16.5" hidden="1" customHeight="1">
      <c r="A115" s="1150"/>
      <c r="B115" s="119"/>
      <c r="C115" s="120"/>
      <c r="D115" s="120"/>
      <c r="E115" s="124" t="s">
        <v>328</v>
      </c>
      <c r="F115" s="126">
        <f>F111</f>
        <v>2022000</v>
      </c>
      <c r="G115" s="126"/>
      <c r="H115" s="126"/>
      <c r="I115" s="126"/>
      <c r="J115" s="126"/>
      <c r="K115" s="126"/>
      <c r="L115" s="126"/>
      <c r="M115" s="126"/>
      <c r="N115" s="126"/>
      <c r="O115" s="126">
        <f t="shared" si="116"/>
        <v>80000</v>
      </c>
      <c r="P115" s="126"/>
      <c r="Q115" s="126">
        <f t="shared" si="117"/>
        <v>16310</v>
      </c>
      <c r="R115" s="126">
        <f t="shared" si="120"/>
        <v>326200</v>
      </c>
      <c r="S115" s="126">
        <f t="shared" si="118"/>
        <v>81550</v>
      </c>
      <c r="T115" s="127">
        <f t="shared" si="115"/>
        <v>250000</v>
      </c>
      <c r="U115" s="122">
        <f t="shared" si="80"/>
        <v>2678200</v>
      </c>
      <c r="V115" s="333"/>
      <c r="W115" s="338">
        <f t="shared" si="119"/>
        <v>223190</v>
      </c>
      <c r="X115" s="128">
        <f t="shared" si="110"/>
        <v>120520</v>
      </c>
      <c r="Y115" s="128">
        <f t="shared" si="111"/>
        <v>81290</v>
      </c>
      <c r="Z115" s="128">
        <f t="shared" si="97"/>
        <v>5330</v>
      </c>
      <c r="AA115" s="128">
        <f t="shared" si="112"/>
        <v>24100</v>
      </c>
      <c r="AB115" s="128">
        <f t="shared" si="113"/>
        <v>21430</v>
      </c>
      <c r="AC115" s="129">
        <f t="shared" si="114"/>
        <v>475860</v>
      </c>
      <c r="AD115" s="619">
        <f t="shared" si="109"/>
        <v>2202340</v>
      </c>
    </row>
    <row r="116" spans="1:30" s="24" customFormat="1" ht="16.5" hidden="1" customHeight="1">
      <c r="A116" s="1150"/>
      <c r="B116" s="119"/>
      <c r="C116" s="120">
        <v>10</v>
      </c>
      <c r="D116" s="120"/>
      <c r="E116" s="124" t="s">
        <v>329</v>
      </c>
      <c r="F116" s="591">
        <v>2098000</v>
      </c>
      <c r="G116" s="126"/>
      <c r="H116" s="126"/>
      <c r="I116" s="126"/>
      <c r="J116" s="126"/>
      <c r="K116" s="126"/>
      <c r="L116" s="126"/>
      <c r="M116" s="126"/>
      <c r="N116" s="126"/>
      <c r="O116" s="126">
        <f t="shared" si="116"/>
        <v>80000</v>
      </c>
      <c r="P116" s="126"/>
      <c r="Q116" s="126">
        <f t="shared" si="117"/>
        <v>16310</v>
      </c>
      <c r="R116" s="126">
        <f t="shared" si="120"/>
        <v>326200</v>
      </c>
      <c r="S116" s="126">
        <f t="shared" si="118"/>
        <v>81550</v>
      </c>
      <c r="T116" s="127">
        <f t="shared" si="115"/>
        <v>250000</v>
      </c>
      <c r="U116" s="122">
        <f t="shared" si="80"/>
        <v>2754200</v>
      </c>
      <c r="V116" s="333"/>
      <c r="W116" s="338">
        <f t="shared" si="119"/>
        <v>229520</v>
      </c>
      <c r="X116" s="128">
        <f t="shared" si="110"/>
        <v>123940</v>
      </c>
      <c r="Y116" s="128">
        <f t="shared" si="111"/>
        <v>83590</v>
      </c>
      <c r="Z116" s="128">
        <f t="shared" si="97"/>
        <v>5480</v>
      </c>
      <c r="AA116" s="128">
        <f t="shared" si="112"/>
        <v>24790</v>
      </c>
      <c r="AB116" s="128">
        <f t="shared" si="113"/>
        <v>22030</v>
      </c>
      <c r="AC116" s="129">
        <f t="shared" si="114"/>
        <v>489350</v>
      </c>
      <c r="AD116" s="619">
        <f t="shared" si="109"/>
        <v>2264850</v>
      </c>
    </row>
    <row r="117" spans="1:30" s="24" customFormat="1" ht="16.5" hidden="1" customHeight="1">
      <c r="A117" s="1150"/>
      <c r="B117" s="119"/>
      <c r="C117" s="120"/>
      <c r="D117" s="120"/>
      <c r="E117" s="124" t="s">
        <v>330</v>
      </c>
      <c r="F117" s="127">
        <f>F116</f>
        <v>2098000</v>
      </c>
      <c r="G117" s="126"/>
      <c r="H117" s="125"/>
      <c r="I117" s="125"/>
      <c r="J117" s="126"/>
      <c r="K117" s="126"/>
      <c r="L117" s="126"/>
      <c r="M117" s="126"/>
      <c r="N117" s="126"/>
      <c r="O117" s="126">
        <f t="shared" si="116"/>
        <v>80000</v>
      </c>
      <c r="P117" s="126"/>
      <c r="Q117" s="126">
        <f t="shared" si="117"/>
        <v>16850</v>
      </c>
      <c r="R117" s="126">
        <f t="shared" si="120"/>
        <v>337000</v>
      </c>
      <c r="S117" s="126">
        <f t="shared" si="118"/>
        <v>84250</v>
      </c>
      <c r="T117" s="127">
        <v>250000</v>
      </c>
      <c r="U117" s="122">
        <f t="shared" si="80"/>
        <v>2765000</v>
      </c>
      <c r="V117" s="333"/>
      <c r="W117" s="338">
        <f t="shared" si="119"/>
        <v>230420</v>
      </c>
      <c r="X117" s="128">
        <f t="shared" si="110"/>
        <v>124430</v>
      </c>
      <c r="Y117" s="128">
        <f t="shared" si="111"/>
        <v>83920</v>
      </c>
      <c r="Z117" s="128">
        <f t="shared" si="97"/>
        <v>5500</v>
      </c>
      <c r="AA117" s="128">
        <f t="shared" si="112"/>
        <v>24890</v>
      </c>
      <c r="AB117" s="128">
        <f t="shared" si="113"/>
        <v>22120</v>
      </c>
      <c r="AC117" s="129">
        <f t="shared" si="114"/>
        <v>491280</v>
      </c>
      <c r="AD117" s="619">
        <f t="shared" si="109"/>
        <v>2273720</v>
      </c>
    </row>
    <row r="118" spans="1:30" s="24" customFormat="1" ht="16.5" hidden="1" customHeight="1">
      <c r="A118" s="1150"/>
      <c r="B118" s="119"/>
      <c r="C118" s="120"/>
      <c r="D118" s="120"/>
      <c r="E118" s="124" t="s">
        <v>331</v>
      </c>
      <c r="F118" s="126">
        <f>F117</f>
        <v>2098000</v>
      </c>
      <c r="G118" s="126"/>
      <c r="H118" s="126"/>
      <c r="I118" s="126"/>
      <c r="J118" s="126"/>
      <c r="K118" s="126"/>
      <c r="L118" s="126"/>
      <c r="M118" s="126"/>
      <c r="N118" s="126"/>
      <c r="O118" s="126">
        <f t="shared" si="116"/>
        <v>80000</v>
      </c>
      <c r="P118" s="126"/>
      <c r="Q118" s="126">
        <f t="shared" si="117"/>
        <v>16850</v>
      </c>
      <c r="R118" s="126">
        <f t="shared" si="120"/>
        <v>337000</v>
      </c>
      <c r="S118" s="126">
        <f t="shared" si="118"/>
        <v>84250</v>
      </c>
      <c r="T118" s="127">
        <f t="shared" si="115"/>
        <v>250000</v>
      </c>
      <c r="U118" s="122">
        <f t="shared" si="80"/>
        <v>2765000</v>
      </c>
      <c r="V118" s="333"/>
      <c r="W118" s="338">
        <f t="shared" si="119"/>
        <v>230420</v>
      </c>
      <c r="X118" s="128">
        <f t="shared" si="110"/>
        <v>124430</v>
      </c>
      <c r="Y118" s="128">
        <f t="shared" si="111"/>
        <v>83920</v>
      </c>
      <c r="Z118" s="128">
        <f t="shared" si="97"/>
        <v>5500</v>
      </c>
      <c r="AA118" s="128">
        <f t="shared" si="112"/>
        <v>24890</v>
      </c>
      <c r="AB118" s="128">
        <f t="shared" si="113"/>
        <v>22120</v>
      </c>
      <c r="AC118" s="129">
        <f t="shared" si="114"/>
        <v>491280</v>
      </c>
      <c r="AD118" s="619">
        <f t="shared" si="109"/>
        <v>2273720</v>
      </c>
    </row>
    <row r="119" spans="1:30" s="24" customFormat="1" ht="16.5" hidden="1" customHeight="1">
      <c r="A119" s="1150"/>
      <c r="B119" s="119"/>
      <c r="C119" s="120"/>
      <c r="D119" s="120"/>
      <c r="E119" s="124" t="s">
        <v>62</v>
      </c>
      <c r="F119" s="126">
        <f>F117</f>
        <v>2098000</v>
      </c>
      <c r="G119" s="126"/>
      <c r="H119" s="126"/>
      <c r="I119" s="126"/>
      <c r="J119" s="126"/>
      <c r="K119" s="126"/>
      <c r="L119" s="126"/>
      <c r="M119" s="126">
        <f>F119*60%</f>
        <v>1258800</v>
      </c>
      <c r="N119" s="126"/>
      <c r="O119" s="126">
        <f t="shared" si="116"/>
        <v>80000</v>
      </c>
      <c r="P119" s="126"/>
      <c r="Q119" s="126">
        <f t="shared" si="117"/>
        <v>16850</v>
      </c>
      <c r="R119" s="126">
        <f t="shared" si="120"/>
        <v>337000</v>
      </c>
      <c r="S119" s="126">
        <f t="shared" si="118"/>
        <v>84250</v>
      </c>
      <c r="T119" s="127">
        <f t="shared" si="115"/>
        <v>250000</v>
      </c>
      <c r="U119" s="122">
        <f t="shared" si="80"/>
        <v>4023800</v>
      </c>
      <c r="V119" s="333"/>
      <c r="W119" s="338">
        <f t="shared" si="119"/>
        <v>335320</v>
      </c>
      <c r="X119" s="128">
        <f t="shared" si="110"/>
        <v>181070</v>
      </c>
      <c r="Y119" s="128">
        <f t="shared" si="111"/>
        <v>122130</v>
      </c>
      <c r="Z119" s="128">
        <f t="shared" si="97"/>
        <v>8000</v>
      </c>
      <c r="AA119" s="128">
        <f t="shared" si="112"/>
        <v>36210</v>
      </c>
      <c r="AB119" s="128">
        <f t="shared" si="113"/>
        <v>32190</v>
      </c>
      <c r="AC119" s="129">
        <f t="shared" si="114"/>
        <v>714920</v>
      </c>
      <c r="AD119" s="619">
        <f t="shared" si="109"/>
        <v>3308880</v>
      </c>
    </row>
    <row r="120" spans="1:30" s="24" customFormat="1" ht="16.5" hidden="1" customHeight="1">
      <c r="A120" s="1150"/>
      <c r="B120" s="119"/>
      <c r="C120" s="120"/>
      <c r="D120" s="120"/>
      <c r="E120" s="124" t="s">
        <v>63</v>
      </c>
      <c r="F120" s="126">
        <f>F117</f>
        <v>2098000</v>
      </c>
      <c r="G120" s="126"/>
      <c r="H120" s="126"/>
      <c r="I120" s="126"/>
      <c r="J120" s="126"/>
      <c r="K120" s="126"/>
      <c r="L120" s="126"/>
      <c r="M120" s="126"/>
      <c r="N120" s="126"/>
      <c r="O120" s="126">
        <f t="shared" si="116"/>
        <v>80000</v>
      </c>
      <c r="P120" s="126"/>
      <c r="Q120" s="126">
        <f t="shared" si="117"/>
        <v>16850</v>
      </c>
      <c r="R120" s="126">
        <f t="shared" si="120"/>
        <v>337000</v>
      </c>
      <c r="S120" s="126">
        <f t="shared" si="118"/>
        <v>84250</v>
      </c>
      <c r="T120" s="127">
        <f t="shared" si="115"/>
        <v>250000</v>
      </c>
      <c r="U120" s="122">
        <f t="shared" si="80"/>
        <v>2765000</v>
      </c>
      <c r="V120" s="333"/>
      <c r="W120" s="338">
        <f t="shared" si="119"/>
        <v>230420</v>
      </c>
      <c r="X120" s="128">
        <f t="shared" si="110"/>
        <v>124430</v>
      </c>
      <c r="Y120" s="128">
        <f t="shared" si="111"/>
        <v>83920</v>
      </c>
      <c r="Z120" s="128">
        <f t="shared" si="97"/>
        <v>5500</v>
      </c>
      <c r="AA120" s="128">
        <f t="shared" si="112"/>
        <v>24890</v>
      </c>
      <c r="AB120" s="128">
        <f t="shared" si="113"/>
        <v>22120</v>
      </c>
      <c r="AC120" s="129">
        <f t="shared" si="114"/>
        <v>491280</v>
      </c>
      <c r="AD120" s="619">
        <f t="shared" si="109"/>
        <v>2273720</v>
      </c>
    </row>
    <row r="121" spans="1:30" s="24" customFormat="1" ht="16.5" hidden="1" customHeight="1">
      <c r="A121" s="1150"/>
      <c r="B121" s="119"/>
      <c r="C121" s="120"/>
      <c r="D121" s="120"/>
      <c r="E121" s="124" t="s">
        <v>64</v>
      </c>
      <c r="F121" s="126">
        <f>F117</f>
        <v>2098000</v>
      </c>
      <c r="G121" s="126"/>
      <c r="H121" s="126"/>
      <c r="I121" s="126"/>
      <c r="J121" s="126"/>
      <c r="K121" s="126"/>
      <c r="L121" s="126"/>
      <c r="M121" s="126"/>
      <c r="N121" s="126"/>
      <c r="O121" s="126">
        <f t="shared" si="116"/>
        <v>80000</v>
      </c>
      <c r="P121" s="126"/>
      <c r="Q121" s="126">
        <f t="shared" si="117"/>
        <v>16850</v>
      </c>
      <c r="R121" s="126">
        <f t="shared" si="120"/>
        <v>337000</v>
      </c>
      <c r="S121" s="126">
        <f t="shared" si="118"/>
        <v>84250</v>
      </c>
      <c r="T121" s="127">
        <f t="shared" si="115"/>
        <v>250000</v>
      </c>
      <c r="U121" s="122">
        <f t="shared" si="80"/>
        <v>2765000</v>
      </c>
      <c r="V121" s="333"/>
      <c r="W121" s="338">
        <f t="shared" si="119"/>
        <v>230420</v>
      </c>
      <c r="X121" s="128">
        <f t="shared" si="110"/>
        <v>124430</v>
      </c>
      <c r="Y121" s="128">
        <f t="shared" si="111"/>
        <v>83920</v>
      </c>
      <c r="Z121" s="128">
        <f t="shared" si="97"/>
        <v>5500</v>
      </c>
      <c r="AA121" s="128">
        <f t="shared" si="112"/>
        <v>24890</v>
      </c>
      <c r="AB121" s="128">
        <f t="shared" si="113"/>
        <v>22120</v>
      </c>
      <c r="AC121" s="129">
        <f t="shared" si="114"/>
        <v>491280</v>
      </c>
      <c r="AD121" s="619">
        <f t="shared" si="109"/>
        <v>2273720</v>
      </c>
    </row>
    <row r="122" spans="1:30" s="24" customFormat="1" ht="16.5" hidden="1" customHeight="1">
      <c r="A122" s="1150"/>
      <c r="B122" s="119"/>
      <c r="C122" s="120"/>
      <c r="D122" s="120"/>
      <c r="E122" s="124" t="s">
        <v>332</v>
      </c>
      <c r="F122" s="126">
        <f>F117</f>
        <v>2098000</v>
      </c>
      <c r="G122" s="126"/>
      <c r="H122" s="126"/>
      <c r="I122" s="126"/>
      <c r="J122" s="126"/>
      <c r="K122" s="126"/>
      <c r="L122" s="126"/>
      <c r="M122" s="126"/>
      <c r="N122" s="126"/>
      <c r="O122" s="126">
        <f t="shared" si="116"/>
        <v>80000</v>
      </c>
      <c r="P122" s="126"/>
      <c r="Q122" s="126">
        <f t="shared" si="117"/>
        <v>16850</v>
      </c>
      <c r="R122" s="126">
        <f>Q122*20*2</f>
        <v>674000</v>
      </c>
      <c r="S122" s="126">
        <f>(Q122*5)*2</f>
        <v>168500</v>
      </c>
      <c r="T122" s="127">
        <f t="shared" si="115"/>
        <v>250000</v>
      </c>
      <c r="U122" s="122">
        <f t="shared" si="80"/>
        <v>3102000</v>
      </c>
      <c r="V122" s="333"/>
      <c r="W122" s="338">
        <f t="shared" si="119"/>
        <v>258500</v>
      </c>
      <c r="X122" s="128">
        <f t="shared" si="110"/>
        <v>139590</v>
      </c>
      <c r="Y122" s="128">
        <f t="shared" si="111"/>
        <v>94150</v>
      </c>
      <c r="Z122" s="128">
        <f t="shared" si="97"/>
        <v>6170</v>
      </c>
      <c r="AA122" s="128">
        <f t="shared" si="112"/>
        <v>27920</v>
      </c>
      <c r="AB122" s="128">
        <f t="shared" si="113"/>
        <v>24820</v>
      </c>
      <c r="AC122" s="129">
        <f t="shared" si="114"/>
        <v>551150</v>
      </c>
      <c r="AD122" s="619">
        <f t="shared" si="109"/>
        <v>2550850</v>
      </c>
    </row>
    <row r="123" spans="1:30" s="24" customFormat="1" ht="16.5" hidden="1" customHeight="1">
      <c r="A123" s="1150">
        <v>10</v>
      </c>
      <c r="B123" s="119" t="s">
        <v>95</v>
      </c>
      <c r="C123" s="120" t="s">
        <v>660</v>
      </c>
      <c r="D123" s="120">
        <v>1</v>
      </c>
      <c r="E123" s="121" t="s">
        <v>94</v>
      </c>
      <c r="F123" s="122">
        <f t="shared" ref="F123:L123" si="121">SUM(F124:F135)</f>
        <v>24120000</v>
      </c>
      <c r="G123" s="122">
        <f t="shared" si="121"/>
        <v>0</v>
      </c>
      <c r="H123" s="122">
        <f t="shared" si="121"/>
        <v>0</v>
      </c>
      <c r="I123" s="122">
        <f t="shared" si="121"/>
        <v>0</v>
      </c>
      <c r="J123" s="122">
        <f t="shared" si="121"/>
        <v>0</v>
      </c>
      <c r="K123" s="122">
        <f t="shared" si="121"/>
        <v>0</v>
      </c>
      <c r="L123" s="122">
        <f t="shared" si="121"/>
        <v>0</v>
      </c>
      <c r="M123" s="122">
        <f>SUM(M124:M135)</f>
        <v>2415600</v>
      </c>
      <c r="N123" s="122">
        <f>SUM(N124:N135)</f>
        <v>0</v>
      </c>
      <c r="O123" s="122">
        <f>SUM(O124:O135)</f>
        <v>720000</v>
      </c>
      <c r="P123" s="122"/>
      <c r="Q123" s="122"/>
      <c r="R123" s="122">
        <f>SUM(R124:R135)</f>
        <v>3893600</v>
      </c>
      <c r="S123" s="122">
        <f>SUM(S124:S135)</f>
        <v>973400</v>
      </c>
      <c r="T123" s="122">
        <f>SUM(T124:T135)</f>
        <v>3000000</v>
      </c>
      <c r="U123" s="122">
        <f>SUM(U124:U135)</f>
        <v>34149200</v>
      </c>
      <c r="V123" s="333"/>
      <c r="W123" s="350">
        <f t="shared" ref="W123:AB123" si="122">SUM(W124:W135)</f>
        <v>2866620</v>
      </c>
      <c r="X123" s="122">
        <f t="shared" si="122"/>
        <v>1536710</v>
      </c>
      <c r="Y123" s="122">
        <f t="shared" si="122"/>
        <v>1036500</v>
      </c>
      <c r="Z123" s="122">
        <f t="shared" si="122"/>
        <v>67970</v>
      </c>
      <c r="AA123" s="122">
        <f t="shared" si="122"/>
        <v>307350</v>
      </c>
      <c r="AB123" s="122">
        <f t="shared" si="122"/>
        <v>273200</v>
      </c>
      <c r="AC123" s="123">
        <f>SUM(AC124:AC135)</f>
        <v>6088350</v>
      </c>
      <c r="AD123" s="618">
        <f t="shared" ref="AD123:AD148" si="123">U123-AC123</f>
        <v>28060850</v>
      </c>
    </row>
    <row r="124" spans="1:30" s="24" customFormat="1" ht="16.5" hidden="1" customHeight="1">
      <c r="A124" s="1150"/>
      <c r="B124" s="119" t="s">
        <v>529</v>
      </c>
      <c r="C124" s="120">
        <v>8</v>
      </c>
      <c r="D124" s="120"/>
      <c r="E124" s="124" t="s">
        <v>324</v>
      </c>
      <c r="F124" s="125">
        <v>2004000</v>
      </c>
      <c r="G124" s="126"/>
      <c r="H124" s="125"/>
      <c r="I124" s="127"/>
      <c r="J124" s="126"/>
      <c r="K124" s="126"/>
      <c r="L124" s="126"/>
      <c r="M124" s="126"/>
      <c r="N124" s="126"/>
      <c r="O124" s="126">
        <v>60000</v>
      </c>
      <c r="P124" s="126"/>
      <c r="Q124" s="126"/>
      <c r="R124" s="126"/>
      <c r="S124" s="126"/>
      <c r="T124" s="127">
        <v>250000</v>
      </c>
      <c r="U124" s="122">
        <f>SUM(F124,M124,O124,R124,T124)</f>
        <v>2314000</v>
      </c>
      <c r="V124" s="333"/>
      <c r="W124" s="338">
        <f>ROUNDUP(U124*1/12,-1)</f>
        <v>192840</v>
      </c>
      <c r="X124" s="128">
        <f t="shared" ref="X124:X135" si="124">ROUND(U124*4.5%,-1)</f>
        <v>104130</v>
      </c>
      <c r="Y124" s="128">
        <f t="shared" ref="Y124:Y135" si="125">ROUNDUP((U124-L124)*3.035%,-1)</f>
        <v>70230</v>
      </c>
      <c r="Z124" s="128">
        <f>ROUNDUP(Y124*6.55%,-1)</f>
        <v>4610</v>
      </c>
      <c r="AA124" s="128">
        <f t="shared" ref="AA124:AA135" si="126">ROUND(U124*0.9%,-1)</f>
        <v>20830</v>
      </c>
      <c r="AB124" s="128">
        <f t="shared" ref="AB124:AB135" si="127">ROUND(U124*0.8%,-1)</f>
        <v>18510</v>
      </c>
      <c r="AC124" s="129">
        <f t="shared" ref="AC124:AC135" si="128">SUM(W124:AB124)</f>
        <v>411150</v>
      </c>
      <c r="AD124" s="619">
        <f t="shared" si="123"/>
        <v>1902850</v>
      </c>
    </row>
    <row r="125" spans="1:30" s="24" customFormat="1" ht="16.5" hidden="1" customHeight="1">
      <c r="A125" s="1150"/>
      <c r="B125" s="119"/>
      <c r="C125" s="120"/>
      <c r="D125" s="120"/>
      <c r="E125" s="124" t="s">
        <v>325</v>
      </c>
      <c r="F125" s="126">
        <f>F124</f>
        <v>2004000</v>
      </c>
      <c r="G125" s="126"/>
      <c r="H125" s="126"/>
      <c r="I125" s="126"/>
      <c r="J125" s="126"/>
      <c r="K125" s="126"/>
      <c r="L125" s="126"/>
      <c r="M125" s="126">
        <f>F125*60%</f>
        <v>1202400</v>
      </c>
      <c r="N125" s="126"/>
      <c r="O125" s="126">
        <f>O124</f>
        <v>60000</v>
      </c>
      <c r="P125" s="126"/>
      <c r="Q125" s="126">
        <f>ROUND((F124+T124)*1/209*1.5,-1)</f>
        <v>16180</v>
      </c>
      <c r="R125" s="126">
        <f>Q125*20</f>
        <v>323600</v>
      </c>
      <c r="S125" s="126">
        <f>Q125*5</f>
        <v>80900</v>
      </c>
      <c r="T125" s="127">
        <f t="shared" ref="T125:T135" si="129">T124</f>
        <v>250000</v>
      </c>
      <c r="U125" s="122">
        <f t="shared" si="80"/>
        <v>3840000</v>
      </c>
      <c r="V125" s="333"/>
      <c r="W125" s="338">
        <f>ROUNDUP((T125+U125)*1/12,-1)</f>
        <v>340840</v>
      </c>
      <c r="X125" s="128">
        <f t="shared" si="124"/>
        <v>172800</v>
      </c>
      <c r="Y125" s="128">
        <f t="shared" si="125"/>
        <v>116550</v>
      </c>
      <c r="Z125" s="128">
        <f t="shared" si="97"/>
        <v>7640</v>
      </c>
      <c r="AA125" s="128">
        <f t="shared" si="126"/>
        <v>34560</v>
      </c>
      <c r="AB125" s="128">
        <f t="shared" si="127"/>
        <v>30720</v>
      </c>
      <c r="AC125" s="129">
        <f t="shared" si="128"/>
        <v>703110</v>
      </c>
      <c r="AD125" s="619">
        <f t="shared" si="123"/>
        <v>3136890</v>
      </c>
    </row>
    <row r="126" spans="1:30" s="24" customFormat="1" ht="16.5" hidden="1" customHeight="1">
      <c r="A126" s="1150"/>
      <c r="B126" s="119"/>
      <c r="C126" s="120"/>
      <c r="D126" s="120"/>
      <c r="E126" s="124" t="s">
        <v>326</v>
      </c>
      <c r="F126" s="126">
        <f>F124</f>
        <v>2004000</v>
      </c>
      <c r="G126" s="126"/>
      <c r="H126" s="126"/>
      <c r="I126" s="126"/>
      <c r="J126" s="126"/>
      <c r="K126" s="126"/>
      <c r="L126" s="126"/>
      <c r="M126" s="126"/>
      <c r="N126" s="126"/>
      <c r="O126" s="126">
        <f t="shared" ref="O126:O135" si="130">O125</f>
        <v>60000</v>
      </c>
      <c r="P126" s="126"/>
      <c r="Q126" s="126">
        <f t="shared" ref="Q126:Q135" si="131">ROUND((F125+T125)*1/209*1.5,-1)</f>
        <v>16180</v>
      </c>
      <c r="R126" s="126">
        <f>Q126*20</f>
        <v>323600</v>
      </c>
      <c r="S126" s="126">
        <f t="shared" ref="S126:S134" si="132">Q126*5</f>
        <v>80900</v>
      </c>
      <c r="T126" s="127">
        <f t="shared" si="129"/>
        <v>250000</v>
      </c>
      <c r="U126" s="122">
        <f t="shared" si="80"/>
        <v>2637600</v>
      </c>
      <c r="V126" s="333"/>
      <c r="W126" s="338">
        <f t="shared" ref="W126:W135" si="133">ROUNDUP(U126*1/12,-1)</f>
        <v>219800</v>
      </c>
      <c r="X126" s="128">
        <f t="shared" si="124"/>
        <v>118690</v>
      </c>
      <c r="Y126" s="128">
        <f t="shared" si="125"/>
        <v>80060</v>
      </c>
      <c r="Z126" s="128">
        <f t="shared" si="97"/>
        <v>5250</v>
      </c>
      <c r="AA126" s="128">
        <f t="shared" si="126"/>
        <v>23740</v>
      </c>
      <c r="AB126" s="128">
        <f t="shared" si="127"/>
        <v>21100</v>
      </c>
      <c r="AC126" s="129">
        <f t="shared" si="128"/>
        <v>468640</v>
      </c>
      <c r="AD126" s="619">
        <f t="shared" si="123"/>
        <v>2168960</v>
      </c>
    </row>
    <row r="127" spans="1:30" s="24" customFormat="1" ht="16.5" hidden="1" customHeight="1">
      <c r="A127" s="1150"/>
      <c r="B127" s="119"/>
      <c r="C127" s="120"/>
      <c r="D127" s="120"/>
      <c r="E127" s="124" t="s">
        <v>327</v>
      </c>
      <c r="F127" s="126">
        <f>F124</f>
        <v>2004000</v>
      </c>
      <c r="G127" s="126"/>
      <c r="H127" s="126"/>
      <c r="I127" s="126"/>
      <c r="J127" s="126"/>
      <c r="K127" s="126"/>
      <c r="L127" s="126"/>
      <c r="M127" s="126"/>
      <c r="N127" s="126"/>
      <c r="O127" s="126">
        <f t="shared" si="130"/>
        <v>60000</v>
      </c>
      <c r="P127" s="126"/>
      <c r="Q127" s="126">
        <f t="shared" si="131"/>
        <v>16180</v>
      </c>
      <c r="R127" s="126">
        <f t="shared" ref="R127:R134" si="134">Q127*20</f>
        <v>323600</v>
      </c>
      <c r="S127" s="126">
        <f t="shared" si="132"/>
        <v>80900</v>
      </c>
      <c r="T127" s="127">
        <f t="shared" si="129"/>
        <v>250000</v>
      </c>
      <c r="U127" s="122">
        <f t="shared" si="80"/>
        <v>2637600</v>
      </c>
      <c r="V127" s="333"/>
      <c r="W127" s="338">
        <f t="shared" si="133"/>
        <v>219800</v>
      </c>
      <c r="X127" s="128">
        <f t="shared" si="124"/>
        <v>118690</v>
      </c>
      <c r="Y127" s="128">
        <f t="shared" si="125"/>
        <v>80060</v>
      </c>
      <c r="Z127" s="128">
        <f t="shared" si="97"/>
        <v>5250</v>
      </c>
      <c r="AA127" s="128">
        <f t="shared" si="126"/>
        <v>23740</v>
      </c>
      <c r="AB127" s="128">
        <f t="shared" si="127"/>
        <v>21100</v>
      </c>
      <c r="AC127" s="129">
        <f t="shared" si="128"/>
        <v>468640</v>
      </c>
      <c r="AD127" s="619">
        <f t="shared" si="123"/>
        <v>2168960</v>
      </c>
    </row>
    <row r="128" spans="1:30" s="24" customFormat="1" ht="16.5" hidden="1" customHeight="1">
      <c r="A128" s="1150"/>
      <c r="B128" s="119"/>
      <c r="C128" s="120"/>
      <c r="D128" s="120"/>
      <c r="E128" s="124" t="s">
        <v>328</v>
      </c>
      <c r="F128" s="126">
        <f>F124</f>
        <v>2004000</v>
      </c>
      <c r="G128" s="126"/>
      <c r="H128" s="126"/>
      <c r="I128" s="126"/>
      <c r="J128" s="126"/>
      <c r="K128" s="126"/>
      <c r="L128" s="126"/>
      <c r="M128" s="126"/>
      <c r="N128" s="126"/>
      <c r="O128" s="126">
        <f t="shared" si="130"/>
        <v>60000</v>
      </c>
      <c r="P128" s="126"/>
      <c r="Q128" s="126">
        <f t="shared" si="131"/>
        <v>16180</v>
      </c>
      <c r="R128" s="126">
        <f t="shared" si="134"/>
        <v>323600</v>
      </c>
      <c r="S128" s="126">
        <f t="shared" si="132"/>
        <v>80900</v>
      </c>
      <c r="T128" s="127">
        <f t="shared" si="129"/>
        <v>250000</v>
      </c>
      <c r="U128" s="122">
        <f t="shared" si="80"/>
        <v>2637600</v>
      </c>
      <c r="V128" s="333"/>
      <c r="W128" s="338">
        <f t="shared" si="133"/>
        <v>219800</v>
      </c>
      <c r="X128" s="128">
        <f t="shared" si="124"/>
        <v>118690</v>
      </c>
      <c r="Y128" s="128">
        <f t="shared" si="125"/>
        <v>80060</v>
      </c>
      <c r="Z128" s="128">
        <f t="shared" si="97"/>
        <v>5250</v>
      </c>
      <c r="AA128" s="128">
        <f t="shared" si="126"/>
        <v>23740</v>
      </c>
      <c r="AB128" s="128">
        <f t="shared" si="127"/>
        <v>21100</v>
      </c>
      <c r="AC128" s="129">
        <f t="shared" si="128"/>
        <v>468640</v>
      </c>
      <c r="AD128" s="619">
        <f t="shared" si="123"/>
        <v>2168960</v>
      </c>
    </row>
    <row r="129" spans="1:30" s="24" customFormat="1" ht="16.5" hidden="1" customHeight="1">
      <c r="A129" s="1150"/>
      <c r="B129" s="119"/>
      <c r="C129" s="120"/>
      <c r="D129" s="120"/>
      <c r="E129" s="124" t="s">
        <v>329</v>
      </c>
      <c r="F129" s="126">
        <f>F124</f>
        <v>2004000</v>
      </c>
      <c r="G129" s="126"/>
      <c r="H129" s="126"/>
      <c r="I129" s="126"/>
      <c r="J129" s="126"/>
      <c r="K129" s="126"/>
      <c r="L129" s="126"/>
      <c r="M129" s="126"/>
      <c r="N129" s="126"/>
      <c r="O129" s="126">
        <f t="shared" si="130"/>
        <v>60000</v>
      </c>
      <c r="P129" s="126"/>
      <c r="Q129" s="126">
        <f t="shared" si="131"/>
        <v>16180</v>
      </c>
      <c r="R129" s="126">
        <f t="shared" si="134"/>
        <v>323600</v>
      </c>
      <c r="S129" s="126">
        <f t="shared" si="132"/>
        <v>80900</v>
      </c>
      <c r="T129" s="127">
        <f t="shared" si="129"/>
        <v>250000</v>
      </c>
      <c r="U129" s="122">
        <f t="shared" si="80"/>
        <v>2637600</v>
      </c>
      <c r="V129" s="333"/>
      <c r="W129" s="338">
        <f t="shared" si="133"/>
        <v>219800</v>
      </c>
      <c r="X129" s="128">
        <f t="shared" si="124"/>
        <v>118690</v>
      </c>
      <c r="Y129" s="128">
        <f t="shared" si="125"/>
        <v>80060</v>
      </c>
      <c r="Z129" s="128">
        <f t="shared" si="97"/>
        <v>5250</v>
      </c>
      <c r="AA129" s="128">
        <f t="shared" si="126"/>
        <v>23740</v>
      </c>
      <c r="AB129" s="128">
        <f t="shared" si="127"/>
        <v>21100</v>
      </c>
      <c r="AC129" s="129">
        <f t="shared" si="128"/>
        <v>468640</v>
      </c>
      <c r="AD129" s="619">
        <f t="shared" si="123"/>
        <v>2168960</v>
      </c>
    </row>
    <row r="130" spans="1:30" s="24" customFormat="1" ht="16.5" hidden="1" customHeight="1">
      <c r="A130" s="1150"/>
      <c r="B130" s="119"/>
      <c r="C130" s="120"/>
      <c r="D130" s="120"/>
      <c r="E130" s="124" t="s">
        <v>330</v>
      </c>
      <c r="F130" s="128">
        <f>F129</f>
        <v>2004000</v>
      </c>
      <c r="G130" s="126"/>
      <c r="H130" s="125"/>
      <c r="I130" s="127"/>
      <c r="J130" s="126"/>
      <c r="K130" s="126"/>
      <c r="L130" s="126"/>
      <c r="M130" s="126"/>
      <c r="N130" s="126"/>
      <c r="O130" s="126">
        <f t="shared" si="130"/>
        <v>60000</v>
      </c>
      <c r="P130" s="126"/>
      <c r="Q130" s="126">
        <f t="shared" si="131"/>
        <v>16180</v>
      </c>
      <c r="R130" s="126">
        <f t="shared" si="134"/>
        <v>323600</v>
      </c>
      <c r="S130" s="126">
        <f t="shared" si="132"/>
        <v>80900</v>
      </c>
      <c r="T130" s="127">
        <f t="shared" si="129"/>
        <v>250000</v>
      </c>
      <c r="U130" s="122">
        <f t="shared" si="80"/>
        <v>2637600</v>
      </c>
      <c r="V130" s="333"/>
      <c r="W130" s="338">
        <f t="shared" si="133"/>
        <v>219800</v>
      </c>
      <c r="X130" s="128">
        <f t="shared" si="124"/>
        <v>118690</v>
      </c>
      <c r="Y130" s="128">
        <f t="shared" si="125"/>
        <v>80060</v>
      </c>
      <c r="Z130" s="128">
        <f t="shared" si="97"/>
        <v>5250</v>
      </c>
      <c r="AA130" s="128">
        <f t="shared" si="126"/>
        <v>23740</v>
      </c>
      <c r="AB130" s="128">
        <f t="shared" si="127"/>
        <v>21100</v>
      </c>
      <c r="AC130" s="129">
        <f t="shared" si="128"/>
        <v>468640</v>
      </c>
      <c r="AD130" s="619">
        <f t="shared" si="123"/>
        <v>2168960</v>
      </c>
    </row>
    <row r="131" spans="1:30" s="24" customFormat="1" ht="16.5" hidden="1" customHeight="1">
      <c r="A131" s="1150"/>
      <c r="B131" s="119"/>
      <c r="C131" s="120"/>
      <c r="D131" s="120"/>
      <c r="E131" s="124" t="s">
        <v>331</v>
      </c>
      <c r="F131" s="126">
        <f>F130</f>
        <v>2004000</v>
      </c>
      <c r="G131" s="126"/>
      <c r="H131" s="126"/>
      <c r="I131" s="126"/>
      <c r="J131" s="126"/>
      <c r="K131" s="126"/>
      <c r="L131" s="126"/>
      <c r="M131" s="126"/>
      <c r="N131" s="126"/>
      <c r="O131" s="126">
        <f t="shared" si="130"/>
        <v>60000</v>
      </c>
      <c r="P131" s="126"/>
      <c r="Q131" s="126">
        <f t="shared" si="131"/>
        <v>16180</v>
      </c>
      <c r="R131" s="126">
        <f t="shared" si="134"/>
        <v>323600</v>
      </c>
      <c r="S131" s="126">
        <f t="shared" si="132"/>
        <v>80900</v>
      </c>
      <c r="T131" s="127">
        <f t="shared" si="129"/>
        <v>250000</v>
      </c>
      <c r="U131" s="122">
        <f t="shared" si="80"/>
        <v>2637600</v>
      </c>
      <c r="V131" s="333"/>
      <c r="W131" s="338">
        <f t="shared" si="133"/>
        <v>219800</v>
      </c>
      <c r="X131" s="128">
        <f t="shared" si="124"/>
        <v>118690</v>
      </c>
      <c r="Y131" s="128">
        <f t="shared" si="125"/>
        <v>80060</v>
      </c>
      <c r="Z131" s="128">
        <f t="shared" si="97"/>
        <v>5250</v>
      </c>
      <c r="AA131" s="128">
        <f t="shared" si="126"/>
        <v>23740</v>
      </c>
      <c r="AB131" s="128">
        <f t="shared" si="127"/>
        <v>21100</v>
      </c>
      <c r="AC131" s="129">
        <f t="shared" si="128"/>
        <v>468640</v>
      </c>
      <c r="AD131" s="619">
        <f t="shared" si="123"/>
        <v>2168960</v>
      </c>
    </row>
    <row r="132" spans="1:30" s="24" customFormat="1" ht="16.5" hidden="1" customHeight="1">
      <c r="A132" s="1150"/>
      <c r="B132" s="119"/>
      <c r="C132" s="120">
        <v>9</v>
      </c>
      <c r="D132" s="120"/>
      <c r="E132" s="124" t="s">
        <v>62</v>
      </c>
      <c r="F132" s="125">
        <v>2022000</v>
      </c>
      <c r="G132" s="126"/>
      <c r="H132" s="126"/>
      <c r="I132" s="126"/>
      <c r="J132" s="126"/>
      <c r="K132" s="126"/>
      <c r="L132" s="126"/>
      <c r="M132" s="126">
        <f>F132*60%</f>
        <v>1213200</v>
      </c>
      <c r="N132" s="126"/>
      <c r="O132" s="126">
        <f t="shared" si="130"/>
        <v>60000</v>
      </c>
      <c r="P132" s="126"/>
      <c r="Q132" s="126">
        <f t="shared" si="131"/>
        <v>16180</v>
      </c>
      <c r="R132" s="126">
        <f t="shared" si="134"/>
        <v>323600</v>
      </c>
      <c r="S132" s="126">
        <f t="shared" si="132"/>
        <v>80900</v>
      </c>
      <c r="T132" s="127">
        <f t="shared" si="129"/>
        <v>250000</v>
      </c>
      <c r="U132" s="122">
        <f t="shared" si="80"/>
        <v>3868800</v>
      </c>
      <c r="V132" s="333"/>
      <c r="W132" s="338">
        <f t="shared" si="133"/>
        <v>322400</v>
      </c>
      <c r="X132" s="128">
        <f t="shared" si="124"/>
        <v>174100</v>
      </c>
      <c r="Y132" s="128">
        <f t="shared" si="125"/>
        <v>117420</v>
      </c>
      <c r="Z132" s="128">
        <f t="shared" si="97"/>
        <v>7700</v>
      </c>
      <c r="AA132" s="128">
        <f t="shared" si="126"/>
        <v>34820</v>
      </c>
      <c r="AB132" s="128">
        <f t="shared" si="127"/>
        <v>30950</v>
      </c>
      <c r="AC132" s="129">
        <f t="shared" si="128"/>
        <v>687390</v>
      </c>
      <c r="AD132" s="619">
        <f t="shared" si="123"/>
        <v>3181410</v>
      </c>
    </row>
    <row r="133" spans="1:30" s="24" customFormat="1" ht="16.5" hidden="1" customHeight="1">
      <c r="A133" s="1150"/>
      <c r="B133" s="119"/>
      <c r="C133" s="120"/>
      <c r="D133" s="120"/>
      <c r="E133" s="124" t="s">
        <v>63</v>
      </c>
      <c r="F133" s="590">
        <f>F132</f>
        <v>2022000</v>
      </c>
      <c r="G133" s="126"/>
      <c r="H133" s="126"/>
      <c r="I133" s="125"/>
      <c r="J133" s="126"/>
      <c r="K133" s="126"/>
      <c r="L133" s="126"/>
      <c r="M133" s="126"/>
      <c r="N133" s="126"/>
      <c r="O133" s="126">
        <f t="shared" si="130"/>
        <v>60000</v>
      </c>
      <c r="P133" s="126"/>
      <c r="Q133" s="126">
        <f t="shared" si="131"/>
        <v>16310</v>
      </c>
      <c r="R133" s="126">
        <f t="shared" si="134"/>
        <v>326200</v>
      </c>
      <c r="S133" s="126">
        <f t="shared" si="132"/>
        <v>81550</v>
      </c>
      <c r="T133" s="127">
        <v>250000</v>
      </c>
      <c r="U133" s="122">
        <f t="shared" si="80"/>
        <v>2658200</v>
      </c>
      <c r="V133" s="333"/>
      <c r="W133" s="338">
        <f t="shared" si="133"/>
        <v>221520</v>
      </c>
      <c r="X133" s="128">
        <f t="shared" si="124"/>
        <v>119620</v>
      </c>
      <c r="Y133" s="128">
        <f t="shared" si="125"/>
        <v>80680</v>
      </c>
      <c r="Z133" s="128">
        <f t="shared" si="97"/>
        <v>5290</v>
      </c>
      <c r="AA133" s="128">
        <f t="shared" si="126"/>
        <v>23920</v>
      </c>
      <c r="AB133" s="128">
        <f t="shared" si="127"/>
        <v>21270</v>
      </c>
      <c r="AC133" s="129">
        <f t="shared" si="128"/>
        <v>472300</v>
      </c>
      <c r="AD133" s="619">
        <f t="shared" si="123"/>
        <v>2185900</v>
      </c>
    </row>
    <row r="134" spans="1:30" s="24" customFormat="1" ht="16.5" hidden="1" customHeight="1">
      <c r="A134" s="1150"/>
      <c r="B134" s="119"/>
      <c r="C134" s="120"/>
      <c r="D134" s="120"/>
      <c r="E134" s="124" t="s">
        <v>64</v>
      </c>
      <c r="F134" s="126">
        <f>F133</f>
        <v>2022000</v>
      </c>
      <c r="G134" s="126"/>
      <c r="H134" s="126"/>
      <c r="I134" s="126"/>
      <c r="J134" s="126"/>
      <c r="K134" s="126"/>
      <c r="L134" s="126"/>
      <c r="M134" s="126"/>
      <c r="N134" s="126"/>
      <c r="O134" s="126">
        <f t="shared" si="130"/>
        <v>60000</v>
      </c>
      <c r="P134" s="126"/>
      <c r="Q134" s="126">
        <f t="shared" si="131"/>
        <v>16310</v>
      </c>
      <c r="R134" s="126">
        <f t="shared" si="134"/>
        <v>326200</v>
      </c>
      <c r="S134" s="126">
        <f t="shared" si="132"/>
        <v>81550</v>
      </c>
      <c r="T134" s="127">
        <f t="shared" si="129"/>
        <v>250000</v>
      </c>
      <c r="U134" s="122">
        <f t="shared" si="80"/>
        <v>2658200</v>
      </c>
      <c r="V134" s="333"/>
      <c r="W134" s="338">
        <f t="shared" si="133"/>
        <v>221520</v>
      </c>
      <c r="X134" s="128">
        <f t="shared" si="124"/>
        <v>119620</v>
      </c>
      <c r="Y134" s="128">
        <f t="shared" si="125"/>
        <v>80680</v>
      </c>
      <c r="Z134" s="128">
        <f t="shared" si="97"/>
        <v>5290</v>
      </c>
      <c r="AA134" s="128">
        <f t="shared" si="126"/>
        <v>23920</v>
      </c>
      <c r="AB134" s="128">
        <f t="shared" si="127"/>
        <v>21270</v>
      </c>
      <c r="AC134" s="129">
        <f t="shared" si="128"/>
        <v>472300</v>
      </c>
      <c r="AD134" s="619">
        <f t="shared" si="123"/>
        <v>2185900</v>
      </c>
    </row>
    <row r="135" spans="1:30" s="24" customFormat="1" ht="16.5" hidden="1" customHeight="1">
      <c r="A135" s="1150"/>
      <c r="B135" s="119"/>
      <c r="C135" s="120"/>
      <c r="D135" s="120"/>
      <c r="E135" s="124" t="s">
        <v>332</v>
      </c>
      <c r="F135" s="126">
        <f>F134</f>
        <v>2022000</v>
      </c>
      <c r="G135" s="126"/>
      <c r="H135" s="126"/>
      <c r="I135" s="126"/>
      <c r="J135" s="126"/>
      <c r="K135" s="126"/>
      <c r="L135" s="126"/>
      <c r="M135" s="126"/>
      <c r="N135" s="126"/>
      <c r="O135" s="126">
        <f t="shared" si="130"/>
        <v>60000</v>
      </c>
      <c r="P135" s="126"/>
      <c r="Q135" s="126">
        <f t="shared" si="131"/>
        <v>16310</v>
      </c>
      <c r="R135" s="126">
        <f>Q135*20*2</f>
        <v>652400</v>
      </c>
      <c r="S135" s="126">
        <f>(Q135*5)*2</f>
        <v>163100</v>
      </c>
      <c r="T135" s="127">
        <f t="shared" si="129"/>
        <v>250000</v>
      </c>
      <c r="U135" s="122">
        <f t="shared" si="80"/>
        <v>2984400</v>
      </c>
      <c r="V135" s="333"/>
      <c r="W135" s="338">
        <f t="shared" si="133"/>
        <v>248700</v>
      </c>
      <c r="X135" s="128">
        <f t="shared" si="124"/>
        <v>134300</v>
      </c>
      <c r="Y135" s="128">
        <f t="shared" si="125"/>
        <v>90580</v>
      </c>
      <c r="Z135" s="128">
        <f t="shared" si="97"/>
        <v>5940</v>
      </c>
      <c r="AA135" s="128">
        <f t="shared" si="126"/>
        <v>26860</v>
      </c>
      <c r="AB135" s="128">
        <f t="shared" si="127"/>
        <v>23880</v>
      </c>
      <c r="AC135" s="129">
        <f t="shared" si="128"/>
        <v>530260</v>
      </c>
      <c r="AD135" s="619">
        <f t="shared" si="123"/>
        <v>2454140</v>
      </c>
    </row>
    <row r="136" spans="1:30" s="24" customFormat="1" ht="17.25" hidden="1" customHeight="1">
      <c r="A136" s="1150">
        <v>12</v>
      </c>
      <c r="B136" s="119" t="s">
        <v>95</v>
      </c>
      <c r="C136" s="120" t="s">
        <v>662</v>
      </c>
      <c r="D136" s="120">
        <v>1</v>
      </c>
      <c r="E136" s="121" t="s">
        <v>94</v>
      </c>
      <c r="F136" s="122">
        <f t="shared" ref="F136:L136" si="135">SUM(F137:F148)</f>
        <v>24872000</v>
      </c>
      <c r="G136" s="122">
        <f t="shared" si="135"/>
        <v>0</v>
      </c>
      <c r="H136" s="122">
        <f t="shared" si="135"/>
        <v>0</v>
      </c>
      <c r="I136" s="122">
        <f t="shared" si="135"/>
        <v>0</v>
      </c>
      <c r="J136" s="122">
        <f t="shared" si="135"/>
        <v>0</v>
      </c>
      <c r="K136" s="122">
        <f t="shared" si="135"/>
        <v>0</v>
      </c>
      <c r="L136" s="122">
        <f t="shared" si="135"/>
        <v>0</v>
      </c>
      <c r="M136" s="122">
        <f>SUM(M137:M148)</f>
        <v>2472000</v>
      </c>
      <c r="N136" s="122">
        <f>SUM(N137:N148)</f>
        <v>0</v>
      </c>
      <c r="O136" s="122">
        <f>SUM(O137:O148)</f>
        <v>960000</v>
      </c>
      <c r="P136" s="122"/>
      <c r="Q136" s="122"/>
      <c r="R136" s="122">
        <f>SUM(R137:R148)</f>
        <v>8001600</v>
      </c>
      <c r="S136" s="122">
        <f>SUM(S137:S148)</f>
        <v>0</v>
      </c>
      <c r="T136" s="122">
        <f>SUM(T137:T148)</f>
        <v>3000000</v>
      </c>
      <c r="U136" s="122">
        <f>SUM(U137:U148)</f>
        <v>39305600</v>
      </c>
      <c r="V136" s="333"/>
      <c r="W136" s="350">
        <f t="shared" ref="W136:AB136" si="136">SUM(W137:W148)</f>
        <v>3296310</v>
      </c>
      <c r="X136" s="122">
        <f t="shared" si="136"/>
        <v>1768760</v>
      </c>
      <c r="Y136" s="122">
        <f t="shared" si="136"/>
        <v>1193000</v>
      </c>
      <c r="Z136" s="122">
        <f t="shared" si="136"/>
        <v>78190</v>
      </c>
      <c r="AA136" s="122">
        <f t="shared" si="136"/>
        <v>353760</v>
      </c>
      <c r="AB136" s="122">
        <f t="shared" si="136"/>
        <v>314480</v>
      </c>
      <c r="AC136" s="123">
        <f>SUM(AC137:AC148)</f>
        <v>7004500</v>
      </c>
      <c r="AD136" s="618">
        <f t="shared" si="123"/>
        <v>32301100</v>
      </c>
    </row>
    <row r="137" spans="1:30" s="24" customFormat="1" ht="17.25" hidden="1" customHeight="1">
      <c r="A137" s="1150"/>
      <c r="B137" s="119" t="s">
        <v>530</v>
      </c>
      <c r="C137" s="120">
        <v>9</v>
      </c>
      <c r="D137" s="120"/>
      <c r="E137" s="124" t="s">
        <v>324</v>
      </c>
      <c r="F137" s="125">
        <v>2022000</v>
      </c>
      <c r="G137" s="126"/>
      <c r="H137" s="125"/>
      <c r="I137" s="127"/>
      <c r="J137" s="126"/>
      <c r="K137" s="126"/>
      <c r="L137" s="126"/>
      <c r="M137" s="126"/>
      <c r="N137" s="126"/>
      <c r="O137" s="126">
        <v>80000</v>
      </c>
      <c r="P137" s="126"/>
      <c r="Q137" s="126"/>
      <c r="R137" s="126"/>
      <c r="S137" s="126"/>
      <c r="T137" s="127">
        <v>250000</v>
      </c>
      <c r="U137" s="122">
        <f t="shared" ref="U137:U148" si="137">SUM(F137,M137,O137,R137,T137)</f>
        <v>2352000</v>
      </c>
      <c r="V137" s="333"/>
      <c r="W137" s="338">
        <f>ROUNDUP(U137*1/12,-1)</f>
        <v>196000</v>
      </c>
      <c r="X137" s="128">
        <f t="shared" ref="X137:X148" si="138">ROUND(U137*4.5%,-1)</f>
        <v>105840</v>
      </c>
      <c r="Y137" s="128">
        <f t="shared" ref="Y137:Y148" si="139">ROUNDUP((U137-L137)*3.035%,-1)</f>
        <v>71390</v>
      </c>
      <c r="Z137" s="128">
        <f>ROUNDUP(Y137*6.55%,-1)</f>
        <v>4680</v>
      </c>
      <c r="AA137" s="128">
        <f t="shared" ref="AA137:AA148" si="140">ROUND(U137*0.9%,-1)</f>
        <v>21170</v>
      </c>
      <c r="AB137" s="128">
        <f t="shared" ref="AB137:AB148" si="141">ROUND(U137*0.8%,-1)</f>
        <v>18820</v>
      </c>
      <c r="AC137" s="129">
        <f t="shared" ref="AC137:AC148" si="142">SUM(W137:AB137)</f>
        <v>417900</v>
      </c>
      <c r="AD137" s="619">
        <f t="shared" si="123"/>
        <v>1934100</v>
      </c>
    </row>
    <row r="138" spans="1:30" s="24" customFormat="1" ht="17.25" hidden="1" customHeight="1">
      <c r="A138" s="1150"/>
      <c r="B138" s="119"/>
      <c r="C138" s="120"/>
      <c r="D138" s="120"/>
      <c r="E138" s="124" t="s">
        <v>325</v>
      </c>
      <c r="F138" s="126">
        <f>F137</f>
        <v>2022000</v>
      </c>
      <c r="G138" s="126"/>
      <c r="H138" s="126"/>
      <c r="I138" s="126"/>
      <c r="J138" s="126"/>
      <c r="K138" s="126"/>
      <c r="L138" s="126"/>
      <c r="M138" s="126">
        <f>F138*60%</f>
        <v>1213200</v>
      </c>
      <c r="N138" s="126"/>
      <c r="O138" s="126">
        <f>O137</f>
        <v>80000</v>
      </c>
      <c r="P138" s="126"/>
      <c r="Q138" s="126">
        <f>ROUND((F137+T137)*1/209*1.5,-1)</f>
        <v>16310</v>
      </c>
      <c r="R138" s="126">
        <f>Q138*40</f>
        <v>652400</v>
      </c>
      <c r="S138" s="126"/>
      <c r="T138" s="127">
        <f t="shared" ref="T138:T148" si="143">T137</f>
        <v>250000</v>
      </c>
      <c r="U138" s="122">
        <f t="shared" si="137"/>
        <v>4217600</v>
      </c>
      <c r="V138" s="333"/>
      <c r="W138" s="338">
        <f>ROUNDUP((T138+U138)*1/12,-1)</f>
        <v>372300</v>
      </c>
      <c r="X138" s="128">
        <f t="shared" si="138"/>
        <v>189790</v>
      </c>
      <c r="Y138" s="128">
        <f t="shared" si="139"/>
        <v>128010</v>
      </c>
      <c r="Z138" s="128">
        <f t="shared" ref="Z138:Z148" si="144">ROUNDUP(Y138*6.55%,-1)</f>
        <v>8390</v>
      </c>
      <c r="AA138" s="128">
        <f t="shared" si="140"/>
        <v>37960</v>
      </c>
      <c r="AB138" s="128">
        <f t="shared" si="141"/>
        <v>33740</v>
      </c>
      <c r="AC138" s="129">
        <f t="shared" si="142"/>
        <v>770190</v>
      </c>
      <c r="AD138" s="619">
        <f t="shared" si="123"/>
        <v>3447410</v>
      </c>
    </row>
    <row r="139" spans="1:30" s="24" customFormat="1" ht="17.25" hidden="1" customHeight="1">
      <c r="A139" s="1150"/>
      <c r="B139" s="119"/>
      <c r="C139" s="120"/>
      <c r="D139" s="120"/>
      <c r="E139" s="124" t="s">
        <v>326</v>
      </c>
      <c r="F139" s="126">
        <f>F137</f>
        <v>2022000</v>
      </c>
      <c r="G139" s="126"/>
      <c r="H139" s="126"/>
      <c r="I139" s="126"/>
      <c r="J139" s="126"/>
      <c r="K139" s="126"/>
      <c r="L139" s="126"/>
      <c r="M139" s="126"/>
      <c r="N139" s="126"/>
      <c r="O139" s="126">
        <f t="shared" ref="O139:O148" si="145">O138</f>
        <v>80000</v>
      </c>
      <c r="P139" s="126"/>
      <c r="Q139" s="126">
        <f t="shared" ref="Q139:Q148" si="146">ROUND((F138+T138)*1/209*1.5,-1)</f>
        <v>16310</v>
      </c>
      <c r="R139" s="126">
        <f>Q139*40</f>
        <v>652400</v>
      </c>
      <c r="S139" s="126"/>
      <c r="T139" s="127">
        <f t="shared" si="143"/>
        <v>250000</v>
      </c>
      <c r="U139" s="122">
        <f t="shared" si="137"/>
        <v>3004400</v>
      </c>
      <c r="V139" s="333"/>
      <c r="W139" s="338">
        <f t="shared" ref="W139:W148" si="147">ROUNDUP(U139*1/12,-1)</f>
        <v>250370</v>
      </c>
      <c r="X139" s="128">
        <f t="shared" si="138"/>
        <v>135200</v>
      </c>
      <c r="Y139" s="128">
        <f t="shared" si="139"/>
        <v>91190</v>
      </c>
      <c r="Z139" s="128">
        <f t="shared" si="144"/>
        <v>5980</v>
      </c>
      <c r="AA139" s="128">
        <f t="shared" si="140"/>
        <v>27040</v>
      </c>
      <c r="AB139" s="128">
        <f t="shared" si="141"/>
        <v>24040</v>
      </c>
      <c r="AC139" s="129">
        <f t="shared" si="142"/>
        <v>533820</v>
      </c>
      <c r="AD139" s="619">
        <f t="shared" si="123"/>
        <v>2470580</v>
      </c>
    </row>
    <row r="140" spans="1:30" s="24" customFormat="1" ht="17.25" hidden="1" customHeight="1">
      <c r="A140" s="1150"/>
      <c r="B140" s="119"/>
      <c r="C140" s="120"/>
      <c r="D140" s="120"/>
      <c r="E140" s="124" t="s">
        <v>327</v>
      </c>
      <c r="F140" s="126">
        <f>F137</f>
        <v>2022000</v>
      </c>
      <c r="G140" s="126"/>
      <c r="H140" s="126"/>
      <c r="I140" s="126"/>
      <c r="J140" s="126"/>
      <c r="K140" s="126"/>
      <c r="L140" s="126"/>
      <c r="M140" s="126"/>
      <c r="N140" s="126"/>
      <c r="O140" s="126">
        <f t="shared" si="145"/>
        <v>80000</v>
      </c>
      <c r="P140" s="126"/>
      <c r="Q140" s="126">
        <f t="shared" si="146"/>
        <v>16310</v>
      </c>
      <c r="R140" s="126">
        <f t="shared" ref="R140:R147" si="148">Q140*40</f>
        <v>652400</v>
      </c>
      <c r="S140" s="126"/>
      <c r="T140" s="127">
        <f t="shared" si="143"/>
        <v>250000</v>
      </c>
      <c r="U140" s="122">
        <f t="shared" si="137"/>
        <v>3004400</v>
      </c>
      <c r="V140" s="333"/>
      <c r="W140" s="338">
        <f t="shared" si="147"/>
        <v>250370</v>
      </c>
      <c r="X140" s="128">
        <f t="shared" si="138"/>
        <v>135200</v>
      </c>
      <c r="Y140" s="128">
        <f t="shared" si="139"/>
        <v>91190</v>
      </c>
      <c r="Z140" s="128">
        <f t="shared" si="144"/>
        <v>5980</v>
      </c>
      <c r="AA140" s="128">
        <f t="shared" si="140"/>
        <v>27040</v>
      </c>
      <c r="AB140" s="128">
        <f t="shared" si="141"/>
        <v>24040</v>
      </c>
      <c r="AC140" s="129">
        <f t="shared" si="142"/>
        <v>533820</v>
      </c>
      <c r="AD140" s="619">
        <f t="shared" si="123"/>
        <v>2470580</v>
      </c>
    </row>
    <row r="141" spans="1:30" s="24" customFormat="1" ht="17.25" hidden="1" customHeight="1">
      <c r="A141" s="1150"/>
      <c r="B141" s="119"/>
      <c r="C141" s="120">
        <v>10</v>
      </c>
      <c r="D141" s="120"/>
      <c r="E141" s="124" t="s">
        <v>328</v>
      </c>
      <c r="F141" s="591">
        <v>2098000</v>
      </c>
      <c r="G141" s="126"/>
      <c r="H141" s="126"/>
      <c r="I141" s="126"/>
      <c r="J141" s="126"/>
      <c r="K141" s="126"/>
      <c r="L141" s="126"/>
      <c r="M141" s="126"/>
      <c r="N141" s="126"/>
      <c r="O141" s="126">
        <f t="shared" si="145"/>
        <v>80000</v>
      </c>
      <c r="P141" s="126"/>
      <c r="Q141" s="126">
        <f t="shared" si="146"/>
        <v>16310</v>
      </c>
      <c r="R141" s="126">
        <f t="shared" si="148"/>
        <v>652400</v>
      </c>
      <c r="S141" s="126"/>
      <c r="T141" s="127">
        <f t="shared" si="143"/>
        <v>250000</v>
      </c>
      <c r="U141" s="122">
        <f t="shared" si="137"/>
        <v>3080400</v>
      </c>
      <c r="V141" s="333"/>
      <c r="W141" s="338">
        <f t="shared" si="147"/>
        <v>256700</v>
      </c>
      <c r="X141" s="128">
        <f t="shared" si="138"/>
        <v>138620</v>
      </c>
      <c r="Y141" s="128">
        <f t="shared" si="139"/>
        <v>93500</v>
      </c>
      <c r="Z141" s="128">
        <f t="shared" si="144"/>
        <v>6130</v>
      </c>
      <c r="AA141" s="128">
        <f t="shared" si="140"/>
        <v>27720</v>
      </c>
      <c r="AB141" s="128">
        <f t="shared" si="141"/>
        <v>24640</v>
      </c>
      <c r="AC141" s="129">
        <f t="shared" si="142"/>
        <v>547310</v>
      </c>
      <c r="AD141" s="619">
        <f t="shared" si="123"/>
        <v>2533090</v>
      </c>
    </row>
    <row r="142" spans="1:30" s="24" customFormat="1" ht="17.25" hidden="1" customHeight="1">
      <c r="A142" s="1150"/>
      <c r="B142" s="119"/>
      <c r="C142" s="120"/>
      <c r="D142" s="120"/>
      <c r="E142" s="124" t="s">
        <v>329</v>
      </c>
      <c r="F142" s="126">
        <f>F141</f>
        <v>2098000</v>
      </c>
      <c r="G142" s="126"/>
      <c r="H142" s="126"/>
      <c r="I142" s="126"/>
      <c r="J142" s="126"/>
      <c r="K142" s="126"/>
      <c r="L142" s="126"/>
      <c r="M142" s="126"/>
      <c r="N142" s="126"/>
      <c r="O142" s="126">
        <f t="shared" si="145"/>
        <v>80000</v>
      </c>
      <c r="P142" s="126"/>
      <c r="Q142" s="126">
        <f t="shared" si="146"/>
        <v>16850</v>
      </c>
      <c r="R142" s="126">
        <f t="shared" si="148"/>
        <v>674000</v>
      </c>
      <c r="S142" s="126"/>
      <c r="T142" s="127">
        <f t="shared" si="143"/>
        <v>250000</v>
      </c>
      <c r="U142" s="122">
        <f t="shared" si="137"/>
        <v>3102000</v>
      </c>
      <c r="V142" s="333"/>
      <c r="W142" s="338">
        <f t="shared" si="147"/>
        <v>258500</v>
      </c>
      <c r="X142" s="128">
        <f t="shared" si="138"/>
        <v>139590</v>
      </c>
      <c r="Y142" s="128">
        <f t="shared" si="139"/>
        <v>94150</v>
      </c>
      <c r="Z142" s="128">
        <f t="shared" si="144"/>
        <v>6170</v>
      </c>
      <c r="AA142" s="128">
        <f t="shared" si="140"/>
        <v>27920</v>
      </c>
      <c r="AB142" s="128">
        <f t="shared" si="141"/>
        <v>24820</v>
      </c>
      <c r="AC142" s="129">
        <f t="shared" si="142"/>
        <v>551150</v>
      </c>
      <c r="AD142" s="619">
        <f t="shared" si="123"/>
        <v>2550850</v>
      </c>
    </row>
    <row r="143" spans="1:30" s="24" customFormat="1" ht="17.25" hidden="1" customHeight="1">
      <c r="A143" s="1150"/>
      <c r="B143" s="119"/>
      <c r="C143" s="120"/>
      <c r="D143" s="120"/>
      <c r="E143" s="124" t="s">
        <v>330</v>
      </c>
      <c r="F143" s="126">
        <f>F142</f>
        <v>2098000</v>
      </c>
      <c r="G143" s="126"/>
      <c r="H143" s="125"/>
      <c r="I143" s="125"/>
      <c r="J143" s="126"/>
      <c r="K143" s="126"/>
      <c r="L143" s="126"/>
      <c r="M143" s="126"/>
      <c r="N143" s="126"/>
      <c r="O143" s="126">
        <f t="shared" si="145"/>
        <v>80000</v>
      </c>
      <c r="P143" s="126"/>
      <c r="Q143" s="126">
        <f t="shared" si="146"/>
        <v>16850</v>
      </c>
      <c r="R143" s="126">
        <f t="shared" si="148"/>
        <v>674000</v>
      </c>
      <c r="S143" s="126"/>
      <c r="T143" s="127">
        <v>250000</v>
      </c>
      <c r="U143" s="122">
        <f t="shared" si="137"/>
        <v>3102000</v>
      </c>
      <c r="V143" s="333"/>
      <c r="W143" s="338">
        <f t="shared" si="147"/>
        <v>258500</v>
      </c>
      <c r="X143" s="128">
        <f t="shared" si="138"/>
        <v>139590</v>
      </c>
      <c r="Y143" s="128">
        <f t="shared" si="139"/>
        <v>94150</v>
      </c>
      <c r="Z143" s="128">
        <f t="shared" si="144"/>
        <v>6170</v>
      </c>
      <c r="AA143" s="128">
        <f t="shared" si="140"/>
        <v>27920</v>
      </c>
      <c r="AB143" s="128">
        <f t="shared" si="141"/>
        <v>24820</v>
      </c>
      <c r="AC143" s="129">
        <f t="shared" si="142"/>
        <v>551150</v>
      </c>
      <c r="AD143" s="619">
        <f t="shared" si="123"/>
        <v>2550850</v>
      </c>
    </row>
    <row r="144" spans="1:30" s="24" customFormat="1" ht="17.25" hidden="1" customHeight="1">
      <c r="A144" s="1150"/>
      <c r="B144" s="119"/>
      <c r="C144" s="120"/>
      <c r="D144" s="120"/>
      <c r="E144" s="124" t="s">
        <v>331</v>
      </c>
      <c r="F144" s="126">
        <f>F143</f>
        <v>2098000</v>
      </c>
      <c r="G144" s="126"/>
      <c r="H144" s="126"/>
      <c r="I144" s="126"/>
      <c r="J144" s="126"/>
      <c r="K144" s="126"/>
      <c r="L144" s="126"/>
      <c r="M144" s="126"/>
      <c r="N144" s="126"/>
      <c r="O144" s="126">
        <f t="shared" si="145"/>
        <v>80000</v>
      </c>
      <c r="P144" s="126"/>
      <c r="Q144" s="126">
        <f t="shared" si="146"/>
        <v>16850</v>
      </c>
      <c r="R144" s="126">
        <f t="shared" si="148"/>
        <v>674000</v>
      </c>
      <c r="S144" s="126"/>
      <c r="T144" s="127">
        <f t="shared" si="143"/>
        <v>250000</v>
      </c>
      <c r="U144" s="122">
        <f t="shared" si="137"/>
        <v>3102000</v>
      </c>
      <c r="V144" s="333"/>
      <c r="W144" s="338">
        <f t="shared" si="147"/>
        <v>258500</v>
      </c>
      <c r="X144" s="128">
        <f t="shared" si="138"/>
        <v>139590</v>
      </c>
      <c r="Y144" s="128">
        <f t="shared" si="139"/>
        <v>94150</v>
      </c>
      <c r="Z144" s="128">
        <f t="shared" si="144"/>
        <v>6170</v>
      </c>
      <c r="AA144" s="128">
        <f t="shared" si="140"/>
        <v>27920</v>
      </c>
      <c r="AB144" s="128">
        <f t="shared" si="141"/>
        <v>24820</v>
      </c>
      <c r="AC144" s="129">
        <f t="shared" si="142"/>
        <v>551150</v>
      </c>
      <c r="AD144" s="619">
        <f t="shared" si="123"/>
        <v>2550850</v>
      </c>
    </row>
    <row r="145" spans="1:30" s="24" customFormat="1" ht="17.25" hidden="1" customHeight="1">
      <c r="A145" s="1150"/>
      <c r="B145" s="119"/>
      <c r="C145" s="120"/>
      <c r="D145" s="120"/>
      <c r="E145" s="124" t="s">
        <v>62</v>
      </c>
      <c r="F145" s="126">
        <f>F143</f>
        <v>2098000</v>
      </c>
      <c r="G145" s="126"/>
      <c r="H145" s="126"/>
      <c r="I145" s="126"/>
      <c r="J145" s="126"/>
      <c r="K145" s="126"/>
      <c r="L145" s="126"/>
      <c r="M145" s="126">
        <f>F145*60%</f>
        <v>1258800</v>
      </c>
      <c r="N145" s="126"/>
      <c r="O145" s="126">
        <f t="shared" si="145"/>
        <v>80000</v>
      </c>
      <c r="P145" s="126"/>
      <c r="Q145" s="126">
        <f t="shared" si="146"/>
        <v>16850</v>
      </c>
      <c r="R145" s="126">
        <f t="shared" si="148"/>
        <v>674000</v>
      </c>
      <c r="S145" s="126"/>
      <c r="T145" s="127">
        <f t="shared" si="143"/>
        <v>250000</v>
      </c>
      <c r="U145" s="122">
        <f t="shared" si="137"/>
        <v>4360800</v>
      </c>
      <c r="V145" s="333"/>
      <c r="W145" s="338">
        <f t="shared" si="147"/>
        <v>363400</v>
      </c>
      <c r="X145" s="128">
        <f t="shared" si="138"/>
        <v>196240</v>
      </c>
      <c r="Y145" s="128">
        <f t="shared" si="139"/>
        <v>132360</v>
      </c>
      <c r="Z145" s="128">
        <f t="shared" si="144"/>
        <v>8670</v>
      </c>
      <c r="AA145" s="128">
        <f t="shared" si="140"/>
        <v>39250</v>
      </c>
      <c r="AB145" s="128">
        <f t="shared" si="141"/>
        <v>34890</v>
      </c>
      <c r="AC145" s="129">
        <f t="shared" si="142"/>
        <v>774810</v>
      </c>
      <c r="AD145" s="619">
        <f t="shared" si="123"/>
        <v>3585990</v>
      </c>
    </row>
    <row r="146" spans="1:30" s="24" customFormat="1" ht="17.25" hidden="1" customHeight="1">
      <c r="A146" s="1150"/>
      <c r="B146" s="119"/>
      <c r="C146" s="120"/>
      <c r="D146" s="120"/>
      <c r="E146" s="124" t="s">
        <v>63</v>
      </c>
      <c r="F146" s="126">
        <f>F143</f>
        <v>2098000</v>
      </c>
      <c r="G146" s="126"/>
      <c r="H146" s="126"/>
      <c r="I146" s="126"/>
      <c r="J146" s="126"/>
      <c r="K146" s="126"/>
      <c r="L146" s="126"/>
      <c r="M146" s="126"/>
      <c r="N146" s="126"/>
      <c r="O146" s="126">
        <f t="shared" si="145"/>
        <v>80000</v>
      </c>
      <c r="P146" s="126"/>
      <c r="Q146" s="126">
        <f t="shared" si="146"/>
        <v>16850</v>
      </c>
      <c r="R146" s="126">
        <f t="shared" si="148"/>
        <v>674000</v>
      </c>
      <c r="S146" s="126"/>
      <c r="T146" s="127">
        <f t="shared" si="143"/>
        <v>250000</v>
      </c>
      <c r="U146" s="122">
        <f t="shared" si="137"/>
        <v>3102000</v>
      </c>
      <c r="V146" s="333"/>
      <c r="W146" s="338">
        <f t="shared" si="147"/>
        <v>258500</v>
      </c>
      <c r="X146" s="128">
        <f t="shared" si="138"/>
        <v>139590</v>
      </c>
      <c r="Y146" s="128">
        <f t="shared" si="139"/>
        <v>94150</v>
      </c>
      <c r="Z146" s="128">
        <f t="shared" si="144"/>
        <v>6170</v>
      </c>
      <c r="AA146" s="128">
        <f t="shared" si="140"/>
        <v>27920</v>
      </c>
      <c r="AB146" s="128">
        <f t="shared" si="141"/>
        <v>24820</v>
      </c>
      <c r="AC146" s="129">
        <f t="shared" si="142"/>
        <v>551150</v>
      </c>
      <c r="AD146" s="619">
        <f t="shared" si="123"/>
        <v>2550850</v>
      </c>
    </row>
    <row r="147" spans="1:30" s="24" customFormat="1" ht="17.25" hidden="1" customHeight="1">
      <c r="A147" s="1150"/>
      <c r="B147" s="119"/>
      <c r="C147" s="120"/>
      <c r="D147" s="120"/>
      <c r="E147" s="124" t="s">
        <v>64</v>
      </c>
      <c r="F147" s="126">
        <f>F143</f>
        <v>2098000</v>
      </c>
      <c r="G147" s="126"/>
      <c r="H147" s="126"/>
      <c r="I147" s="126"/>
      <c r="J147" s="126"/>
      <c r="K147" s="126"/>
      <c r="L147" s="126"/>
      <c r="M147" s="126"/>
      <c r="N147" s="126"/>
      <c r="O147" s="126">
        <f t="shared" si="145"/>
        <v>80000</v>
      </c>
      <c r="P147" s="126"/>
      <c r="Q147" s="126">
        <f t="shared" si="146"/>
        <v>16850</v>
      </c>
      <c r="R147" s="126">
        <f t="shared" si="148"/>
        <v>674000</v>
      </c>
      <c r="S147" s="126"/>
      <c r="T147" s="127">
        <f t="shared" si="143"/>
        <v>250000</v>
      </c>
      <c r="U147" s="122">
        <f t="shared" si="137"/>
        <v>3102000</v>
      </c>
      <c r="V147" s="333"/>
      <c r="W147" s="338">
        <f t="shared" si="147"/>
        <v>258500</v>
      </c>
      <c r="X147" s="128">
        <f t="shared" si="138"/>
        <v>139590</v>
      </c>
      <c r="Y147" s="128">
        <f t="shared" si="139"/>
        <v>94150</v>
      </c>
      <c r="Z147" s="128">
        <f t="shared" si="144"/>
        <v>6170</v>
      </c>
      <c r="AA147" s="128">
        <f t="shared" si="140"/>
        <v>27920</v>
      </c>
      <c r="AB147" s="128">
        <f t="shared" si="141"/>
        <v>24820</v>
      </c>
      <c r="AC147" s="129">
        <f t="shared" si="142"/>
        <v>551150</v>
      </c>
      <c r="AD147" s="619">
        <f t="shared" si="123"/>
        <v>2550850</v>
      </c>
    </row>
    <row r="148" spans="1:30" s="24" customFormat="1" ht="17.25" hidden="1" customHeight="1">
      <c r="A148" s="1150"/>
      <c r="B148" s="119"/>
      <c r="C148" s="120"/>
      <c r="D148" s="120"/>
      <c r="E148" s="124" t="s">
        <v>332</v>
      </c>
      <c r="F148" s="126">
        <f>F143</f>
        <v>2098000</v>
      </c>
      <c r="G148" s="126"/>
      <c r="H148" s="126"/>
      <c r="I148" s="126"/>
      <c r="J148" s="126"/>
      <c r="K148" s="126"/>
      <c r="L148" s="126"/>
      <c r="M148" s="126"/>
      <c r="N148" s="126"/>
      <c r="O148" s="126">
        <f t="shared" si="145"/>
        <v>80000</v>
      </c>
      <c r="P148" s="126"/>
      <c r="Q148" s="126">
        <f t="shared" si="146"/>
        <v>16850</v>
      </c>
      <c r="R148" s="126">
        <f>Q148*40*2</f>
        <v>1348000</v>
      </c>
      <c r="S148" s="126"/>
      <c r="T148" s="127">
        <f t="shared" si="143"/>
        <v>250000</v>
      </c>
      <c r="U148" s="122">
        <f t="shared" si="137"/>
        <v>3776000</v>
      </c>
      <c r="V148" s="333"/>
      <c r="W148" s="338">
        <f t="shared" si="147"/>
        <v>314670</v>
      </c>
      <c r="X148" s="128">
        <f t="shared" si="138"/>
        <v>169920</v>
      </c>
      <c r="Y148" s="128">
        <f t="shared" si="139"/>
        <v>114610</v>
      </c>
      <c r="Z148" s="128">
        <f t="shared" si="144"/>
        <v>7510</v>
      </c>
      <c r="AA148" s="128">
        <f t="shared" si="140"/>
        <v>33980</v>
      </c>
      <c r="AB148" s="128">
        <f t="shared" si="141"/>
        <v>30210</v>
      </c>
      <c r="AC148" s="129">
        <f t="shared" si="142"/>
        <v>670900</v>
      </c>
      <c r="AD148" s="619">
        <f t="shared" si="123"/>
        <v>3105100</v>
      </c>
    </row>
    <row r="149" spans="1:30" s="24" customFormat="1" ht="17.25" hidden="1" customHeight="1">
      <c r="A149" s="1150">
        <v>12</v>
      </c>
      <c r="B149" s="119" t="s">
        <v>95</v>
      </c>
      <c r="C149" s="120" t="s">
        <v>662</v>
      </c>
      <c r="D149" s="120">
        <v>1</v>
      </c>
      <c r="E149" s="121" t="s">
        <v>94</v>
      </c>
      <c r="F149" s="122">
        <f t="shared" ref="F149:L149" si="149">SUM(F150:F161)</f>
        <v>24872000</v>
      </c>
      <c r="G149" s="122">
        <f t="shared" si="149"/>
        <v>0</v>
      </c>
      <c r="H149" s="122">
        <f t="shared" si="149"/>
        <v>0</v>
      </c>
      <c r="I149" s="122">
        <f t="shared" si="149"/>
        <v>0</v>
      </c>
      <c r="J149" s="122">
        <f t="shared" si="149"/>
        <v>0</v>
      </c>
      <c r="K149" s="122">
        <f t="shared" si="149"/>
        <v>0</v>
      </c>
      <c r="L149" s="122">
        <f t="shared" si="149"/>
        <v>0</v>
      </c>
      <c r="M149" s="122">
        <f>SUM(M150:M161)</f>
        <v>2472000</v>
      </c>
      <c r="N149" s="122">
        <f>SUM(N150:N161)</f>
        <v>0</v>
      </c>
      <c r="O149" s="122">
        <f>SUM(O150:O161)</f>
        <v>960000</v>
      </c>
      <c r="P149" s="122"/>
      <c r="Q149" s="122"/>
      <c r="R149" s="122">
        <f>SUM(R150:R161)</f>
        <v>8001600</v>
      </c>
      <c r="S149" s="122">
        <f>SUM(S150:S161)</f>
        <v>0</v>
      </c>
      <c r="T149" s="122">
        <f>SUM(T150:T161)</f>
        <v>3000000</v>
      </c>
      <c r="U149" s="122">
        <f>SUM(U150:U161)</f>
        <v>39305600</v>
      </c>
      <c r="V149" s="333"/>
      <c r="W149" s="350">
        <f t="shared" ref="W149:AB149" si="150">SUM(W150:W161)</f>
        <v>3296310</v>
      </c>
      <c r="X149" s="122">
        <f t="shared" si="150"/>
        <v>1768760</v>
      </c>
      <c r="Y149" s="122">
        <f t="shared" si="150"/>
        <v>1193000</v>
      </c>
      <c r="Z149" s="122">
        <f t="shared" si="150"/>
        <v>78190</v>
      </c>
      <c r="AA149" s="122">
        <f t="shared" si="150"/>
        <v>353760</v>
      </c>
      <c r="AB149" s="122">
        <f t="shared" si="150"/>
        <v>314480</v>
      </c>
      <c r="AC149" s="123">
        <f>SUM(AC150:AC161)</f>
        <v>7004500</v>
      </c>
      <c r="AD149" s="618">
        <f t="shared" ref="AD149:AD212" si="151">U149-AC149</f>
        <v>32301100</v>
      </c>
    </row>
    <row r="150" spans="1:30" s="24" customFormat="1" ht="17.25" hidden="1" customHeight="1">
      <c r="A150" s="1150"/>
      <c r="B150" s="119" t="s">
        <v>530</v>
      </c>
      <c r="C150" s="120">
        <v>9</v>
      </c>
      <c r="D150" s="120"/>
      <c r="E150" s="124" t="s">
        <v>324</v>
      </c>
      <c r="F150" s="125">
        <v>2022000</v>
      </c>
      <c r="G150" s="126"/>
      <c r="H150" s="125"/>
      <c r="I150" s="127"/>
      <c r="J150" s="126"/>
      <c r="K150" s="126"/>
      <c r="L150" s="126"/>
      <c r="M150" s="126"/>
      <c r="N150" s="126"/>
      <c r="O150" s="126">
        <v>80000</v>
      </c>
      <c r="P150" s="126"/>
      <c r="Q150" s="126"/>
      <c r="R150" s="126"/>
      <c r="S150" s="126"/>
      <c r="T150" s="127">
        <v>250000</v>
      </c>
      <c r="U150" s="122">
        <f t="shared" ref="U150:U161" si="152">SUM(F150,M150,O150,R150,T150)</f>
        <v>2352000</v>
      </c>
      <c r="V150" s="333"/>
      <c r="W150" s="338">
        <f>ROUNDUP(U150*1/12,-1)</f>
        <v>196000</v>
      </c>
      <c r="X150" s="128">
        <f t="shared" ref="X150:X161" si="153">ROUND(U150*4.5%,-1)</f>
        <v>105840</v>
      </c>
      <c r="Y150" s="128">
        <f t="shared" ref="Y150:Y161" si="154">ROUNDUP((U150-L150)*3.035%,-1)</f>
        <v>71390</v>
      </c>
      <c r="Z150" s="128">
        <f>ROUNDUP(Y150*6.55%,-1)</f>
        <v>4680</v>
      </c>
      <c r="AA150" s="128">
        <f t="shared" ref="AA150:AA161" si="155">ROUND(U150*0.9%,-1)</f>
        <v>21170</v>
      </c>
      <c r="AB150" s="128">
        <f t="shared" ref="AB150:AB161" si="156">ROUND(U150*0.8%,-1)</f>
        <v>18820</v>
      </c>
      <c r="AC150" s="129">
        <f t="shared" ref="AC150:AC161" si="157">SUM(W150:AB150)</f>
        <v>417900</v>
      </c>
      <c r="AD150" s="619">
        <f t="shared" si="151"/>
        <v>1934100</v>
      </c>
    </row>
    <row r="151" spans="1:30" s="24" customFormat="1" ht="17.25" hidden="1" customHeight="1">
      <c r="A151" s="1150"/>
      <c r="B151" s="119"/>
      <c r="C151" s="120"/>
      <c r="D151" s="120"/>
      <c r="E151" s="124" t="s">
        <v>325</v>
      </c>
      <c r="F151" s="126">
        <f>F150</f>
        <v>2022000</v>
      </c>
      <c r="G151" s="126"/>
      <c r="H151" s="126"/>
      <c r="I151" s="126"/>
      <c r="J151" s="126"/>
      <c r="K151" s="126"/>
      <c r="L151" s="126"/>
      <c r="M151" s="126">
        <f>F151*60%</f>
        <v>1213200</v>
      </c>
      <c r="N151" s="126"/>
      <c r="O151" s="126">
        <f>O150</f>
        <v>80000</v>
      </c>
      <c r="P151" s="126"/>
      <c r="Q151" s="126">
        <f>ROUND((F150+T150)*1/209*1.5,-1)</f>
        <v>16310</v>
      </c>
      <c r="R151" s="126">
        <f>Q151*40</f>
        <v>652400</v>
      </c>
      <c r="S151" s="126"/>
      <c r="T151" s="127">
        <f t="shared" ref="T151:T161" si="158">T150</f>
        <v>250000</v>
      </c>
      <c r="U151" s="122">
        <f t="shared" si="152"/>
        <v>4217600</v>
      </c>
      <c r="V151" s="333"/>
      <c r="W151" s="338">
        <f>ROUNDUP((T151+U151)*1/12,-1)</f>
        <v>372300</v>
      </c>
      <c r="X151" s="128">
        <f t="shared" si="153"/>
        <v>189790</v>
      </c>
      <c r="Y151" s="128">
        <f t="shared" si="154"/>
        <v>128010</v>
      </c>
      <c r="Z151" s="128">
        <f t="shared" si="97"/>
        <v>8390</v>
      </c>
      <c r="AA151" s="128">
        <f t="shared" si="155"/>
        <v>37960</v>
      </c>
      <c r="AB151" s="128">
        <f t="shared" si="156"/>
        <v>33740</v>
      </c>
      <c r="AC151" s="129">
        <f t="shared" si="157"/>
        <v>770190</v>
      </c>
      <c r="AD151" s="619">
        <f t="shared" si="151"/>
        <v>3447410</v>
      </c>
    </row>
    <row r="152" spans="1:30" s="24" customFormat="1" ht="17.25" hidden="1" customHeight="1">
      <c r="A152" s="1150"/>
      <c r="B152" s="119"/>
      <c r="C152" s="120"/>
      <c r="D152" s="120"/>
      <c r="E152" s="124" t="s">
        <v>326</v>
      </c>
      <c r="F152" s="126">
        <f>F150</f>
        <v>2022000</v>
      </c>
      <c r="G152" s="126"/>
      <c r="H152" s="126"/>
      <c r="I152" s="126"/>
      <c r="J152" s="126"/>
      <c r="K152" s="126"/>
      <c r="L152" s="126"/>
      <c r="M152" s="126"/>
      <c r="N152" s="126"/>
      <c r="O152" s="126">
        <f t="shared" ref="O152:O161" si="159">O151</f>
        <v>80000</v>
      </c>
      <c r="P152" s="126"/>
      <c r="Q152" s="126">
        <f t="shared" ref="Q152:Q161" si="160">ROUND((F151+T151)*1/209*1.5,-1)</f>
        <v>16310</v>
      </c>
      <c r="R152" s="126">
        <f>Q152*40</f>
        <v>652400</v>
      </c>
      <c r="S152" s="126"/>
      <c r="T152" s="127">
        <f t="shared" si="158"/>
        <v>250000</v>
      </c>
      <c r="U152" s="122">
        <f t="shared" si="152"/>
        <v>3004400</v>
      </c>
      <c r="V152" s="333"/>
      <c r="W152" s="338">
        <f t="shared" ref="W152:W161" si="161">ROUNDUP(U152*1/12,-1)</f>
        <v>250370</v>
      </c>
      <c r="X152" s="128">
        <f t="shared" si="153"/>
        <v>135200</v>
      </c>
      <c r="Y152" s="128">
        <f t="shared" si="154"/>
        <v>91190</v>
      </c>
      <c r="Z152" s="128">
        <f t="shared" si="97"/>
        <v>5980</v>
      </c>
      <c r="AA152" s="128">
        <f t="shared" si="155"/>
        <v>27040</v>
      </c>
      <c r="AB152" s="128">
        <f t="shared" si="156"/>
        <v>24040</v>
      </c>
      <c r="AC152" s="129">
        <f t="shared" si="157"/>
        <v>533820</v>
      </c>
      <c r="AD152" s="619">
        <f t="shared" si="151"/>
        <v>2470580</v>
      </c>
    </row>
    <row r="153" spans="1:30" s="24" customFormat="1" ht="17.25" hidden="1" customHeight="1">
      <c r="A153" s="1150"/>
      <c r="B153" s="119"/>
      <c r="C153" s="120"/>
      <c r="D153" s="120"/>
      <c r="E153" s="124" t="s">
        <v>327</v>
      </c>
      <c r="F153" s="126">
        <f>F150</f>
        <v>2022000</v>
      </c>
      <c r="G153" s="126"/>
      <c r="H153" s="126"/>
      <c r="I153" s="126"/>
      <c r="J153" s="126"/>
      <c r="K153" s="126"/>
      <c r="L153" s="126"/>
      <c r="M153" s="126"/>
      <c r="N153" s="126"/>
      <c r="O153" s="126">
        <f t="shared" si="159"/>
        <v>80000</v>
      </c>
      <c r="P153" s="126"/>
      <c r="Q153" s="126">
        <f t="shared" si="160"/>
        <v>16310</v>
      </c>
      <c r="R153" s="126">
        <f t="shared" ref="R153:R160" si="162">Q153*40</f>
        <v>652400</v>
      </c>
      <c r="S153" s="126"/>
      <c r="T153" s="127">
        <f t="shared" si="158"/>
        <v>250000</v>
      </c>
      <c r="U153" s="122">
        <f t="shared" si="152"/>
        <v>3004400</v>
      </c>
      <c r="V153" s="333"/>
      <c r="W153" s="338">
        <f t="shared" si="161"/>
        <v>250370</v>
      </c>
      <c r="X153" s="128">
        <f t="shared" si="153"/>
        <v>135200</v>
      </c>
      <c r="Y153" s="128">
        <f t="shared" si="154"/>
        <v>91190</v>
      </c>
      <c r="Z153" s="128">
        <f t="shared" si="97"/>
        <v>5980</v>
      </c>
      <c r="AA153" s="128">
        <f t="shared" si="155"/>
        <v>27040</v>
      </c>
      <c r="AB153" s="128">
        <f t="shared" si="156"/>
        <v>24040</v>
      </c>
      <c r="AC153" s="129">
        <f t="shared" si="157"/>
        <v>533820</v>
      </c>
      <c r="AD153" s="619">
        <f t="shared" si="151"/>
        <v>2470580</v>
      </c>
    </row>
    <row r="154" spans="1:30" s="24" customFormat="1" ht="17.25" hidden="1" customHeight="1">
      <c r="A154" s="1150"/>
      <c r="B154" s="119"/>
      <c r="C154" s="120">
        <v>10</v>
      </c>
      <c r="D154" s="120"/>
      <c r="E154" s="124" t="s">
        <v>328</v>
      </c>
      <c r="F154" s="591">
        <v>2098000</v>
      </c>
      <c r="G154" s="126"/>
      <c r="H154" s="126"/>
      <c r="I154" s="126"/>
      <c r="J154" s="126"/>
      <c r="K154" s="126"/>
      <c r="L154" s="126"/>
      <c r="M154" s="126"/>
      <c r="N154" s="126"/>
      <c r="O154" s="126">
        <f t="shared" si="159"/>
        <v>80000</v>
      </c>
      <c r="P154" s="126"/>
      <c r="Q154" s="126">
        <f t="shared" si="160"/>
        <v>16310</v>
      </c>
      <c r="R154" s="126">
        <f t="shared" si="162"/>
        <v>652400</v>
      </c>
      <c r="S154" s="126"/>
      <c r="T154" s="127">
        <f t="shared" si="158"/>
        <v>250000</v>
      </c>
      <c r="U154" s="122">
        <f t="shared" si="152"/>
        <v>3080400</v>
      </c>
      <c r="V154" s="333"/>
      <c r="W154" s="338">
        <f t="shared" si="161"/>
        <v>256700</v>
      </c>
      <c r="X154" s="128">
        <f t="shared" si="153"/>
        <v>138620</v>
      </c>
      <c r="Y154" s="128">
        <f t="shared" si="154"/>
        <v>93500</v>
      </c>
      <c r="Z154" s="128">
        <f t="shared" si="97"/>
        <v>6130</v>
      </c>
      <c r="AA154" s="128">
        <f t="shared" si="155"/>
        <v>27720</v>
      </c>
      <c r="AB154" s="128">
        <f t="shared" si="156"/>
        <v>24640</v>
      </c>
      <c r="AC154" s="129">
        <f t="shared" si="157"/>
        <v>547310</v>
      </c>
      <c r="AD154" s="619">
        <f t="shared" si="151"/>
        <v>2533090</v>
      </c>
    </row>
    <row r="155" spans="1:30" s="24" customFormat="1" ht="17.25" hidden="1" customHeight="1">
      <c r="A155" s="1150"/>
      <c r="B155" s="119"/>
      <c r="C155" s="120"/>
      <c r="D155" s="120"/>
      <c r="E155" s="124" t="s">
        <v>329</v>
      </c>
      <c r="F155" s="126">
        <f>F154</f>
        <v>2098000</v>
      </c>
      <c r="G155" s="126"/>
      <c r="H155" s="126"/>
      <c r="I155" s="126"/>
      <c r="J155" s="126"/>
      <c r="K155" s="126"/>
      <c r="L155" s="126"/>
      <c r="M155" s="126"/>
      <c r="N155" s="126"/>
      <c r="O155" s="126">
        <f t="shared" si="159"/>
        <v>80000</v>
      </c>
      <c r="P155" s="126"/>
      <c r="Q155" s="126">
        <f t="shared" si="160"/>
        <v>16850</v>
      </c>
      <c r="R155" s="126">
        <f t="shared" si="162"/>
        <v>674000</v>
      </c>
      <c r="S155" s="126"/>
      <c r="T155" s="127">
        <f t="shared" si="158"/>
        <v>250000</v>
      </c>
      <c r="U155" s="122">
        <f t="shared" si="152"/>
        <v>3102000</v>
      </c>
      <c r="V155" s="333"/>
      <c r="W155" s="338">
        <f t="shared" si="161"/>
        <v>258500</v>
      </c>
      <c r="X155" s="128">
        <f t="shared" si="153"/>
        <v>139590</v>
      </c>
      <c r="Y155" s="128">
        <f t="shared" si="154"/>
        <v>94150</v>
      </c>
      <c r="Z155" s="128">
        <f t="shared" si="97"/>
        <v>6170</v>
      </c>
      <c r="AA155" s="128">
        <f t="shared" si="155"/>
        <v>27920</v>
      </c>
      <c r="AB155" s="128">
        <f t="shared" si="156"/>
        <v>24820</v>
      </c>
      <c r="AC155" s="129">
        <f t="shared" si="157"/>
        <v>551150</v>
      </c>
      <c r="AD155" s="619">
        <f t="shared" si="151"/>
        <v>2550850</v>
      </c>
    </row>
    <row r="156" spans="1:30" s="24" customFormat="1" ht="17.25" hidden="1" customHeight="1">
      <c r="A156" s="1150"/>
      <c r="B156" s="119"/>
      <c r="C156" s="120"/>
      <c r="D156" s="120"/>
      <c r="E156" s="124" t="s">
        <v>330</v>
      </c>
      <c r="F156" s="126">
        <f>F155</f>
        <v>2098000</v>
      </c>
      <c r="G156" s="126"/>
      <c r="H156" s="125"/>
      <c r="I156" s="125"/>
      <c r="J156" s="126"/>
      <c r="K156" s="126"/>
      <c r="L156" s="126"/>
      <c r="M156" s="126"/>
      <c r="N156" s="126"/>
      <c r="O156" s="126">
        <f t="shared" si="159"/>
        <v>80000</v>
      </c>
      <c r="P156" s="126"/>
      <c r="Q156" s="126">
        <f t="shared" si="160"/>
        <v>16850</v>
      </c>
      <c r="R156" s="126">
        <f t="shared" si="162"/>
        <v>674000</v>
      </c>
      <c r="S156" s="126"/>
      <c r="T156" s="127">
        <v>250000</v>
      </c>
      <c r="U156" s="122">
        <f t="shared" si="152"/>
        <v>3102000</v>
      </c>
      <c r="V156" s="333"/>
      <c r="W156" s="338">
        <f t="shared" si="161"/>
        <v>258500</v>
      </c>
      <c r="X156" s="128">
        <f t="shared" si="153"/>
        <v>139590</v>
      </c>
      <c r="Y156" s="128">
        <f t="shared" si="154"/>
        <v>94150</v>
      </c>
      <c r="Z156" s="128">
        <f t="shared" si="97"/>
        <v>6170</v>
      </c>
      <c r="AA156" s="128">
        <f t="shared" si="155"/>
        <v>27920</v>
      </c>
      <c r="AB156" s="128">
        <f t="shared" si="156"/>
        <v>24820</v>
      </c>
      <c r="AC156" s="129">
        <f t="shared" si="157"/>
        <v>551150</v>
      </c>
      <c r="AD156" s="619">
        <f t="shared" si="151"/>
        <v>2550850</v>
      </c>
    </row>
    <row r="157" spans="1:30" s="24" customFormat="1" ht="17.25" hidden="1" customHeight="1">
      <c r="A157" s="1150"/>
      <c r="B157" s="119"/>
      <c r="C157" s="120"/>
      <c r="D157" s="120"/>
      <c r="E157" s="124" t="s">
        <v>331</v>
      </c>
      <c r="F157" s="126">
        <f>F156</f>
        <v>2098000</v>
      </c>
      <c r="G157" s="126"/>
      <c r="H157" s="126"/>
      <c r="I157" s="126"/>
      <c r="J157" s="126"/>
      <c r="K157" s="126"/>
      <c r="L157" s="126"/>
      <c r="M157" s="126"/>
      <c r="N157" s="126"/>
      <c r="O157" s="126">
        <f t="shared" si="159"/>
        <v>80000</v>
      </c>
      <c r="P157" s="126"/>
      <c r="Q157" s="126">
        <f t="shared" si="160"/>
        <v>16850</v>
      </c>
      <c r="R157" s="126">
        <f t="shared" si="162"/>
        <v>674000</v>
      </c>
      <c r="S157" s="126"/>
      <c r="T157" s="127">
        <f t="shared" si="158"/>
        <v>250000</v>
      </c>
      <c r="U157" s="122">
        <f t="shared" si="152"/>
        <v>3102000</v>
      </c>
      <c r="V157" s="333"/>
      <c r="W157" s="338">
        <f t="shared" si="161"/>
        <v>258500</v>
      </c>
      <c r="X157" s="128">
        <f t="shared" si="153"/>
        <v>139590</v>
      </c>
      <c r="Y157" s="128">
        <f t="shared" si="154"/>
        <v>94150</v>
      </c>
      <c r="Z157" s="128">
        <f t="shared" si="97"/>
        <v>6170</v>
      </c>
      <c r="AA157" s="128">
        <f t="shared" si="155"/>
        <v>27920</v>
      </c>
      <c r="AB157" s="128">
        <f t="shared" si="156"/>
        <v>24820</v>
      </c>
      <c r="AC157" s="129">
        <f t="shared" si="157"/>
        <v>551150</v>
      </c>
      <c r="AD157" s="619">
        <f t="shared" si="151"/>
        <v>2550850</v>
      </c>
    </row>
    <row r="158" spans="1:30" s="24" customFormat="1" ht="17.25" hidden="1" customHeight="1">
      <c r="A158" s="1150"/>
      <c r="B158" s="119"/>
      <c r="C158" s="120"/>
      <c r="D158" s="120"/>
      <c r="E158" s="124" t="s">
        <v>62</v>
      </c>
      <c r="F158" s="126">
        <f>F156</f>
        <v>2098000</v>
      </c>
      <c r="G158" s="126"/>
      <c r="H158" s="126"/>
      <c r="I158" s="126"/>
      <c r="J158" s="126"/>
      <c r="K158" s="126"/>
      <c r="L158" s="126"/>
      <c r="M158" s="126">
        <f>F158*60%</f>
        <v>1258800</v>
      </c>
      <c r="N158" s="126"/>
      <c r="O158" s="126">
        <f t="shared" si="159"/>
        <v>80000</v>
      </c>
      <c r="P158" s="126"/>
      <c r="Q158" s="126">
        <f t="shared" si="160"/>
        <v>16850</v>
      </c>
      <c r="R158" s="126">
        <f t="shared" si="162"/>
        <v>674000</v>
      </c>
      <c r="S158" s="126"/>
      <c r="T158" s="127">
        <f t="shared" si="158"/>
        <v>250000</v>
      </c>
      <c r="U158" s="122">
        <f t="shared" si="152"/>
        <v>4360800</v>
      </c>
      <c r="V158" s="333"/>
      <c r="W158" s="338">
        <f t="shared" si="161"/>
        <v>363400</v>
      </c>
      <c r="X158" s="128">
        <f t="shared" si="153"/>
        <v>196240</v>
      </c>
      <c r="Y158" s="128">
        <f t="shared" si="154"/>
        <v>132360</v>
      </c>
      <c r="Z158" s="128">
        <f t="shared" si="97"/>
        <v>8670</v>
      </c>
      <c r="AA158" s="128">
        <f t="shared" si="155"/>
        <v>39250</v>
      </c>
      <c r="AB158" s="128">
        <f t="shared" si="156"/>
        <v>34890</v>
      </c>
      <c r="AC158" s="129">
        <f t="shared" si="157"/>
        <v>774810</v>
      </c>
      <c r="AD158" s="619">
        <f t="shared" si="151"/>
        <v>3585990</v>
      </c>
    </row>
    <row r="159" spans="1:30" s="24" customFormat="1" ht="17.25" hidden="1" customHeight="1">
      <c r="A159" s="1150"/>
      <c r="B159" s="119"/>
      <c r="C159" s="120"/>
      <c r="D159" s="120"/>
      <c r="E159" s="124" t="s">
        <v>63</v>
      </c>
      <c r="F159" s="126">
        <f>F156</f>
        <v>2098000</v>
      </c>
      <c r="G159" s="126"/>
      <c r="H159" s="126"/>
      <c r="I159" s="126"/>
      <c r="J159" s="126"/>
      <c r="K159" s="126"/>
      <c r="L159" s="126"/>
      <c r="M159" s="126"/>
      <c r="N159" s="126"/>
      <c r="O159" s="126">
        <f t="shared" si="159"/>
        <v>80000</v>
      </c>
      <c r="P159" s="126"/>
      <c r="Q159" s="126">
        <f t="shared" si="160"/>
        <v>16850</v>
      </c>
      <c r="R159" s="126">
        <f t="shared" si="162"/>
        <v>674000</v>
      </c>
      <c r="S159" s="126"/>
      <c r="T159" s="127">
        <f t="shared" si="158"/>
        <v>250000</v>
      </c>
      <c r="U159" s="122">
        <f t="shared" si="152"/>
        <v>3102000</v>
      </c>
      <c r="V159" s="333"/>
      <c r="W159" s="338">
        <f t="shared" si="161"/>
        <v>258500</v>
      </c>
      <c r="X159" s="128">
        <f t="shared" si="153"/>
        <v>139590</v>
      </c>
      <c r="Y159" s="128">
        <f t="shared" si="154"/>
        <v>94150</v>
      </c>
      <c r="Z159" s="128">
        <f t="shared" si="97"/>
        <v>6170</v>
      </c>
      <c r="AA159" s="128">
        <f t="shared" si="155"/>
        <v>27920</v>
      </c>
      <c r="AB159" s="128">
        <f t="shared" si="156"/>
        <v>24820</v>
      </c>
      <c r="AC159" s="129">
        <f t="shared" si="157"/>
        <v>551150</v>
      </c>
      <c r="AD159" s="619">
        <f t="shared" si="151"/>
        <v>2550850</v>
      </c>
    </row>
    <row r="160" spans="1:30" s="24" customFormat="1" ht="17.25" hidden="1" customHeight="1">
      <c r="A160" s="1150"/>
      <c r="B160" s="119"/>
      <c r="C160" s="120"/>
      <c r="D160" s="120"/>
      <c r="E160" s="124" t="s">
        <v>64</v>
      </c>
      <c r="F160" s="126">
        <f>F156</f>
        <v>2098000</v>
      </c>
      <c r="G160" s="126"/>
      <c r="H160" s="126"/>
      <c r="I160" s="126"/>
      <c r="J160" s="126"/>
      <c r="K160" s="126"/>
      <c r="L160" s="126"/>
      <c r="M160" s="126"/>
      <c r="N160" s="126"/>
      <c r="O160" s="126">
        <f t="shared" si="159"/>
        <v>80000</v>
      </c>
      <c r="P160" s="126"/>
      <c r="Q160" s="126">
        <f t="shared" si="160"/>
        <v>16850</v>
      </c>
      <c r="R160" s="126">
        <f t="shared" si="162"/>
        <v>674000</v>
      </c>
      <c r="S160" s="126"/>
      <c r="T160" s="127">
        <f t="shared" si="158"/>
        <v>250000</v>
      </c>
      <c r="U160" s="122">
        <f t="shared" si="152"/>
        <v>3102000</v>
      </c>
      <c r="V160" s="333"/>
      <c r="W160" s="338">
        <f t="shared" si="161"/>
        <v>258500</v>
      </c>
      <c r="X160" s="128">
        <f t="shared" si="153"/>
        <v>139590</v>
      </c>
      <c r="Y160" s="128">
        <f t="shared" si="154"/>
        <v>94150</v>
      </c>
      <c r="Z160" s="128">
        <f t="shared" si="97"/>
        <v>6170</v>
      </c>
      <c r="AA160" s="128">
        <f t="shared" si="155"/>
        <v>27920</v>
      </c>
      <c r="AB160" s="128">
        <f t="shared" si="156"/>
        <v>24820</v>
      </c>
      <c r="AC160" s="129">
        <f t="shared" si="157"/>
        <v>551150</v>
      </c>
      <c r="AD160" s="619">
        <f t="shared" si="151"/>
        <v>2550850</v>
      </c>
    </row>
    <row r="161" spans="1:30" s="24" customFormat="1" ht="17.25" hidden="1" customHeight="1">
      <c r="A161" s="1150"/>
      <c r="B161" s="119"/>
      <c r="C161" s="120"/>
      <c r="D161" s="120"/>
      <c r="E161" s="124" t="s">
        <v>332</v>
      </c>
      <c r="F161" s="126">
        <f>F156</f>
        <v>2098000</v>
      </c>
      <c r="G161" s="126"/>
      <c r="H161" s="126"/>
      <c r="I161" s="126"/>
      <c r="J161" s="126"/>
      <c r="K161" s="126"/>
      <c r="L161" s="126"/>
      <c r="M161" s="126"/>
      <c r="N161" s="126"/>
      <c r="O161" s="126">
        <f t="shared" si="159"/>
        <v>80000</v>
      </c>
      <c r="P161" s="126"/>
      <c r="Q161" s="126">
        <f t="shared" si="160"/>
        <v>16850</v>
      </c>
      <c r="R161" s="126">
        <f>Q161*40*2</f>
        <v>1348000</v>
      </c>
      <c r="S161" s="126"/>
      <c r="T161" s="127">
        <f t="shared" si="158"/>
        <v>250000</v>
      </c>
      <c r="U161" s="122">
        <f t="shared" si="152"/>
        <v>3776000</v>
      </c>
      <c r="V161" s="333"/>
      <c r="W161" s="338">
        <f t="shared" si="161"/>
        <v>314670</v>
      </c>
      <c r="X161" s="128">
        <f t="shared" si="153"/>
        <v>169920</v>
      </c>
      <c r="Y161" s="128">
        <f t="shared" si="154"/>
        <v>114610</v>
      </c>
      <c r="Z161" s="128">
        <f t="shared" si="97"/>
        <v>7510</v>
      </c>
      <c r="AA161" s="128">
        <f t="shared" si="155"/>
        <v>33980</v>
      </c>
      <c r="AB161" s="128">
        <f t="shared" si="156"/>
        <v>30210</v>
      </c>
      <c r="AC161" s="129">
        <f t="shared" si="157"/>
        <v>670900</v>
      </c>
      <c r="AD161" s="619">
        <f t="shared" si="151"/>
        <v>3105100</v>
      </c>
    </row>
    <row r="162" spans="1:30" s="24" customFormat="1" ht="16.5" hidden="1" customHeight="1">
      <c r="A162" s="1150">
        <v>13</v>
      </c>
      <c r="B162" s="119" t="s">
        <v>95</v>
      </c>
      <c r="C162" s="120" t="s">
        <v>510</v>
      </c>
      <c r="D162" s="120">
        <v>1</v>
      </c>
      <c r="E162" s="121" t="s">
        <v>94</v>
      </c>
      <c r="F162" s="122">
        <f t="shared" ref="F162:L162" si="163">SUM(F163:F174)</f>
        <v>25401000</v>
      </c>
      <c r="G162" s="122">
        <f t="shared" si="163"/>
        <v>0</v>
      </c>
      <c r="H162" s="122">
        <f t="shared" si="163"/>
        <v>0</v>
      </c>
      <c r="I162" s="122">
        <f t="shared" si="163"/>
        <v>0</v>
      </c>
      <c r="J162" s="122">
        <f t="shared" si="163"/>
        <v>0</v>
      </c>
      <c r="K162" s="122">
        <f t="shared" si="163"/>
        <v>0</v>
      </c>
      <c r="L162" s="122">
        <f t="shared" si="163"/>
        <v>0</v>
      </c>
      <c r="M162" s="122">
        <f>SUM(M163:M174)</f>
        <v>2517600</v>
      </c>
      <c r="N162" s="122">
        <f>SUM(N163:N174)</f>
        <v>0</v>
      </c>
      <c r="O162" s="122">
        <f>SUM(O163:O174)</f>
        <v>480000</v>
      </c>
      <c r="P162" s="122"/>
      <c r="Q162" s="122"/>
      <c r="R162" s="122">
        <f>SUM(R163:R174)</f>
        <v>4076400</v>
      </c>
      <c r="S162" s="122">
        <f>SUM(S163:S174)</f>
        <v>1019100</v>
      </c>
      <c r="T162" s="122">
        <f>SUM(T163:T174)</f>
        <v>3000000</v>
      </c>
      <c r="U162" s="122">
        <f>SUM(U163:U174)</f>
        <v>35475000</v>
      </c>
      <c r="V162" s="333"/>
      <c r="W162" s="350">
        <f t="shared" ref="W162:AB162" si="164">SUM(W163:W174)</f>
        <v>2977150</v>
      </c>
      <c r="X162" s="122">
        <f t="shared" si="164"/>
        <v>1596410</v>
      </c>
      <c r="Y162" s="122">
        <f t="shared" si="164"/>
        <v>1076720</v>
      </c>
      <c r="Z162" s="122">
        <f t="shared" si="164"/>
        <v>70550</v>
      </c>
      <c r="AA162" s="122">
        <f t="shared" si="164"/>
        <v>319300</v>
      </c>
      <c r="AB162" s="122">
        <f t="shared" si="164"/>
        <v>283800</v>
      </c>
      <c r="AC162" s="123">
        <f>SUM(AC163:AC174)</f>
        <v>6323930</v>
      </c>
      <c r="AD162" s="618">
        <f t="shared" si="151"/>
        <v>29151070</v>
      </c>
    </row>
    <row r="163" spans="1:30" s="24" customFormat="1" ht="16.5" hidden="1" customHeight="1">
      <c r="A163" s="1150"/>
      <c r="B163" s="119" t="s">
        <v>532</v>
      </c>
      <c r="C163" s="120">
        <v>10</v>
      </c>
      <c r="D163" s="120"/>
      <c r="E163" s="124" t="s">
        <v>324</v>
      </c>
      <c r="F163" s="125">
        <v>2098000</v>
      </c>
      <c r="G163" s="126"/>
      <c r="H163" s="125"/>
      <c r="I163" s="127"/>
      <c r="J163" s="126"/>
      <c r="K163" s="126"/>
      <c r="L163" s="126"/>
      <c r="M163" s="126"/>
      <c r="N163" s="126"/>
      <c r="O163" s="126">
        <v>40000</v>
      </c>
      <c r="P163" s="126"/>
      <c r="Q163" s="126"/>
      <c r="R163" s="126"/>
      <c r="S163" s="126"/>
      <c r="T163" s="127">
        <v>250000</v>
      </c>
      <c r="U163" s="122">
        <f>SUM(F163,M163,O163,R163,T163)</f>
        <v>2388000</v>
      </c>
      <c r="V163" s="333"/>
      <c r="W163" s="338">
        <f>ROUNDUP(U163*1/12,-1)</f>
        <v>199000</v>
      </c>
      <c r="X163" s="128">
        <f t="shared" ref="X163:X174" si="165">ROUND(U163*4.5%,-1)</f>
        <v>107460</v>
      </c>
      <c r="Y163" s="128">
        <f t="shared" ref="Y163:Y174" si="166">ROUNDUP((U163-L163)*3.035%,-1)</f>
        <v>72480</v>
      </c>
      <c r="Z163" s="128">
        <f>ROUNDUP(Y163*6.55%,-1)</f>
        <v>4750</v>
      </c>
      <c r="AA163" s="128">
        <f t="shared" ref="AA163:AA174" si="167">ROUND(U163*0.9%,-1)</f>
        <v>21490</v>
      </c>
      <c r="AB163" s="128">
        <f t="shared" ref="AB163:AB174" si="168">ROUND(U163*0.8%,-1)</f>
        <v>19100</v>
      </c>
      <c r="AC163" s="129">
        <f t="shared" ref="AC163:AC174" si="169">SUM(W163:AB163)</f>
        <v>424280</v>
      </c>
      <c r="AD163" s="619">
        <f t="shared" si="151"/>
        <v>1963720</v>
      </c>
    </row>
    <row r="164" spans="1:30" s="24" customFormat="1" ht="16.5" hidden="1" customHeight="1">
      <c r="A164" s="1150"/>
      <c r="B164" s="119"/>
      <c r="C164" s="120"/>
      <c r="D164" s="120"/>
      <c r="E164" s="124" t="s">
        <v>325</v>
      </c>
      <c r="F164" s="126">
        <f>F163</f>
        <v>2098000</v>
      </c>
      <c r="G164" s="126"/>
      <c r="H164" s="126"/>
      <c r="I164" s="126"/>
      <c r="J164" s="126"/>
      <c r="K164" s="126"/>
      <c r="L164" s="126"/>
      <c r="M164" s="126">
        <f>F164*60%</f>
        <v>1258800</v>
      </c>
      <c r="N164" s="126"/>
      <c r="O164" s="126">
        <f t="shared" ref="O164:O174" si="170">O163</f>
        <v>40000</v>
      </c>
      <c r="P164" s="126"/>
      <c r="Q164" s="126">
        <f t="shared" ref="Q164:Q174" si="171">ROUND((F163+T163)*1/209*1.5,-1)</f>
        <v>16850</v>
      </c>
      <c r="R164" s="126">
        <f>Q164*20</f>
        <v>337000</v>
      </c>
      <c r="S164" s="126">
        <f>Q164*5</f>
        <v>84250</v>
      </c>
      <c r="T164" s="127">
        <v>250000</v>
      </c>
      <c r="U164" s="122">
        <f t="shared" ref="U164:U174" si="172">SUM(F164,M164,O164,R164,T164)</f>
        <v>3983800</v>
      </c>
      <c r="V164" s="333"/>
      <c r="W164" s="338">
        <f>ROUNDUP((T164+U164)*1/12,-1)</f>
        <v>352820</v>
      </c>
      <c r="X164" s="128">
        <f t="shared" si="165"/>
        <v>179270</v>
      </c>
      <c r="Y164" s="128">
        <f t="shared" si="166"/>
        <v>120910</v>
      </c>
      <c r="Z164" s="128">
        <f t="shared" ref="Z164:Z174" si="173">ROUNDUP(Y164*6.55%,-1)</f>
        <v>7920</v>
      </c>
      <c r="AA164" s="128">
        <f t="shared" si="167"/>
        <v>35850</v>
      </c>
      <c r="AB164" s="128">
        <f t="shared" si="168"/>
        <v>31870</v>
      </c>
      <c r="AC164" s="129">
        <f t="shared" si="169"/>
        <v>728640</v>
      </c>
      <c r="AD164" s="619">
        <f t="shared" si="151"/>
        <v>3255160</v>
      </c>
    </row>
    <row r="165" spans="1:30" s="24" customFormat="1" ht="16.5" hidden="1" customHeight="1">
      <c r="A165" s="1150"/>
      <c r="B165" s="119"/>
      <c r="C165" s="120"/>
      <c r="D165" s="120"/>
      <c r="E165" s="124" t="s">
        <v>326</v>
      </c>
      <c r="F165" s="126">
        <f>F163</f>
        <v>2098000</v>
      </c>
      <c r="G165" s="126"/>
      <c r="H165" s="126"/>
      <c r="I165" s="126"/>
      <c r="J165" s="126"/>
      <c r="K165" s="126"/>
      <c r="L165" s="126"/>
      <c r="M165" s="126"/>
      <c r="N165" s="126"/>
      <c r="O165" s="126">
        <f t="shared" si="170"/>
        <v>40000</v>
      </c>
      <c r="P165" s="126"/>
      <c r="Q165" s="126">
        <f t="shared" si="171"/>
        <v>16850</v>
      </c>
      <c r="R165" s="126">
        <f>Q165*20</f>
        <v>337000</v>
      </c>
      <c r="S165" s="126">
        <f t="shared" ref="S165:S173" si="174">Q165*5</f>
        <v>84250</v>
      </c>
      <c r="T165" s="127">
        <v>250000</v>
      </c>
      <c r="U165" s="122">
        <f t="shared" si="172"/>
        <v>2725000</v>
      </c>
      <c r="V165" s="333"/>
      <c r="W165" s="338">
        <f t="shared" ref="W165:W174" si="175">ROUNDUP(U165*1/12,-1)</f>
        <v>227090</v>
      </c>
      <c r="X165" s="128">
        <f t="shared" si="165"/>
        <v>122630</v>
      </c>
      <c r="Y165" s="128">
        <f t="shared" si="166"/>
        <v>82710</v>
      </c>
      <c r="Z165" s="128">
        <f t="shared" si="173"/>
        <v>5420</v>
      </c>
      <c r="AA165" s="128">
        <f t="shared" si="167"/>
        <v>24530</v>
      </c>
      <c r="AB165" s="128">
        <f t="shared" si="168"/>
        <v>21800</v>
      </c>
      <c r="AC165" s="129">
        <f t="shared" si="169"/>
        <v>484180</v>
      </c>
      <c r="AD165" s="619">
        <f t="shared" si="151"/>
        <v>2240820</v>
      </c>
    </row>
    <row r="166" spans="1:30" s="24" customFormat="1" ht="16.5" hidden="1" customHeight="1">
      <c r="A166" s="1150"/>
      <c r="B166" s="119"/>
      <c r="C166" s="120"/>
      <c r="D166" s="120"/>
      <c r="E166" s="124" t="s">
        <v>327</v>
      </c>
      <c r="F166" s="126">
        <f>F163</f>
        <v>2098000</v>
      </c>
      <c r="G166" s="126"/>
      <c r="H166" s="126"/>
      <c r="I166" s="126"/>
      <c r="J166" s="126"/>
      <c r="K166" s="126"/>
      <c r="L166" s="126"/>
      <c r="M166" s="126"/>
      <c r="N166" s="126"/>
      <c r="O166" s="126">
        <f t="shared" si="170"/>
        <v>40000</v>
      </c>
      <c r="P166" s="126"/>
      <c r="Q166" s="126">
        <f t="shared" si="171"/>
        <v>16850</v>
      </c>
      <c r="R166" s="126">
        <f t="shared" ref="R166:R173" si="176">Q166*20</f>
        <v>337000</v>
      </c>
      <c r="S166" s="126">
        <f t="shared" si="174"/>
        <v>84250</v>
      </c>
      <c r="T166" s="127">
        <v>250000</v>
      </c>
      <c r="U166" s="122">
        <f t="shared" si="172"/>
        <v>2725000</v>
      </c>
      <c r="V166" s="333"/>
      <c r="W166" s="338">
        <f t="shared" si="175"/>
        <v>227090</v>
      </c>
      <c r="X166" s="128">
        <f t="shared" si="165"/>
        <v>122630</v>
      </c>
      <c r="Y166" s="128">
        <f t="shared" si="166"/>
        <v>82710</v>
      </c>
      <c r="Z166" s="128">
        <f t="shared" si="173"/>
        <v>5420</v>
      </c>
      <c r="AA166" s="128">
        <f t="shared" si="167"/>
        <v>24530</v>
      </c>
      <c r="AB166" s="128">
        <f t="shared" si="168"/>
        <v>21800</v>
      </c>
      <c r="AC166" s="129">
        <f t="shared" si="169"/>
        <v>484180</v>
      </c>
      <c r="AD166" s="619">
        <f t="shared" si="151"/>
        <v>2240820</v>
      </c>
    </row>
    <row r="167" spans="1:30" s="24" customFormat="1" ht="16.5" hidden="1" customHeight="1">
      <c r="A167" s="1150"/>
      <c r="B167" s="119"/>
      <c r="C167" s="120"/>
      <c r="D167" s="120"/>
      <c r="E167" s="124" t="s">
        <v>328</v>
      </c>
      <c r="F167" s="126">
        <f>F163</f>
        <v>2098000</v>
      </c>
      <c r="G167" s="126"/>
      <c r="H167" s="126"/>
      <c r="I167" s="126"/>
      <c r="J167" s="126"/>
      <c r="K167" s="126"/>
      <c r="L167" s="126"/>
      <c r="M167" s="126"/>
      <c r="N167" s="126"/>
      <c r="O167" s="126">
        <v>40000</v>
      </c>
      <c r="P167" s="126"/>
      <c r="Q167" s="126">
        <f t="shared" si="171"/>
        <v>16850</v>
      </c>
      <c r="R167" s="126">
        <f t="shared" si="176"/>
        <v>337000</v>
      </c>
      <c r="S167" s="126">
        <f t="shared" si="174"/>
        <v>84250</v>
      </c>
      <c r="T167" s="127">
        <v>250000</v>
      </c>
      <c r="U167" s="122">
        <f t="shared" si="172"/>
        <v>2725000</v>
      </c>
      <c r="V167" s="333"/>
      <c r="W167" s="338">
        <f t="shared" si="175"/>
        <v>227090</v>
      </c>
      <c r="X167" s="128">
        <f t="shared" si="165"/>
        <v>122630</v>
      </c>
      <c r="Y167" s="128">
        <f t="shared" si="166"/>
        <v>82710</v>
      </c>
      <c r="Z167" s="128">
        <f t="shared" si="173"/>
        <v>5420</v>
      </c>
      <c r="AA167" s="128">
        <f t="shared" si="167"/>
        <v>24530</v>
      </c>
      <c r="AB167" s="128">
        <f t="shared" si="168"/>
        <v>21800</v>
      </c>
      <c r="AC167" s="129">
        <f t="shared" si="169"/>
        <v>484180</v>
      </c>
      <c r="AD167" s="619">
        <f t="shared" si="151"/>
        <v>2240820</v>
      </c>
    </row>
    <row r="168" spans="1:30" s="24" customFormat="1" ht="16.5" hidden="1" customHeight="1">
      <c r="A168" s="1150"/>
      <c r="B168" s="119"/>
      <c r="C168" s="120"/>
      <c r="D168" s="120"/>
      <c r="E168" s="124" t="s">
        <v>329</v>
      </c>
      <c r="F168" s="126">
        <f>F163</f>
        <v>2098000</v>
      </c>
      <c r="G168" s="126"/>
      <c r="H168" s="126"/>
      <c r="I168" s="126"/>
      <c r="J168" s="126"/>
      <c r="K168" s="126"/>
      <c r="L168" s="126"/>
      <c r="M168" s="126"/>
      <c r="N168" s="126"/>
      <c r="O168" s="126">
        <v>40000</v>
      </c>
      <c r="P168" s="126"/>
      <c r="Q168" s="126">
        <f t="shared" si="171"/>
        <v>16850</v>
      </c>
      <c r="R168" s="126">
        <f t="shared" si="176"/>
        <v>337000</v>
      </c>
      <c r="S168" s="126">
        <f t="shared" si="174"/>
        <v>84250</v>
      </c>
      <c r="T168" s="127">
        <v>250000</v>
      </c>
      <c r="U168" s="122">
        <f t="shared" si="172"/>
        <v>2725000</v>
      </c>
      <c r="V168" s="333"/>
      <c r="W168" s="338">
        <f t="shared" si="175"/>
        <v>227090</v>
      </c>
      <c r="X168" s="128">
        <f t="shared" si="165"/>
        <v>122630</v>
      </c>
      <c r="Y168" s="128">
        <f t="shared" si="166"/>
        <v>82710</v>
      </c>
      <c r="Z168" s="128">
        <f t="shared" si="173"/>
        <v>5420</v>
      </c>
      <c r="AA168" s="128">
        <f t="shared" si="167"/>
        <v>24530</v>
      </c>
      <c r="AB168" s="128">
        <f t="shared" si="168"/>
        <v>21800</v>
      </c>
      <c r="AC168" s="129">
        <f t="shared" si="169"/>
        <v>484180</v>
      </c>
      <c r="AD168" s="619">
        <f t="shared" si="151"/>
        <v>2240820</v>
      </c>
    </row>
    <row r="169" spans="1:30" s="24" customFormat="1" ht="16.5" hidden="1" customHeight="1">
      <c r="A169" s="1150"/>
      <c r="B169" s="119"/>
      <c r="C169" s="120"/>
      <c r="D169" s="120"/>
      <c r="E169" s="124" t="s">
        <v>330</v>
      </c>
      <c r="F169" s="127">
        <f>F163</f>
        <v>2098000</v>
      </c>
      <c r="G169" s="126"/>
      <c r="H169" s="125"/>
      <c r="I169" s="126"/>
      <c r="J169" s="126"/>
      <c r="K169" s="126"/>
      <c r="L169" s="126"/>
      <c r="M169" s="126"/>
      <c r="N169" s="126"/>
      <c r="O169" s="126">
        <f t="shared" si="170"/>
        <v>40000</v>
      </c>
      <c r="P169" s="126"/>
      <c r="Q169" s="126">
        <f t="shared" si="171"/>
        <v>16850</v>
      </c>
      <c r="R169" s="126">
        <f t="shared" si="176"/>
        <v>337000</v>
      </c>
      <c r="S169" s="126">
        <f t="shared" si="174"/>
        <v>84250</v>
      </c>
      <c r="T169" s="127">
        <v>250000</v>
      </c>
      <c r="U169" s="122">
        <f t="shared" si="172"/>
        <v>2725000</v>
      </c>
      <c r="V169" s="333"/>
      <c r="W169" s="338">
        <f t="shared" si="175"/>
        <v>227090</v>
      </c>
      <c r="X169" s="128">
        <f t="shared" si="165"/>
        <v>122630</v>
      </c>
      <c r="Y169" s="128">
        <f t="shared" si="166"/>
        <v>82710</v>
      </c>
      <c r="Z169" s="128">
        <f t="shared" si="173"/>
        <v>5420</v>
      </c>
      <c r="AA169" s="128">
        <f t="shared" si="167"/>
        <v>24530</v>
      </c>
      <c r="AB169" s="128">
        <f t="shared" si="168"/>
        <v>21800</v>
      </c>
      <c r="AC169" s="129">
        <f t="shared" si="169"/>
        <v>484180</v>
      </c>
      <c r="AD169" s="619">
        <f t="shared" si="151"/>
        <v>2240820</v>
      </c>
    </row>
    <row r="170" spans="1:30" s="24" customFormat="1" ht="16.5" hidden="1" customHeight="1">
      <c r="A170" s="1150"/>
      <c r="B170" s="119"/>
      <c r="C170" s="120"/>
      <c r="D170" s="120"/>
      <c r="E170" s="124" t="s">
        <v>331</v>
      </c>
      <c r="F170" s="126">
        <f>F163</f>
        <v>2098000</v>
      </c>
      <c r="G170" s="126"/>
      <c r="H170" s="126"/>
      <c r="I170" s="126"/>
      <c r="J170" s="126"/>
      <c r="K170" s="126"/>
      <c r="L170" s="126"/>
      <c r="M170" s="126"/>
      <c r="N170" s="126"/>
      <c r="O170" s="126">
        <f t="shared" si="170"/>
        <v>40000</v>
      </c>
      <c r="P170" s="126"/>
      <c r="Q170" s="126">
        <f t="shared" si="171"/>
        <v>16850</v>
      </c>
      <c r="R170" s="126">
        <f t="shared" si="176"/>
        <v>337000</v>
      </c>
      <c r="S170" s="126">
        <f t="shared" si="174"/>
        <v>84250</v>
      </c>
      <c r="T170" s="127">
        <v>250000</v>
      </c>
      <c r="U170" s="122">
        <f t="shared" si="172"/>
        <v>2725000</v>
      </c>
      <c r="V170" s="333"/>
      <c r="W170" s="338">
        <f t="shared" si="175"/>
        <v>227090</v>
      </c>
      <c r="X170" s="128">
        <f t="shared" si="165"/>
        <v>122630</v>
      </c>
      <c r="Y170" s="128">
        <f t="shared" si="166"/>
        <v>82710</v>
      </c>
      <c r="Z170" s="128">
        <f t="shared" si="173"/>
        <v>5420</v>
      </c>
      <c r="AA170" s="128">
        <f t="shared" si="167"/>
        <v>24530</v>
      </c>
      <c r="AB170" s="128">
        <f t="shared" si="168"/>
        <v>21800</v>
      </c>
      <c r="AC170" s="129">
        <f t="shared" si="169"/>
        <v>484180</v>
      </c>
      <c r="AD170" s="619">
        <f t="shared" si="151"/>
        <v>2240820</v>
      </c>
    </row>
    <row r="171" spans="1:30" s="24" customFormat="1" ht="16.5" hidden="1" customHeight="1">
      <c r="A171" s="1150"/>
      <c r="B171" s="119"/>
      <c r="C171" s="120"/>
      <c r="D171" s="120"/>
      <c r="E171" s="124" t="s">
        <v>62</v>
      </c>
      <c r="F171" s="126">
        <f>F163</f>
        <v>2098000</v>
      </c>
      <c r="G171" s="126"/>
      <c r="H171" s="126"/>
      <c r="I171" s="126"/>
      <c r="J171" s="126"/>
      <c r="K171" s="126"/>
      <c r="L171" s="126"/>
      <c r="M171" s="126">
        <f>F171*60%</f>
        <v>1258800</v>
      </c>
      <c r="N171" s="126"/>
      <c r="O171" s="126">
        <f t="shared" si="170"/>
        <v>40000</v>
      </c>
      <c r="P171" s="126"/>
      <c r="Q171" s="126">
        <f t="shared" si="171"/>
        <v>16850</v>
      </c>
      <c r="R171" s="126">
        <f t="shared" si="176"/>
        <v>337000</v>
      </c>
      <c r="S171" s="126">
        <f t="shared" si="174"/>
        <v>84250</v>
      </c>
      <c r="T171" s="127">
        <v>250000</v>
      </c>
      <c r="U171" s="122">
        <f t="shared" si="172"/>
        <v>3983800</v>
      </c>
      <c r="V171" s="333"/>
      <c r="W171" s="338">
        <f t="shared" si="175"/>
        <v>331990</v>
      </c>
      <c r="X171" s="128">
        <f t="shared" si="165"/>
        <v>179270</v>
      </c>
      <c r="Y171" s="128">
        <f t="shared" si="166"/>
        <v>120910</v>
      </c>
      <c r="Z171" s="128">
        <f t="shared" si="173"/>
        <v>7920</v>
      </c>
      <c r="AA171" s="128">
        <f t="shared" si="167"/>
        <v>35850</v>
      </c>
      <c r="AB171" s="128">
        <f t="shared" si="168"/>
        <v>31870</v>
      </c>
      <c r="AC171" s="129">
        <f t="shared" si="169"/>
        <v>707810</v>
      </c>
      <c r="AD171" s="619">
        <f t="shared" si="151"/>
        <v>3275990</v>
      </c>
    </row>
    <row r="172" spans="1:30" s="24" customFormat="1" ht="16.5" hidden="1" customHeight="1">
      <c r="A172" s="1150"/>
      <c r="B172" s="119"/>
      <c r="C172" s="120">
        <v>11</v>
      </c>
      <c r="D172" s="120"/>
      <c r="E172" s="124" t="s">
        <v>63</v>
      </c>
      <c r="F172" s="125">
        <v>2173000</v>
      </c>
      <c r="G172" s="126"/>
      <c r="H172" s="127"/>
      <c r="I172" s="126"/>
      <c r="J172" s="126"/>
      <c r="K172" s="126"/>
      <c r="L172" s="126"/>
      <c r="M172" s="126"/>
      <c r="N172" s="126"/>
      <c r="O172" s="126">
        <f t="shared" si="170"/>
        <v>40000</v>
      </c>
      <c r="P172" s="126"/>
      <c r="Q172" s="126">
        <f t="shared" si="171"/>
        <v>16850</v>
      </c>
      <c r="R172" s="126">
        <f t="shared" si="176"/>
        <v>337000</v>
      </c>
      <c r="S172" s="126">
        <f t="shared" si="174"/>
        <v>84250</v>
      </c>
      <c r="T172" s="127">
        <v>250000</v>
      </c>
      <c r="U172" s="122">
        <f t="shared" si="172"/>
        <v>2800000</v>
      </c>
      <c r="V172" s="333"/>
      <c r="W172" s="338">
        <f t="shared" si="175"/>
        <v>233340</v>
      </c>
      <c r="X172" s="128">
        <f t="shared" si="165"/>
        <v>126000</v>
      </c>
      <c r="Y172" s="128">
        <f t="shared" si="166"/>
        <v>84980</v>
      </c>
      <c r="Z172" s="128">
        <f t="shared" si="173"/>
        <v>5570</v>
      </c>
      <c r="AA172" s="128">
        <f t="shared" si="167"/>
        <v>25200</v>
      </c>
      <c r="AB172" s="128">
        <f t="shared" si="168"/>
        <v>22400</v>
      </c>
      <c r="AC172" s="129">
        <f t="shared" si="169"/>
        <v>497490</v>
      </c>
      <c r="AD172" s="619">
        <f t="shared" si="151"/>
        <v>2302510</v>
      </c>
    </row>
    <row r="173" spans="1:30" s="24" customFormat="1" ht="16.5" hidden="1" customHeight="1">
      <c r="A173" s="1150"/>
      <c r="B173" s="119"/>
      <c r="C173" s="120"/>
      <c r="D173" s="120"/>
      <c r="E173" s="124" t="s">
        <v>64</v>
      </c>
      <c r="F173" s="126">
        <f>F172</f>
        <v>2173000</v>
      </c>
      <c r="G173" s="126"/>
      <c r="H173" s="126"/>
      <c r="I173" s="126"/>
      <c r="J173" s="126"/>
      <c r="K173" s="126"/>
      <c r="L173" s="126"/>
      <c r="M173" s="126"/>
      <c r="N173" s="126"/>
      <c r="O173" s="126">
        <f t="shared" si="170"/>
        <v>40000</v>
      </c>
      <c r="P173" s="126"/>
      <c r="Q173" s="126">
        <f t="shared" si="171"/>
        <v>17390</v>
      </c>
      <c r="R173" s="126">
        <f t="shared" si="176"/>
        <v>347800</v>
      </c>
      <c r="S173" s="126">
        <f t="shared" si="174"/>
        <v>86950</v>
      </c>
      <c r="T173" s="127">
        <v>250000</v>
      </c>
      <c r="U173" s="122">
        <f t="shared" si="172"/>
        <v>2810800</v>
      </c>
      <c r="V173" s="333"/>
      <c r="W173" s="338">
        <f t="shared" si="175"/>
        <v>234240</v>
      </c>
      <c r="X173" s="128">
        <f t="shared" si="165"/>
        <v>126490</v>
      </c>
      <c r="Y173" s="128">
        <f t="shared" si="166"/>
        <v>85310</v>
      </c>
      <c r="Z173" s="128">
        <f t="shared" si="173"/>
        <v>5590</v>
      </c>
      <c r="AA173" s="128">
        <f t="shared" si="167"/>
        <v>25300</v>
      </c>
      <c r="AB173" s="128">
        <f t="shared" si="168"/>
        <v>22490</v>
      </c>
      <c r="AC173" s="129">
        <f t="shared" si="169"/>
        <v>499420</v>
      </c>
      <c r="AD173" s="619">
        <f t="shared" si="151"/>
        <v>2311380</v>
      </c>
    </row>
    <row r="174" spans="1:30" s="24" customFormat="1" ht="16.5" hidden="1" customHeight="1">
      <c r="A174" s="1150"/>
      <c r="B174" s="119"/>
      <c r="C174" s="120"/>
      <c r="D174" s="120"/>
      <c r="E174" s="124" t="s">
        <v>332</v>
      </c>
      <c r="F174" s="126">
        <f>F172</f>
        <v>2173000</v>
      </c>
      <c r="G174" s="126"/>
      <c r="H174" s="126"/>
      <c r="I174" s="126"/>
      <c r="J174" s="126"/>
      <c r="K174" s="126"/>
      <c r="L174" s="126"/>
      <c r="M174" s="126"/>
      <c r="N174" s="126"/>
      <c r="O174" s="126">
        <f t="shared" si="170"/>
        <v>40000</v>
      </c>
      <c r="P174" s="126"/>
      <c r="Q174" s="126">
        <f t="shared" si="171"/>
        <v>17390</v>
      </c>
      <c r="R174" s="126">
        <f>Q174*20*2</f>
        <v>695600</v>
      </c>
      <c r="S174" s="126">
        <f>(Q174*5)*2</f>
        <v>173900</v>
      </c>
      <c r="T174" s="127">
        <v>250000</v>
      </c>
      <c r="U174" s="122">
        <f t="shared" si="172"/>
        <v>3158600</v>
      </c>
      <c r="V174" s="333"/>
      <c r="W174" s="338">
        <f t="shared" si="175"/>
        <v>263220</v>
      </c>
      <c r="X174" s="128">
        <f t="shared" si="165"/>
        <v>142140</v>
      </c>
      <c r="Y174" s="128">
        <f t="shared" si="166"/>
        <v>95870</v>
      </c>
      <c r="Z174" s="128">
        <f t="shared" si="173"/>
        <v>6280</v>
      </c>
      <c r="AA174" s="128">
        <f t="shared" si="167"/>
        <v>28430</v>
      </c>
      <c r="AB174" s="128">
        <f t="shared" si="168"/>
        <v>25270</v>
      </c>
      <c r="AC174" s="129">
        <f t="shared" si="169"/>
        <v>561210</v>
      </c>
      <c r="AD174" s="619">
        <f t="shared" si="151"/>
        <v>2597390</v>
      </c>
    </row>
    <row r="175" spans="1:30" s="24" customFormat="1" ht="18" hidden="1" customHeight="1">
      <c r="A175" s="1150">
        <v>14</v>
      </c>
      <c r="B175" s="119" t="s">
        <v>95</v>
      </c>
      <c r="C175" s="120" t="s">
        <v>661</v>
      </c>
      <c r="D175" s="120">
        <v>1</v>
      </c>
      <c r="E175" s="121" t="s">
        <v>94</v>
      </c>
      <c r="F175" s="122">
        <f t="shared" ref="F175:L175" si="177">SUM(F176:F187)</f>
        <v>22951000</v>
      </c>
      <c r="G175" s="122">
        <f t="shared" si="177"/>
        <v>0</v>
      </c>
      <c r="H175" s="122">
        <f t="shared" si="177"/>
        <v>0</v>
      </c>
      <c r="I175" s="122">
        <f t="shared" si="177"/>
        <v>0</v>
      </c>
      <c r="J175" s="122">
        <f t="shared" si="177"/>
        <v>0</v>
      </c>
      <c r="K175" s="122">
        <f t="shared" si="177"/>
        <v>0</v>
      </c>
      <c r="L175" s="122">
        <f t="shared" si="177"/>
        <v>0</v>
      </c>
      <c r="M175" s="122">
        <f>SUM(M176:M187)</f>
        <v>2299800</v>
      </c>
      <c r="N175" s="122">
        <f>SUM(N176:N187)</f>
        <v>0</v>
      </c>
      <c r="O175" s="122">
        <f>SUM(O176:O187)</f>
        <v>480000</v>
      </c>
      <c r="P175" s="122"/>
      <c r="Q175" s="122"/>
      <c r="R175" s="122">
        <f>SUM(R176:R187)</f>
        <v>3725200</v>
      </c>
      <c r="S175" s="122">
        <f>SUM(S176:S187)</f>
        <v>931300</v>
      </c>
      <c r="T175" s="122">
        <f>SUM(T176:T187)</f>
        <v>3000000</v>
      </c>
      <c r="U175" s="122">
        <f>SUM(U176:U187)</f>
        <v>32456000</v>
      </c>
      <c r="V175" s="333"/>
      <c r="W175" s="350">
        <f t="shared" ref="W175:AB175" si="178">SUM(W176:W187)</f>
        <v>2725540</v>
      </c>
      <c r="X175" s="122">
        <f t="shared" si="178"/>
        <v>1460550</v>
      </c>
      <c r="Y175" s="122">
        <f t="shared" si="178"/>
        <v>985080</v>
      </c>
      <c r="Z175" s="122">
        <f t="shared" si="178"/>
        <v>64600</v>
      </c>
      <c r="AA175" s="122">
        <f t="shared" si="178"/>
        <v>292140</v>
      </c>
      <c r="AB175" s="122">
        <f t="shared" si="178"/>
        <v>259630</v>
      </c>
      <c r="AC175" s="123">
        <f>SUM(AC176:AC187)</f>
        <v>5787540</v>
      </c>
      <c r="AD175" s="618">
        <f t="shared" si="151"/>
        <v>26668460</v>
      </c>
    </row>
    <row r="176" spans="1:30" s="24" customFormat="1" ht="18" hidden="1" customHeight="1">
      <c r="A176" s="1150"/>
      <c r="B176" s="119" t="s">
        <v>540</v>
      </c>
      <c r="C176" s="120">
        <v>6</v>
      </c>
      <c r="D176" s="120"/>
      <c r="E176" s="124" t="s">
        <v>324</v>
      </c>
      <c r="F176" s="125">
        <v>1893000</v>
      </c>
      <c r="G176" s="126"/>
      <c r="H176" s="125"/>
      <c r="I176" s="127"/>
      <c r="J176" s="126"/>
      <c r="K176" s="126"/>
      <c r="L176" s="126"/>
      <c r="M176" s="126"/>
      <c r="N176" s="126"/>
      <c r="O176" s="126">
        <v>40000</v>
      </c>
      <c r="P176" s="126"/>
      <c r="Q176" s="126"/>
      <c r="R176" s="126"/>
      <c r="S176" s="126"/>
      <c r="T176" s="127">
        <v>250000</v>
      </c>
      <c r="U176" s="122">
        <f>SUM(F176,M176,O176,R176,T176)</f>
        <v>2183000</v>
      </c>
      <c r="V176" s="333"/>
      <c r="W176" s="338">
        <f>ROUNDUP(U176*1/12,-1)</f>
        <v>181920</v>
      </c>
      <c r="X176" s="128">
        <f t="shared" ref="X176:X187" si="179">ROUND(U176*4.5%,-1)</f>
        <v>98240</v>
      </c>
      <c r="Y176" s="128">
        <f t="shared" ref="Y176:Y187" si="180">ROUNDUP((U176-L176)*3.035%,-1)</f>
        <v>66260</v>
      </c>
      <c r="Z176" s="128">
        <f>ROUNDUP(Y176*6.55%,-1)</f>
        <v>4350</v>
      </c>
      <c r="AA176" s="128">
        <f t="shared" ref="AA176:AA187" si="181">ROUND(U176*0.9%,-1)</f>
        <v>19650</v>
      </c>
      <c r="AB176" s="128">
        <f t="shared" ref="AB176:AB187" si="182">ROUND(U176*0.8%,-1)</f>
        <v>17460</v>
      </c>
      <c r="AC176" s="129">
        <f t="shared" ref="AC176:AC187" si="183">SUM(W176:AB176)</f>
        <v>387880</v>
      </c>
      <c r="AD176" s="619">
        <f t="shared" si="151"/>
        <v>1795120</v>
      </c>
    </row>
    <row r="177" spans="1:30" s="24" customFormat="1" ht="18" hidden="1" customHeight="1">
      <c r="A177" s="1150"/>
      <c r="B177" s="119"/>
      <c r="C177" s="120"/>
      <c r="D177" s="120"/>
      <c r="E177" s="124" t="s">
        <v>325</v>
      </c>
      <c r="F177" s="126">
        <f>F176</f>
        <v>1893000</v>
      </c>
      <c r="G177" s="126"/>
      <c r="H177" s="126"/>
      <c r="I177" s="126"/>
      <c r="J177" s="126"/>
      <c r="K177" s="126"/>
      <c r="L177" s="126"/>
      <c r="M177" s="126">
        <f>F177*60%</f>
        <v>1135800</v>
      </c>
      <c r="N177" s="126"/>
      <c r="O177" s="126">
        <f>O176</f>
        <v>40000</v>
      </c>
      <c r="P177" s="126"/>
      <c r="Q177" s="126">
        <f>ROUND((F176+T176)*1/209*1.5,-1)</f>
        <v>15380</v>
      </c>
      <c r="R177" s="126">
        <f>Q177*20</f>
        <v>307600</v>
      </c>
      <c r="S177" s="126">
        <f>Q177*5</f>
        <v>76900</v>
      </c>
      <c r="T177" s="127">
        <f t="shared" ref="T177:T187" si="184">T176</f>
        <v>250000</v>
      </c>
      <c r="U177" s="122">
        <f t="shared" ref="U177:U187" si="185">SUM(F177,M177,O177,R177,T177)</f>
        <v>3626400</v>
      </c>
      <c r="V177" s="333"/>
      <c r="W177" s="338">
        <f>ROUNDUP((T177+U177)*1/12,-1)</f>
        <v>323040</v>
      </c>
      <c r="X177" s="128">
        <f t="shared" si="179"/>
        <v>163190</v>
      </c>
      <c r="Y177" s="128">
        <f t="shared" si="180"/>
        <v>110070</v>
      </c>
      <c r="Z177" s="128">
        <f t="shared" ref="Z177:Z187" si="186">ROUNDUP(Y177*6.55%,-1)</f>
        <v>7210</v>
      </c>
      <c r="AA177" s="128">
        <f t="shared" si="181"/>
        <v>32640</v>
      </c>
      <c r="AB177" s="128">
        <f t="shared" si="182"/>
        <v>29010</v>
      </c>
      <c r="AC177" s="129">
        <f t="shared" si="183"/>
        <v>665160</v>
      </c>
      <c r="AD177" s="619">
        <f t="shared" si="151"/>
        <v>2961240</v>
      </c>
    </row>
    <row r="178" spans="1:30" s="24" customFormat="1" ht="18" hidden="1" customHeight="1">
      <c r="A178" s="1150"/>
      <c r="B178" s="119"/>
      <c r="C178" s="120"/>
      <c r="D178" s="120"/>
      <c r="E178" s="124" t="s">
        <v>326</v>
      </c>
      <c r="F178" s="126">
        <f>F176</f>
        <v>1893000</v>
      </c>
      <c r="G178" s="126"/>
      <c r="H178" s="126"/>
      <c r="I178" s="126"/>
      <c r="J178" s="126"/>
      <c r="K178" s="126"/>
      <c r="L178" s="126"/>
      <c r="M178" s="126"/>
      <c r="N178" s="126"/>
      <c r="O178" s="126">
        <f>O177</f>
        <v>40000</v>
      </c>
      <c r="P178" s="126"/>
      <c r="Q178" s="126">
        <f t="shared" ref="Q178:Q187" si="187">ROUND((F177+T177)*1/209*1.5,-1)</f>
        <v>15380</v>
      </c>
      <c r="R178" s="126">
        <f>Q178*20</f>
        <v>307600</v>
      </c>
      <c r="S178" s="126">
        <f t="shared" ref="S178:S186" si="188">Q178*5</f>
        <v>76900</v>
      </c>
      <c r="T178" s="127">
        <f t="shared" si="184"/>
        <v>250000</v>
      </c>
      <c r="U178" s="122">
        <f t="shared" si="185"/>
        <v>2490600</v>
      </c>
      <c r="V178" s="333"/>
      <c r="W178" s="338">
        <f t="shared" ref="W178:W187" si="189">ROUNDUP(U178*1/12,-1)</f>
        <v>207550</v>
      </c>
      <c r="X178" s="128">
        <f t="shared" si="179"/>
        <v>112080</v>
      </c>
      <c r="Y178" s="128">
        <f t="shared" si="180"/>
        <v>75590</v>
      </c>
      <c r="Z178" s="128">
        <f t="shared" si="186"/>
        <v>4960</v>
      </c>
      <c r="AA178" s="128">
        <f t="shared" si="181"/>
        <v>22420</v>
      </c>
      <c r="AB178" s="128">
        <f t="shared" si="182"/>
        <v>19920</v>
      </c>
      <c r="AC178" s="129">
        <f t="shared" si="183"/>
        <v>442520</v>
      </c>
      <c r="AD178" s="619">
        <f t="shared" si="151"/>
        <v>2048080</v>
      </c>
    </row>
    <row r="179" spans="1:30" s="24" customFormat="1" ht="18" hidden="1" customHeight="1">
      <c r="A179" s="1150"/>
      <c r="B179" s="119"/>
      <c r="C179" s="120"/>
      <c r="D179" s="120"/>
      <c r="E179" s="124" t="s">
        <v>327</v>
      </c>
      <c r="F179" s="126">
        <f>F176</f>
        <v>1893000</v>
      </c>
      <c r="G179" s="126"/>
      <c r="H179" s="126"/>
      <c r="I179" s="126"/>
      <c r="J179" s="126"/>
      <c r="K179" s="126"/>
      <c r="L179" s="126"/>
      <c r="M179" s="126"/>
      <c r="N179" s="126"/>
      <c r="O179" s="126">
        <f>O178</f>
        <v>40000</v>
      </c>
      <c r="P179" s="126"/>
      <c r="Q179" s="126">
        <f t="shared" si="187"/>
        <v>15380</v>
      </c>
      <c r="R179" s="126">
        <f t="shared" ref="R179:R186" si="190">Q179*20</f>
        <v>307600</v>
      </c>
      <c r="S179" s="126">
        <f t="shared" si="188"/>
        <v>76900</v>
      </c>
      <c r="T179" s="127">
        <f t="shared" si="184"/>
        <v>250000</v>
      </c>
      <c r="U179" s="122">
        <f t="shared" si="185"/>
        <v>2490600</v>
      </c>
      <c r="V179" s="333"/>
      <c r="W179" s="338">
        <f t="shared" si="189"/>
        <v>207550</v>
      </c>
      <c r="X179" s="128">
        <f t="shared" si="179"/>
        <v>112080</v>
      </c>
      <c r="Y179" s="128">
        <f t="shared" si="180"/>
        <v>75590</v>
      </c>
      <c r="Z179" s="128">
        <f t="shared" si="186"/>
        <v>4960</v>
      </c>
      <c r="AA179" s="128">
        <f t="shared" si="181"/>
        <v>22420</v>
      </c>
      <c r="AB179" s="128">
        <f t="shared" si="182"/>
        <v>19920</v>
      </c>
      <c r="AC179" s="129">
        <f t="shared" si="183"/>
        <v>442520</v>
      </c>
      <c r="AD179" s="619">
        <f t="shared" si="151"/>
        <v>2048080</v>
      </c>
    </row>
    <row r="180" spans="1:30" s="24" customFormat="1" ht="18" hidden="1" customHeight="1">
      <c r="A180" s="1150"/>
      <c r="B180" s="119"/>
      <c r="C180" s="120"/>
      <c r="D180" s="120"/>
      <c r="E180" s="124" t="s">
        <v>328</v>
      </c>
      <c r="F180" s="126">
        <f>F176</f>
        <v>1893000</v>
      </c>
      <c r="G180" s="126"/>
      <c r="H180" s="126"/>
      <c r="I180" s="126"/>
      <c r="J180" s="126"/>
      <c r="K180" s="126"/>
      <c r="L180" s="126"/>
      <c r="M180" s="126"/>
      <c r="N180" s="126"/>
      <c r="O180" s="126">
        <f>O179</f>
        <v>40000</v>
      </c>
      <c r="P180" s="126"/>
      <c r="Q180" s="126">
        <f t="shared" si="187"/>
        <v>15380</v>
      </c>
      <c r="R180" s="126">
        <f t="shared" si="190"/>
        <v>307600</v>
      </c>
      <c r="S180" s="126">
        <f t="shared" si="188"/>
        <v>76900</v>
      </c>
      <c r="T180" s="127">
        <f t="shared" si="184"/>
        <v>250000</v>
      </c>
      <c r="U180" s="122">
        <f t="shared" si="185"/>
        <v>2490600</v>
      </c>
      <c r="V180" s="333"/>
      <c r="W180" s="338">
        <f t="shared" si="189"/>
        <v>207550</v>
      </c>
      <c r="X180" s="128">
        <f t="shared" si="179"/>
        <v>112080</v>
      </c>
      <c r="Y180" s="128">
        <f t="shared" si="180"/>
        <v>75590</v>
      </c>
      <c r="Z180" s="128">
        <f t="shared" si="186"/>
        <v>4960</v>
      </c>
      <c r="AA180" s="128">
        <f t="shared" si="181"/>
        <v>22420</v>
      </c>
      <c r="AB180" s="128">
        <f t="shared" si="182"/>
        <v>19920</v>
      </c>
      <c r="AC180" s="129">
        <f t="shared" si="183"/>
        <v>442520</v>
      </c>
      <c r="AD180" s="619">
        <f t="shared" si="151"/>
        <v>2048080</v>
      </c>
    </row>
    <row r="181" spans="1:30" s="24" customFormat="1" ht="18" hidden="1" customHeight="1">
      <c r="A181" s="1150"/>
      <c r="B181" s="119"/>
      <c r="C181" s="120"/>
      <c r="D181" s="120"/>
      <c r="E181" s="124" t="s">
        <v>329</v>
      </c>
      <c r="F181" s="126">
        <f>F176</f>
        <v>1893000</v>
      </c>
      <c r="G181" s="126"/>
      <c r="H181" s="126"/>
      <c r="I181" s="127"/>
      <c r="J181" s="126"/>
      <c r="K181" s="126"/>
      <c r="L181" s="126"/>
      <c r="M181" s="126"/>
      <c r="N181" s="126"/>
      <c r="O181" s="126">
        <v>40000</v>
      </c>
      <c r="P181" s="126"/>
      <c r="Q181" s="126">
        <f t="shared" si="187"/>
        <v>15380</v>
      </c>
      <c r="R181" s="126">
        <f t="shared" si="190"/>
        <v>307600</v>
      </c>
      <c r="S181" s="126">
        <f t="shared" si="188"/>
        <v>76900</v>
      </c>
      <c r="T181" s="127">
        <f t="shared" si="184"/>
        <v>250000</v>
      </c>
      <c r="U181" s="122">
        <f t="shared" si="185"/>
        <v>2490600</v>
      </c>
      <c r="V181" s="333"/>
      <c r="W181" s="338">
        <f t="shared" si="189"/>
        <v>207550</v>
      </c>
      <c r="X181" s="128">
        <f t="shared" si="179"/>
        <v>112080</v>
      </c>
      <c r="Y181" s="128">
        <f t="shared" si="180"/>
        <v>75590</v>
      </c>
      <c r="Z181" s="128">
        <f t="shared" si="186"/>
        <v>4960</v>
      </c>
      <c r="AA181" s="128">
        <f t="shared" si="181"/>
        <v>22420</v>
      </c>
      <c r="AB181" s="128">
        <f t="shared" si="182"/>
        <v>19920</v>
      </c>
      <c r="AC181" s="129">
        <f t="shared" si="183"/>
        <v>442520</v>
      </c>
      <c r="AD181" s="619">
        <f t="shared" si="151"/>
        <v>2048080</v>
      </c>
    </row>
    <row r="182" spans="1:30" s="24" customFormat="1" ht="18" hidden="1" customHeight="1">
      <c r="A182" s="1150"/>
      <c r="B182" s="119"/>
      <c r="C182" s="120"/>
      <c r="D182" s="120"/>
      <c r="E182" s="124" t="s">
        <v>330</v>
      </c>
      <c r="F182" s="127">
        <f>F176</f>
        <v>1893000</v>
      </c>
      <c r="G182" s="126"/>
      <c r="H182" s="125"/>
      <c r="I182" s="127"/>
      <c r="J182" s="126"/>
      <c r="K182" s="126"/>
      <c r="L182" s="126"/>
      <c r="M182" s="126"/>
      <c r="N182" s="126"/>
      <c r="O182" s="126">
        <v>40000</v>
      </c>
      <c r="P182" s="126"/>
      <c r="Q182" s="126">
        <f t="shared" si="187"/>
        <v>15380</v>
      </c>
      <c r="R182" s="126">
        <f t="shared" si="190"/>
        <v>307600</v>
      </c>
      <c r="S182" s="126">
        <f t="shared" si="188"/>
        <v>76900</v>
      </c>
      <c r="T182" s="127">
        <f t="shared" si="184"/>
        <v>250000</v>
      </c>
      <c r="U182" s="122">
        <f t="shared" si="185"/>
        <v>2490600</v>
      </c>
      <c r="V182" s="333"/>
      <c r="W182" s="338">
        <f t="shared" si="189"/>
        <v>207550</v>
      </c>
      <c r="X182" s="128">
        <f t="shared" si="179"/>
        <v>112080</v>
      </c>
      <c r="Y182" s="128">
        <f t="shared" si="180"/>
        <v>75590</v>
      </c>
      <c r="Z182" s="128">
        <f t="shared" si="186"/>
        <v>4960</v>
      </c>
      <c r="AA182" s="128">
        <f t="shared" si="181"/>
        <v>22420</v>
      </c>
      <c r="AB182" s="128">
        <f t="shared" si="182"/>
        <v>19920</v>
      </c>
      <c r="AC182" s="129">
        <f t="shared" si="183"/>
        <v>442520</v>
      </c>
      <c r="AD182" s="619">
        <f t="shared" si="151"/>
        <v>2048080</v>
      </c>
    </row>
    <row r="183" spans="1:30" s="24" customFormat="1" ht="18" hidden="1" customHeight="1">
      <c r="A183" s="1150"/>
      <c r="B183" s="119"/>
      <c r="C183" s="120">
        <v>7</v>
      </c>
      <c r="D183" s="120"/>
      <c r="E183" s="124" t="s">
        <v>331</v>
      </c>
      <c r="F183" s="591">
        <v>1940000</v>
      </c>
      <c r="G183" s="126"/>
      <c r="H183" s="126"/>
      <c r="I183" s="127"/>
      <c r="J183" s="126"/>
      <c r="K183" s="126"/>
      <c r="L183" s="126"/>
      <c r="M183" s="126"/>
      <c r="N183" s="126"/>
      <c r="O183" s="126">
        <f>O182</f>
        <v>40000</v>
      </c>
      <c r="P183" s="126"/>
      <c r="Q183" s="126">
        <f t="shared" si="187"/>
        <v>15380</v>
      </c>
      <c r="R183" s="126">
        <f t="shared" si="190"/>
        <v>307600</v>
      </c>
      <c r="S183" s="126">
        <f t="shared" si="188"/>
        <v>76900</v>
      </c>
      <c r="T183" s="127">
        <v>250000</v>
      </c>
      <c r="U183" s="122">
        <f t="shared" si="185"/>
        <v>2537600</v>
      </c>
      <c r="V183" s="333"/>
      <c r="W183" s="338">
        <f t="shared" si="189"/>
        <v>211470</v>
      </c>
      <c r="X183" s="128">
        <f t="shared" si="179"/>
        <v>114190</v>
      </c>
      <c r="Y183" s="128">
        <f t="shared" si="180"/>
        <v>77020</v>
      </c>
      <c r="Z183" s="128">
        <f t="shared" si="186"/>
        <v>5050</v>
      </c>
      <c r="AA183" s="128">
        <f t="shared" si="181"/>
        <v>22840</v>
      </c>
      <c r="AB183" s="128">
        <f t="shared" si="182"/>
        <v>20300</v>
      </c>
      <c r="AC183" s="129">
        <f t="shared" si="183"/>
        <v>450870</v>
      </c>
      <c r="AD183" s="619">
        <f t="shared" si="151"/>
        <v>2086730</v>
      </c>
    </row>
    <row r="184" spans="1:30" s="24" customFormat="1" ht="16.5" hidden="1" customHeight="1">
      <c r="A184" s="1150"/>
      <c r="B184" s="119"/>
      <c r="C184" s="120"/>
      <c r="D184" s="120"/>
      <c r="E184" s="124" t="s">
        <v>62</v>
      </c>
      <c r="F184" s="126">
        <f>F183</f>
        <v>1940000</v>
      </c>
      <c r="G184" s="126"/>
      <c r="H184" s="126"/>
      <c r="I184" s="126"/>
      <c r="J184" s="126"/>
      <c r="K184" s="126"/>
      <c r="L184" s="126"/>
      <c r="M184" s="126">
        <f>F184*60%</f>
        <v>1164000</v>
      </c>
      <c r="N184" s="126"/>
      <c r="O184" s="126">
        <f>O183</f>
        <v>40000</v>
      </c>
      <c r="P184" s="126"/>
      <c r="Q184" s="126">
        <f t="shared" si="187"/>
        <v>15720</v>
      </c>
      <c r="R184" s="126">
        <f t="shared" si="190"/>
        <v>314400</v>
      </c>
      <c r="S184" s="126">
        <f t="shared" si="188"/>
        <v>78600</v>
      </c>
      <c r="T184" s="127">
        <f t="shared" si="184"/>
        <v>250000</v>
      </c>
      <c r="U184" s="122">
        <f t="shared" si="185"/>
        <v>3708400</v>
      </c>
      <c r="V184" s="333"/>
      <c r="W184" s="338">
        <f t="shared" si="189"/>
        <v>309040</v>
      </c>
      <c r="X184" s="128">
        <f t="shared" si="179"/>
        <v>166880</v>
      </c>
      <c r="Y184" s="128">
        <f t="shared" si="180"/>
        <v>112550</v>
      </c>
      <c r="Z184" s="128">
        <f t="shared" si="186"/>
        <v>7380</v>
      </c>
      <c r="AA184" s="128">
        <f t="shared" si="181"/>
        <v>33380</v>
      </c>
      <c r="AB184" s="128">
        <f t="shared" si="182"/>
        <v>29670</v>
      </c>
      <c r="AC184" s="129">
        <f t="shared" si="183"/>
        <v>658900</v>
      </c>
      <c r="AD184" s="619">
        <f t="shared" si="151"/>
        <v>3049500</v>
      </c>
    </row>
    <row r="185" spans="1:30" s="24" customFormat="1" ht="16.5" hidden="1" customHeight="1">
      <c r="A185" s="1150"/>
      <c r="B185" s="119"/>
      <c r="C185" s="120"/>
      <c r="D185" s="120"/>
      <c r="E185" s="124" t="s">
        <v>63</v>
      </c>
      <c r="F185" s="126">
        <f>F184</f>
        <v>1940000</v>
      </c>
      <c r="G185" s="126"/>
      <c r="H185" s="127"/>
      <c r="I185" s="125"/>
      <c r="J185" s="126"/>
      <c r="K185" s="126"/>
      <c r="L185" s="126"/>
      <c r="M185" s="126"/>
      <c r="N185" s="126"/>
      <c r="O185" s="126">
        <f>O184</f>
        <v>40000</v>
      </c>
      <c r="P185" s="126"/>
      <c r="Q185" s="126">
        <f t="shared" si="187"/>
        <v>15720</v>
      </c>
      <c r="R185" s="126">
        <f t="shared" si="190"/>
        <v>314400</v>
      </c>
      <c r="S185" s="126">
        <f t="shared" si="188"/>
        <v>78600</v>
      </c>
      <c r="T185" s="127">
        <f t="shared" si="184"/>
        <v>250000</v>
      </c>
      <c r="U185" s="122">
        <f t="shared" si="185"/>
        <v>2544400</v>
      </c>
      <c r="V185" s="333"/>
      <c r="W185" s="338">
        <f t="shared" si="189"/>
        <v>212040</v>
      </c>
      <c r="X185" s="128">
        <f t="shared" si="179"/>
        <v>114500</v>
      </c>
      <c r="Y185" s="128">
        <f t="shared" si="180"/>
        <v>77230</v>
      </c>
      <c r="Z185" s="128">
        <f t="shared" si="186"/>
        <v>5060</v>
      </c>
      <c r="AA185" s="128">
        <f t="shared" si="181"/>
        <v>22900</v>
      </c>
      <c r="AB185" s="128">
        <f t="shared" si="182"/>
        <v>20360</v>
      </c>
      <c r="AC185" s="129">
        <f t="shared" si="183"/>
        <v>452090</v>
      </c>
      <c r="AD185" s="619">
        <f t="shared" si="151"/>
        <v>2092310</v>
      </c>
    </row>
    <row r="186" spans="1:30" s="24" customFormat="1" ht="16.5" hidden="1" customHeight="1">
      <c r="A186" s="1150"/>
      <c r="B186" s="119"/>
      <c r="C186" s="120"/>
      <c r="D186" s="120"/>
      <c r="E186" s="124" t="s">
        <v>64</v>
      </c>
      <c r="F186" s="126">
        <f>F185</f>
        <v>1940000</v>
      </c>
      <c r="G186" s="126"/>
      <c r="H186" s="126"/>
      <c r="I186" s="126"/>
      <c r="J186" s="126"/>
      <c r="K186" s="126"/>
      <c r="L186" s="126"/>
      <c r="M186" s="126"/>
      <c r="N186" s="126"/>
      <c r="O186" s="126">
        <f>O185</f>
        <v>40000</v>
      </c>
      <c r="P186" s="126"/>
      <c r="Q186" s="126">
        <f t="shared" si="187"/>
        <v>15720</v>
      </c>
      <c r="R186" s="126">
        <f t="shared" si="190"/>
        <v>314400</v>
      </c>
      <c r="S186" s="126">
        <f t="shared" si="188"/>
        <v>78600</v>
      </c>
      <c r="T186" s="127">
        <f t="shared" si="184"/>
        <v>250000</v>
      </c>
      <c r="U186" s="122">
        <f t="shared" si="185"/>
        <v>2544400</v>
      </c>
      <c r="V186" s="333"/>
      <c r="W186" s="338">
        <f t="shared" si="189"/>
        <v>212040</v>
      </c>
      <c r="X186" s="128">
        <f t="shared" si="179"/>
        <v>114500</v>
      </c>
      <c r="Y186" s="128">
        <f t="shared" si="180"/>
        <v>77230</v>
      </c>
      <c r="Z186" s="128">
        <f t="shared" si="186"/>
        <v>5060</v>
      </c>
      <c r="AA186" s="128">
        <f t="shared" si="181"/>
        <v>22900</v>
      </c>
      <c r="AB186" s="128">
        <f t="shared" si="182"/>
        <v>20360</v>
      </c>
      <c r="AC186" s="129">
        <f t="shared" si="183"/>
        <v>452090</v>
      </c>
      <c r="AD186" s="619">
        <f t="shared" si="151"/>
        <v>2092310</v>
      </c>
    </row>
    <row r="187" spans="1:30" s="24" customFormat="1" ht="16.5" hidden="1" customHeight="1">
      <c r="A187" s="1150"/>
      <c r="B187" s="119"/>
      <c r="C187" s="120"/>
      <c r="D187" s="120"/>
      <c r="E187" s="124" t="s">
        <v>332</v>
      </c>
      <c r="F187" s="126">
        <f>F186</f>
        <v>1940000</v>
      </c>
      <c r="G187" s="126"/>
      <c r="H187" s="126"/>
      <c r="I187" s="126"/>
      <c r="J187" s="126"/>
      <c r="K187" s="126"/>
      <c r="L187" s="126"/>
      <c r="M187" s="126"/>
      <c r="N187" s="126"/>
      <c r="O187" s="126">
        <f>O186</f>
        <v>40000</v>
      </c>
      <c r="P187" s="126"/>
      <c r="Q187" s="126">
        <f t="shared" si="187"/>
        <v>15720</v>
      </c>
      <c r="R187" s="126">
        <f>Q187*20*2</f>
        <v>628800</v>
      </c>
      <c r="S187" s="126">
        <f>(Q187*5)*2</f>
        <v>157200</v>
      </c>
      <c r="T187" s="127">
        <f t="shared" si="184"/>
        <v>250000</v>
      </c>
      <c r="U187" s="122">
        <f t="shared" si="185"/>
        <v>2858800</v>
      </c>
      <c r="V187" s="333"/>
      <c r="W187" s="338">
        <f t="shared" si="189"/>
        <v>238240</v>
      </c>
      <c r="X187" s="128">
        <f t="shared" si="179"/>
        <v>128650</v>
      </c>
      <c r="Y187" s="128">
        <f t="shared" si="180"/>
        <v>86770</v>
      </c>
      <c r="Z187" s="128">
        <f t="shared" si="186"/>
        <v>5690</v>
      </c>
      <c r="AA187" s="128">
        <f t="shared" si="181"/>
        <v>25730</v>
      </c>
      <c r="AB187" s="128">
        <f t="shared" si="182"/>
        <v>22870</v>
      </c>
      <c r="AC187" s="129">
        <f t="shared" si="183"/>
        <v>507950</v>
      </c>
      <c r="AD187" s="619">
        <f t="shared" si="151"/>
        <v>2350850</v>
      </c>
    </row>
    <row r="188" spans="1:30" s="24" customFormat="1" ht="16.5" hidden="1" customHeight="1">
      <c r="A188" s="1150">
        <v>15</v>
      </c>
      <c r="B188" s="119" t="s">
        <v>95</v>
      </c>
      <c r="C188" s="120" t="s">
        <v>660</v>
      </c>
      <c r="D188" s="120">
        <v>1</v>
      </c>
      <c r="E188" s="121" t="s">
        <v>94</v>
      </c>
      <c r="F188" s="122">
        <f t="shared" ref="F188:L188" si="191">SUM(F189:F200)</f>
        <v>24210000</v>
      </c>
      <c r="G188" s="122">
        <f t="shared" si="191"/>
        <v>0</v>
      </c>
      <c r="H188" s="122">
        <f t="shared" si="191"/>
        <v>0</v>
      </c>
      <c r="I188" s="122">
        <f t="shared" si="191"/>
        <v>0</v>
      </c>
      <c r="J188" s="122">
        <f t="shared" si="191"/>
        <v>0</v>
      </c>
      <c r="K188" s="122">
        <f t="shared" si="191"/>
        <v>0</v>
      </c>
      <c r="L188" s="122">
        <f t="shared" si="191"/>
        <v>0</v>
      </c>
      <c r="M188" s="122">
        <f>SUM(M189:M200)</f>
        <v>2415600</v>
      </c>
      <c r="N188" s="122">
        <f>SUM(N189:N200)</f>
        <v>0</v>
      </c>
      <c r="O188" s="122">
        <f>SUM(O189:O200)</f>
        <v>0</v>
      </c>
      <c r="P188" s="122"/>
      <c r="Q188" s="122"/>
      <c r="R188" s="122">
        <f>SUM(R189:R200)</f>
        <v>7813200</v>
      </c>
      <c r="S188" s="122">
        <f>SUM(S189:S200)</f>
        <v>0</v>
      </c>
      <c r="T188" s="122">
        <f>SUM(T189:T200)</f>
        <v>3000000</v>
      </c>
      <c r="U188" s="122">
        <f>SUM(U189:U200)</f>
        <v>37438800</v>
      </c>
      <c r="V188" s="333"/>
      <c r="W188" s="350">
        <f t="shared" ref="W188:AB188" si="192">SUM(W189:W200)</f>
        <v>3140750</v>
      </c>
      <c r="X188" s="122">
        <f t="shared" si="192"/>
        <v>1684750</v>
      </c>
      <c r="Y188" s="122">
        <f t="shared" si="192"/>
        <v>1136320</v>
      </c>
      <c r="Z188" s="122">
        <f t="shared" si="192"/>
        <v>74500</v>
      </c>
      <c r="AA188" s="122">
        <f t="shared" si="192"/>
        <v>336950</v>
      </c>
      <c r="AB188" s="122">
        <f t="shared" si="192"/>
        <v>299530</v>
      </c>
      <c r="AC188" s="123">
        <f>SUM(AC189:AC200)</f>
        <v>6672800</v>
      </c>
      <c r="AD188" s="618">
        <f t="shared" si="151"/>
        <v>30766000</v>
      </c>
    </row>
    <row r="189" spans="1:30" s="24" customFormat="1" ht="16.5" hidden="1" customHeight="1">
      <c r="A189" s="1150"/>
      <c r="B189" s="119" t="s">
        <v>542</v>
      </c>
      <c r="C189" s="120">
        <v>8</v>
      </c>
      <c r="D189" s="120"/>
      <c r="E189" s="124" t="s">
        <v>324</v>
      </c>
      <c r="F189" s="125">
        <v>2004000</v>
      </c>
      <c r="G189" s="126"/>
      <c r="H189" s="125"/>
      <c r="I189" s="127"/>
      <c r="J189" s="126"/>
      <c r="K189" s="126"/>
      <c r="L189" s="126"/>
      <c r="M189" s="126"/>
      <c r="N189" s="126"/>
      <c r="O189" s="126">
        <v>0</v>
      </c>
      <c r="P189" s="126"/>
      <c r="Q189" s="126"/>
      <c r="R189" s="126"/>
      <c r="S189" s="126"/>
      <c r="T189" s="127">
        <v>250000</v>
      </c>
      <c r="U189" s="122">
        <f>SUM(F189,M189,O189,R189,T189)</f>
        <v>2254000</v>
      </c>
      <c r="V189" s="333"/>
      <c r="W189" s="338">
        <f>ROUNDUP(U189*1/12,-1)</f>
        <v>187840</v>
      </c>
      <c r="X189" s="128">
        <f t="shared" ref="X189:X200" si="193">ROUND(U189*4.5%,-1)</f>
        <v>101430</v>
      </c>
      <c r="Y189" s="128">
        <f t="shared" ref="Y189:Y200" si="194">ROUNDUP((U189-L189)*3.035%,-1)</f>
        <v>68410</v>
      </c>
      <c r="Z189" s="128">
        <f>ROUNDUP(Y189*6.55%,-1)</f>
        <v>4490</v>
      </c>
      <c r="AA189" s="128">
        <f t="shared" ref="AA189:AA200" si="195">ROUND(U189*0.9%,-1)</f>
        <v>20290</v>
      </c>
      <c r="AB189" s="128">
        <f t="shared" ref="AB189:AB200" si="196">ROUND(U189*0.8%,-1)</f>
        <v>18030</v>
      </c>
      <c r="AC189" s="129">
        <f t="shared" ref="AC189:AC200" si="197">SUM(W189:AB189)</f>
        <v>400490</v>
      </c>
      <c r="AD189" s="619">
        <f t="shared" si="151"/>
        <v>1853510</v>
      </c>
    </row>
    <row r="190" spans="1:30" s="24" customFormat="1" ht="16.5" hidden="1" customHeight="1">
      <c r="A190" s="1150"/>
      <c r="B190" s="119"/>
      <c r="C190" s="120"/>
      <c r="D190" s="120"/>
      <c r="E190" s="124" t="s">
        <v>325</v>
      </c>
      <c r="F190" s="126">
        <f>F189</f>
        <v>2004000</v>
      </c>
      <c r="G190" s="126"/>
      <c r="H190" s="126"/>
      <c r="I190" s="126"/>
      <c r="J190" s="126"/>
      <c r="K190" s="126"/>
      <c r="L190" s="126"/>
      <c r="M190" s="126">
        <f>F190*60%</f>
        <v>1202400</v>
      </c>
      <c r="N190" s="126"/>
      <c r="O190" s="126">
        <f t="shared" ref="O190:O200" si="198">O189</f>
        <v>0</v>
      </c>
      <c r="P190" s="126"/>
      <c r="Q190" s="126">
        <f>ROUND((F189+T189)*1/209*1.5,-1)</f>
        <v>16180</v>
      </c>
      <c r="R190" s="126">
        <f>Q190*40</f>
        <v>647200</v>
      </c>
      <c r="S190" s="126"/>
      <c r="T190" s="127">
        <f t="shared" ref="T190:T200" si="199">T189</f>
        <v>250000</v>
      </c>
      <c r="U190" s="122">
        <f t="shared" ref="U190:U200" si="200">SUM(F190,M190,O190,R190,T190)</f>
        <v>4103600</v>
      </c>
      <c r="V190" s="333"/>
      <c r="W190" s="338">
        <f>ROUNDUP((T190+U190)*1/12,-1)</f>
        <v>362800</v>
      </c>
      <c r="X190" s="128">
        <f t="shared" si="193"/>
        <v>184660</v>
      </c>
      <c r="Y190" s="128">
        <f t="shared" si="194"/>
        <v>124550</v>
      </c>
      <c r="Z190" s="128">
        <f t="shared" ref="Z190:Z200" si="201">ROUNDUP(Y190*6.55%,-1)</f>
        <v>8160</v>
      </c>
      <c r="AA190" s="128">
        <f t="shared" si="195"/>
        <v>36930</v>
      </c>
      <c r="AB190" s="128">
        <f t="shared" si="196"/>
        <v>32830</v>
      </c>
      <c r="AC190" s="129">
        <f t="shared" si="197"/>
        <v>749930</v>
      </c>
      <c r="AD190" s="619">
        <f t="shared" si="151"/>
        <v>3353670</v>
      </c>
    </row>
    <row r="191" spans="1:30" s="24" customFormat="1" ht="16.5" hidden="1" customHeight="1">
      <c r="A191" s="1150"/>
      <c r="B191" s="119"/>
      <c r="C191" s="120"/>
      <c r="D191" s="120"/>
      <c r="E191" s="124" t="s">
        <v>326</v>
      </c>
      <c r="F191" s="126">
        <f>F189</f>
        <v>2004000</v>
      </c>
      <c r="G191" s="126"/>
      <c r="H191" s="126"/>
      <c r="I191" s="126"/>
      <c r="J191" s="126"/>
      <c r="K191" s="126"/>
      <c r="L191" s="126"/>
      <c r="M191" s="126"/>
      <c r="N191" s="126"/>
      <c r="O191" s="126">
        <f t="shared" si="198"/>
        <v>0</v>
      </c>
      <c r="P191" s="126"/>
      <c r="Q191" s="126">
        <f t="shared" ref="Q191:Q200" si="202">ROUND((F190+T190)*1/209*1.5,-1)</f>
        <v>16180</v>
      </c>
      <c r="R191" s="126">
        <f>Q191*40</f>
        <v>647200</v>
      </c>
      <c r="S191" s="126"/>
      <c r="T191" s="127">
        <f t="shared" si="199"/>
        <v>250000</v>
      </c>
      <c r="U191" s="122">
        <f t="shared" si="200"/>
        <v>2901200</v>
      </c>
      <c r="V191" s="333"/>
      <c r="W191" s="338">
        <f t="shared" ref="W191:W200" si="203">ROUNDUP(U191*1/12,-1)</f>
        <v>241770</v>
      </c>
      <c r="X191" s="128">
        <f t="shared" si="193"/>
        <v>130550</v>
      </c>
      <c r="Y191" s="128">
        <f t="shared" si="194"/>
        <v>88060</v>
      </c>
      <c r="Z191" s="128">
        <f t="shared" si="201"/>
        <v>5770</v>
      </c>
      <c r="AA191" s="128">
        <f t="shared" si="195"/>
        <v>26110</v>
      </c>
      <c r="AB191" s="128">
        <f t="shared" si="196"/>
        <v>23210</v>
      </c>
      <c r="AC191" s="129">
        <f t="shared" si="197"/>
        <v>515470</v>
      </c>
      <c r="AD191" s="619">
        <f t="shared" si="151"/>
        <v>2385730</v>
      </c>
    </row>
    <row r="192" spans="1:30" s="24" customFormat="1" ht="16.5" hidden="1" customHeight="1">
      <c r="A192" s="1150"/>
      <c r="B192" s="119"/>
      <c r="C192" s="120">
        <v>9</v>
      </c>
      <c r="D192" s="120"/>
      <c r="E192" s="124" t="s">
        <v>327</v>
      </c>
      <c r="F192" s="125">
        <v>2022000</v>
      </c>
      <c r="G192" s="126"/>
      <c r="H192" s="126"/>
      <c r="I192" s="126"/>
      <c r="J192" s="126"/>
      <c r="K192" s="126"/>
      <c r="L192" s="126"/>
      <c r="M192" s="126"/>
      <c r="N192" s="126"/>
      <c r="O192" s="126">
        <f t="shared" si="198"/>
        <v>0</v>
      </c>
      <c r="P192" s="126"/>
      <c r="Q192" s="126">
        <f t="shared" si="202"/>
        <v>16180</v>
      </c>
      <c r="R192" s="126">
        <f>Q192*40</f>
        <v>647200</v>
      </c>
      <c r="S192" s="126"/>
      <c r="T192" s="127">
        <v>250000</v>
      </c>
      <c r="U192" s="122">
        <f t="shared" si="200"/>
        <v>2919200</v>
      </c>
      <c r="V192" s="333"/>
      <c r="W192" s="338">
        <f t="shared" si="203"/>
        <v>243270</v>
      </c>
      <c r="X192" s="128">
        <f t="shared" si="193"/>
        <v>131360</v>
      </c>
      <c r="Y192" s="128">
        <f t="shared" si="194"/>
        <v>88600</v>
      </c>
      <c r="Z192" s="128">
        <f t="shared" si="201"/>
        <v>5810</v>
      </c>
      <c r="AA192" s="128">
        <f t="shared" si="195"/>
        <v>26270</v>
      </c>
      <c r="AB192" s="128">
        <f t="shared" si="196"/>
        <v>23350</v>
      </c>
      <c r="AC192" s="129">
        <f t="shared" si="197"/>
        <v>518660</v>
      </c>
      <c r="AD192" s="619">
        <f t="shared" si="151"/>
        <v>2400540</v>
      </c>
    </row>
    <row r="193" spans="1:30" s="24" customFormat="1" ht="16.5" hidden="1" customHeight="1">
      <c r="A193" s="1150"/>
      <c r="B193" s="119"/>
      <c r="C193" s="120"/>
      <c r="D193" s="120"/>
      <c r="E193" s="124" t="s">
        <v>328</v>
      </c>
      <c r="F193" s="126">
        <f>F192</f>
        <v>2022000</v>
      </c>
      <c r="G193" s="126"/>
      <c r="H193" s="126"/>
      <c r="I193" s="126"/>
      <c r="J193" s="126"/>
      <c r="K193" s="126"/>
      <c r="L193" s="126"/>
      <c r="M193" s="126"/>
      <c r="N193" s="126"/>
      <c r="O193" s="126">
        <f t="shared" si="198"/>
        <v>0</v>
      </c>
      <c r="P193" s="126"/>
      <c r="Q193" s="126">
        <f t="shared" si="202"/>
        <v>16310</v>
      </c>
      <c r="R193" s="126">
        <f t="shared" ref="R193:R199" si="204">Q193*40</f>
        <v>652400</v>
      </c>
      <c r="S193" s="126"/>
      <c r="T193" s="127">
        <f t="shared" si="199"/>
        <v>250000</v>
      </c>
      <c r="U193" s="122">
        <f t="shared" si="200"/>
        <v>2924400</v>
      </c>
      <c r="V193" s="333"/>
      <c r="W193" s="338">
        <f t="shared" si="203"/>
        <v>243700</v>
      </c>
      <c r="X193" s="128">
        <f t="shared" si="193"/>
        <v>131600</v>
      </c>
      <c r="Y193" s="128">
        <f t="shared" si="194"/>
        <v>88760</v>
      </c>
      <c r="Z193" s="128">
        <f t="shared" si="201"/>
        <v>5820</v>
      </c>
      <c r="AA193" s="128">
        <f t="shared" si="195"/>
        <v>26320</v>
      </c>
      <c r="AB193" s="128">
        <f t="shared" si="196"/>
        <v>23400</v>
      </c>
      <c r="AC193" s="129">
        <f t="shared" si="197"/>
        <v>519600</v>
      </c>
      <c r="AD193" s="619">
        <f t="shared" si="151"/>
        <v>2404800</v>
      </c>
    </row>
    <row r="194" spans="1:30" s="24" customFormat="1" ht="16.5" hidden="1" customHeight="1">
      <c r="A194" s="1150"/>
      <c r="B194" s="119"/>
      <c r="C194" s="120"/>
      <c r="D194" s="120"/>
      <c r="E194" s="124" t="s">
        <v>329</v>
      </c>
      <c r="F194" s="126">
        <f>F192</f>
        <v>2022000</v>
      </c>
      <c r="G194" s="126"/>
      <c r="H194" s="126"/>
      <c r="I194" s="126"/>
      <c r="J194" s="126"/>
      <c r="K194" s="126"/>
      <c r="L194" s="126"/>
      <c r="M194" s="126"/>
      <c r="N194" s="126"/>
      <c r="O194" s="126">
        <f t="shared" si="198"/>
        <v>0</v>
      </c>
      <c r="P194" s="126"/>
      <c r="Q194" s="126">
        <f t="shared" si="202"/>
        <v>16310</v>
      </c>
      <c r="R194" s="126">
        <f t="shared" si="204"/>
        <v>652400</v>
      </c>
      <c r="S194" s="126"/>
      <c r="T194" s="127">
        <f t="shared" si="199"/>
        <v>250000</v>
      </c>
      <c r="U194" s="122">
        <f t="shared" si="200"/>
        <v>2924400</v>
      </c>
      <c r="V194" s="333"/>
      <c r="W194" s="338">
        <f t="shared" si="203"/>
        <v>243700</v>
      </c>
      <c r="X194" s="128">
        <f t="shared" si="193"/>
        <v>131600</v>
      </c>
      <c r="Y194" s="128">
        <f t="shared" si="194"/>
        <v>88760</v>
      </c>
      <c r="Z194" s="128">
        <f t="shared" si="201"/>
        <v>5820</v>
      </c>
      <c r="AA194" s="128">
        <f t="shared" si="195"/>
        <v>26320</v>
      </c>
      <c r="AB194" s="128">
        <f t="shared" si="196"/>
        <v>23400</v>
      </c>
      <c r="AC194" s="129">
        <f t="shared" si="197"/>
        <v>519600</v>
      </c>
      <c r="AD194" s="619">
        <f t="shared" si="151"/>
        <v>2404800</v>
      </c>
    </row>
    <row r="195" spans="1:30" s="24" customFormat="1" ht="16.5" hidden="1" customHeight="1">
      <c r="A195" s="1150"/>
      <c r="B195" s="119"/>
      <c r="C195" s="120"/>
      <c r="D195" s="120"/>
      <c r="E195" s="124" t="s">
        <v>330</v>
      </c>
      <c r="F195" s="127">
        <f>F192</f>
        <v>2022000</v>
      </c>
      <c r="G195" s="126"/>
      <c r="H195" s="125"/>
      <c r="I195" s="127"/>
      <c r="J195" s="126"/>
      <c r="K195" s="126"/>
      <c r="L195" s="126"/>
      <c r="M195" s="126"/>
      <c r="N195" s="126"/>
      <c r="O195" s="126">
        <f t="shared" si="198"/>
        <v>0</v>
      </c>
      <c r="P195" s="126"/>
      <c r="Q195" s="126">
        <f t="shared" si="202"/>
        <v>16310</v>
      </c>
      <c r="R195" s="126">
        <f t="shared" si="204"/>
        <v>652400</v>
      </c>
      <c r="S195" s="126"/>
      <c r="T195" s="127">
        <f t="shared" si="199"/>
        <v>250000</v>
      </c>
      <c r="U195" s="122">
        <f t="shared" si="200"/>
        <v>2924400</v>
      </c>
      <c r="V195" s="333"/>
      <c r="W195" s="338">
        <f t="shared" si="203"/>
        <v>243700</v>
      </c>
      <c r="X195" s="128">
        <f t="shared" si="193"/>
        <v>131600</v>
      </c>
      <c r="Y195" s="128">
        <f t="shared" si="194"/>
        <v>88760</v>
      </c>
      <c r="Z195" s="128">
        <f t="shared" si="201"/>
        <v>5820</v>
      </c>
      <c r="AA195" s="128">
        <f t="shared" si="195"/>
        <v>26320</v>
      </c>
      <c r="AB195" s="128">
        <f t="shared" si="196"/>
        <v>23400</v>
      </c>
      <c r="AC195" s="129">
        <f t="shared" si="197"/>
        <v>519600</v>
      </c>
      <c r="AD195" s="619">
        <f t="shared" si="151"/>
        <v>2404800</v>
      </c>
    </row>
    <row r="196" spans="1:30" s="24" customFormat="1" ht="16.5" hidden="1" customHeight="1">
      <c r="A196" s="1150"/>
      <c r="B196" s="119"/>
      <c r="C196" s="120"/>
      <c r="D196" s="120"/>
      <c r="E196" s="124" t="s">
        <v>331</v>
      </c>
      <c r="F196" s="126">
        <f>F192</f>
        <v>2022000</v>
      </c>
      <c r="G196" s="126"/>
      <c r="H196" s="126"/>
      <c r="I196" s="126"/>
      <c r="J196" s="126"/>
      <c r="K196" s="126"/>
      <c r="L196" s="126"/>
      <c r="M196" s="126"/>
      <c r="N196" s="126"/>
      <c r="O196" s="126">
        <f t="shared" si="198"/>
        <v>0</v>
      </c>
      <c r="P196" s="126"/>
      <c r="Q196" s="126">
        <f t="shared" si="202"/>
        <v>16310</v>
      </c>
      <c r="R196" s="126">
        <f t="shared" si="204"/>
        <v>652400</v>
      </c>
      <c r="S196" s="126"/>
      <c r="T196" s="127">
        <f t="shared" si="199"/>
        <v>250000</v>
      </c>
      <c r="U196" s="122">
        <f t="shared" si="200"/>
        <v>2924400</v>
      </c>
      <c r="V196" s="333"/>
      <c r="W196" s="338">
        <f t="shared" si="203"/>
        <v>243700</v>
      </c>
      <c r="X196" s="128">
        <f t="shared" si="193"/>
        <v>131600</v>
      </c>
      <c r="Y196" s="128">
        <f t="shared" si="194"/>
        <v>88760</v>
      </c>
      <c r="Z196" s="128">
        <f t="shared" si="201"/>
        <v>5820</v>
      </c>
      <c r="AA196" s="128">
        <f t="shared" si="195"/>
        <v>26320</v>
      </c>
      <c r="AB196" s="128">
        <f t="shared" si="196"/>
        <v>23400</v>
      </c>
      <c r="AC196" s="129">
        <f t="shared" si="197"/>
        <v>519600</v>
      </c>
      <c r="AD196" s="619">
        <f t="shared" si="151"/>
        <v>2404800</v>
      </c>
    </row>
    <row r="197" spans="1:30" s="24" customFormat="1" ht="16.5" hidden="1" customHeight="1">
      <c r="A197" s="1150"/>
      <c r="B197" s="119"/>
      <c r="C197" s="120"/>
      <c r="D197" s="120"/>
      <c r="E197" s="124" t="s">
        <v>62</v>
      </c>
      <c r="F197" s="126">
        <f>F192</f>
        <v>2022000</v>
      </c>
      <c r="G197" s="126"/>
      <c r="H197" s="126"/>
      <c r="I197" s="126"/>
      <c r="J197" s="126"/>
      <c r="K197" s="126"/>
      <c r="L197" s="126"/>
      <c r="M197" s="126">
        <f>F197*60%</f>
        <v>1213200</v>
      </c>
      <c r="N197" s="126"/>
      <c r="O197" s="126">
        <f t="shared" si="198"/>
        <v>0</v>
      </c>
      <c r="P197" s="126"/>
      <c r="Q197" s="126">
        <f t="shared" si="202"/>
        <v>16310</v>
      </c>
      <c r="R197" s="126">
        <f t="shared" si="204"/>
        <v>652400</v>
      </c>
      <c r="S197" s="126"/>
      <c r="T197" s="127">
        <f t="shared" si="199"/>
        <v>250000</v>
      </c>
      <c r="U197" s="122">
        <f t="shared" si="200"/>
        <v>4137600</v>
      </c>
      <c r="V197" s="333"/>
      <c r="W197" s="338">
        <f t="shared" si="203"/>
        <v>344800</v>
      </c>
      <c r="X197" s="128">
        <f t="shared" si="193"/>
        <v>186190</v>
      </c>
      <c r="Y197" s="128">
        <f t="shared" si="194"/>
        <v>125580</v>
      </c>
      <c r="Z197" s="128">
        <f t="shared" si="201"/>
        <v>8230</v>
      </c>
      <c r="AA197" s="128">
        <f t="shared" si="195"/>
        <v>37240</v>
      </c>
      <c r="AB197" s="128">
        <f t="shared" si="196"/>
        <v>33100</v>
      </c>
      <c r="AC197" s="129">
        <f t="shared" si="197"/>
        <v>735140</v>
      </c>
      <c r="AD197" s="619">
        <f t="shared" si="151"/>
        <v>3402460</v>
      </c>
    </row>
    <row r="198" spans="1:30" s="24" customFormat="1" ht="16.5" hidden="1" customHeight="1">
      <c r="A198" s="1150"/>
      <c r="B198" s="119"/>
      <c r="C198" s="120"/>
      <c r="D198" s="120"/>
      <c r="E198" s="124" t="s">
        <v>63</v>
      </c>
      <c r="F198" s="126">
        <f>F192</f>
        <v>2022000</v>
      </c>
      <c r="G198" s="126"/>
      <c r="H198" s="126"/>
      <c r="I198" s="126"/>
      <c r="J198" s="126"/>
      <c r="K198" s="126"/>
      <c r="L198" s="126"/>
      <c r="M198" s="126"/>
      <c r="N198" s="126"/>
      <c r="O198" s="126">
        <f t="shared" si="198"/>
        <v>0</v>
      </c>
      <c r="P198" s="126"/>
      <c r="Q198" s="126">
        <f t="shared" si="202"/>
        <v>16310</v>
      </c>
      <c r="R198" s="126">
        <f t="shared" si="204"/>
        <v>652400</v>
      </c>
      <c r="S198" s="126"/>
      <c r="T198" s="127">
        <f t="shared" si="199"/>
        <v>250000</v>
      </c>
      <c r="U198" s="122">
        <f t="shared" si="200"/>
        <v>2924400</v>
      </c>
      <c r="V198" s="333"/>
      <c r="W198" s="338">
        <f t="shared" si="203"/>
        <v>243700</v>
      </c>
      <c r="X198" s="128">
        <f t="shared" si="193"/>
        <v>131600</v>
      </c>
      <c r="Y198" s="128">
        <f t="shared" si="194"/>
        <v>88760</v>
      </c>
      <c r="Z198" s="128">
        <f t="shared" si="201"/>
        <v>5820</v>
      </c>
      <c r="AA198" s="128">
        <f t="shared" si="195"/>
        <v>26320</v>
      </c>
      <c r="AB198" s="128">
        <f t="shared" si="196"/>
        <v>23400</v>
      </c>
      <c r="AC198" s="129">
        <f t="shared" si="197"/>
        <v>519600</v>
      </c>
      <c r="AD198" s="619">
        <f t="shared" si="151"/>
        <v>2404800</v>
      </c>
    </row>
    <row r="199" spans="1:30" s="24" customFormat="1" ht="16.5" hidden="1" customHeight="1">
      <c r="A199" s="1150"/>
      <c r="B199" s="119"/>
      <c r="C199" s="120"/>
      <c r="D199" s="120"/>
      <c r="E199" s="124" t="s">
        <v>64</v>
      </c>
      <c r="F199" s="126">
        <f>F192</f>
        <v>2022000</v>
      </c>
      <c r="G199" s="126"/>
      <c r="H199" s="126"/>
      <c r="I199" s="126"/>
      <c r="J199" s="126"/>
      <c r="K199" s="126"/>
      <c r="L199" s="126"/>
      <c r="M199" s="126"/>
      <c r="N199" s="126"/>
      <c r="O199" s="126">
        <f t="shared" si="198"/>
        <v>0</v>
      </c>
      <c r="P199" s="126"/>
      <c r="Q199" s="126">
        <f t="shared" si="202"/>
        <v>16310</v>
      </c>
      <c r="R199" s="126">
        <f t="shared" si="204"/>
        <v>652400</v>
      </c>
      <c r="S199" s="126"/>
      <c r="T199" s="127">
        <f t="shared" si="199"/>
        <v>250000</v>
      </c>
      <c r="U199" s="122">
        <f t="shared" si="200"/>
        <v>2924400</v>
      </c>
      <c r="V199" s="333"/>
      <c r="W199" s="338">
        <f t="shared" si="203"/>
        <v>243700</v>
      </c>
      <c r="X199" s="128">
        <f t="shared" si="193"/>
        <v>131600</v>
      </c>
      <c r="Y199" s="128">
        <f t="shared" si="194"/>
        <v>88760</v>
      </c>
      <c r="Z199" s="128">
        <f t="shared" si="201"/>
        <v>5820</v>
      </c>
      <c r="AA199" s="128">
        <f t="shared" si="195"/>
        <v>26320</v>
      </c>
      <c r="AB199" s="128">
        <f t="shared" si="196"/>
        <v>23400</v>
      </c>
      <c r="AC199" s="129">
        <f t="shared" si="197"/>
        <v>519600</v>
      </c>
      <c r="AD199" s="619">
        <f t="shared" si="151"/>
        <v>2404800</v>
      </c>
    </row>
    <row r="200" spans="1:30" s="24" customFormat="1" ht="16.5" hidden="1" customHeight="1">
      <c r="A200" s="1150"/>
      <c r="B200" s="119"/>
      <c r="C200" s="120"/>
      <c r="D200" s="120"/>
      <c r="E200" s="124" t="s">
        <v>332</v>
      </c>
      <c r="F200" s="126">
        <f>F192</f>
        <v>2022000</v>
      </c>
      <c r="G200" s="126"/>
      <c r="H200" s="126"/>
      <c r="I200" s="126"/>
      <c r="J200" s="126"/>
      <c r="K200" s="126"/>
      <c r="L200" s="126"/>
      <c r="M200" s="126"/>
      <c r="N200" s="126"/>
      <c r="O200" s="126">
        <f t="shared" si="198"/>
        <v>0</v>
      </c>
      <c r="P200" s="126"/>
      <c r="Q200" s="126">
        <f t="shared" si="202"/>
        <v>16310</v>
      </c>
      <c r="R200" s="126">
        <f>Q200*40*2</f>
        <v>1304800</v>
      </c>
      <c r="S200" s="126"/>
      <c r="T200" s="127">
        <f t="shared" si="199"/>
        <v>250000</v>
      </c>
      <c r="U200" s="122">
        <f t="shared" si="200"/>
        <v>3576800</v>
      </c>
      <c r="V200" s="333"/>
      <c r="W200" s="338">
        <f t="shared" si="203"/>
        <v>298070</v>
      </c>
      <c r="X200" s="128">
        <f t="shared" si="193"/>
        <v>160960</v>
      </c>
      <c r="Y200" s="128">
        <f t="shared" si="194"/>
        <v>108560</v>
      </c>
      <c r="Z200" s="128">
        <f t="shared" si="201"/>
        <v>7120</v>
      </c>
      <c r="AA200" s="128">
        <f t="shared" si="195"/>
        <v>32190</v>
      </c>
      <c r="AB200" s="128">
        <f t="shared" si="196"/>
        <v>28610</v>
      </c>
      <c r="AC200" s="129">
        <f t="shared" si="197"/>
        <v>635510</v>
      </c>
      <c r="AD200" s="619">
        <f t="shared" si="151"/>
        <v>2941290</v>
      </c>
    </row>
    <row r="201" spans="1:30" s="24" customFormat="1" ht="17.25" hidden="1" customHeight="1">
      <c r="A201" s="1150">
        <v>16</v>
      </c>
      <c r="B201" s="119" t="s">
        <v>95</v>
      </c>
      <c r="C201" s="120" t="s">
        <v>526</v>
      </c>
      <c r="D201" s="120">
        <v>1</v>
      </c>
      <c r="E201" s="121" t="s">
        <v>94</v>
      </c>
      <c r="F201" s="122">
        <f t="shared" ref="F201:L201" si="205">SUM(F202:F213)</f>
        <v>23664000</v>
      </c>
      <c r="G201" s="122">
        <f t="shared" si="205"/>
        <v>0</v>
      </c>
      <c r="H201" s="122">
        <f t="shared" si="205"/>
        <v>0</v>
      </c>
      <c r="I201" s="122">
        <f t="shared" si="205"/>
        <v>0</v>
      </c>
      <c r="J201" s="122">
        <f t="shared" si="205"/>
        <v>0</v>
      </c>
      <c r="K201" s="122">
        <f t="shared" si="205"/>
        <v>0</v>
      </c>
      <c r="L201" s="122">
        <f t="shared" si="205"/>
        <v>0</v>
      </c>
      <c r="M201" s="122">
        <f>SUM(M202:M213)</f>
        <v>2366400</v>
      </c>
      <c r="N201" s="122">
        <f>SUM(N202:N213)</f>
        <v>0</v>
      </c>
      <c r="O201" s="122">
        <f>SUM(O202:O213)</f>
        <v>0</v>
      </c>
      <c r="P201" s="122"/>
      <c r="Q201" s="122"/>
      <c r="R201" s="122">
        <f>SUM(R202:R213)</f>
        <v>7656000</v>
      </c>
      <c r="S201" s="122">
        <f>SUM(S202:S213)</f>
        <v>0</v>
      </c>
      <c r="T201" s="122">
        <f>SUM(T202:T213)</f>
        <v>3000000</v>
      </c>
      <c r="U201" s="122">
        <f>SUM(U202:U213)</f>
        <v>36686400</v>
      </c>
      <c r="V201" s="333"/>
      <c r="W201" s="350">
        <f t="shared" ref="W201:AB201" si="206">SUM(W202:W213)</f>
        <v>3078060</v>
      </c>
      <c r="X201" s="122">
        <f t="shared" si="206"/>
        <v>1650900</v>
      </c>
      <c r="Y201" s="122">
        <f t="shared" si="206"/>
        <v>1113520</v>
      </c>
      <c r="Z201" s="122">
        <f t="shared" si="206"/>
        <v>72990</v>
      </c>
      <c r="AA201" s="122">
        <f t="shared" si="206"/>
        <v>330190</v>
      </c>
      <c r="AB201" s="122">
        <f t="shared" si="206"/>
        <v>293490</v>
      </c>
      <c r="AC201" s="123">
        <f>SUM(AC202:AC213)</f>
        <v>6539150</v>
      </c>
      <c r="AD201" s="618">
        <f t="shared" si="151"/>
        <v>30147250</v>
      </c>
    </row>
    <row r="202" spans="1:30" s="24" customFormat="1" ht="17.25" hidden="1" customHeight="1">
      <c r="A202" s="1150"/>
      <c r="B202" s="119" t="s">
        <v>543</v>
      </c>
      <c r="C202" s="120">
        <v>7</v>
      </c>
      <c r="D202" s="120"/>
      <c r="E202" s="124" t="s">
        <v>324</v>
      </c>
      <c r="F202" s="125">
        <v>1940000</v>
      </c>
      <c r="G202" s="126"/>
      <c r="H202" s="125"/>
      <c r="I202" s="127"/>
      <c r="J202" s="126"/>
      <c r="K202" s="126"/>
      <c r="L202" s="126"/>
      <c r="M202" s="126"/>
      <c r="N202" s="126"/>
      <c r="O202" s="126">
        <v>0</v>
      </c>
      <c r="P202" s="126"/>
      <c r="Q202" s="126"/>
      <c r="R202" s="126"/>
      <c r="S202" s="126"/>
      <c r="T202" s="127">
        <v>250000</v>
      </c>
      <c r="U202" s="122">
        <f t="shared" ref="U202:U213" si="207">SUM(F202,M202,O202,R202,T202)</f>
        <v>2190000</v>
      </c>
      <c r="V202" s="333"/>
      <c r="W202" s="338">
        <f>ROUNDUP(U202*1/12,-1)</f>
        <v>182500</v>
      </c>
      <c r="X202" s="128">
        <f t="shared" ref="X202:X213" si="208">ROUND(U202*4.5%,-1)</f>
        <v>98550</v>
      </c>
      <c r="Y202" s="128">
        <f t="shared" ref="Y202:Y213" si="209">ROUNDUP((U202-L202)*3.035%,-1)</f>
        <v>66470</v>
      </c>
      <c r="Z202" s="128">
        <f>ROUNDUP(Y202*6.55%,-1)</f>
        <v>4360</v>
      </c>
      <c r="AA202" s="128">
        <f t="shared" ref="AA202:AA213" si="210">ROUND(U202*0.9%,-1)</f>
        <v>19710</v>
      </c>
      <c r="AB202" s="128">
        <f t="shared" ref="AB202:AB213" si="211">ROUND(U202*0.8%,-1)</f>
        <v>17520</v>
      </c>
      <c r="AC202" s="129">
        <f t="shared" ref="AC202:AC213" si="212">SUM(W202:AB202)</f>
        <v>389110</v>
      </c>
      <c r="AD202" s="619">
        <f t="shared" si="151"/>
        <v>1800890</v>
      </c>
    </row>
    <row r="203" spans="1:30" s="24" customFormat="1" ht="17.25" hidden="1" customHeight="1">
      <c r="A203" s="1150"/>
      <c r="B203" s="119"/>
      <c r="C203" s="120"/>
      <c r="D203" s="120"/>
      <c r="E203" s="124" t="s">
        <v>325</v>
      </c>
      <c r="F203" s="126">
        <f>F202</f>
        <v>1940000</v>
      </c>
      <c r="G203" s="126"/>
      <c r="H203" s="126"/>
      <c r="I203" s="126"/>
      <c r="J203" s="126"/>
      <c r="K203" s="126"/>
      <c r="L203" s="126"/>
      <c r="M203" s="126">
        <f>F203*60%</f>
        <v>1164000</v>
      </c>
      <c r="N203" s="126"/>
      <c r="O203" s="126">
        <f t="shared" ref="O203:O213" si="213">O202</f>
        <v>0</v>
      </c>
      <c r="P203" s="126"/>
      <c r="Q203" s="126">
        <f>ROUND((F202+T202)*1/209*1.5,-1)</f>
        <v>15720</v>
      </c>
      <c r="R203" s="126">
        <f>Q203*40</f>
        <v>628800</v>
      </c>
      <c r="S203" s="126"/>
      <c r="T203" s="127">
        <f t="shared" ref="T203:T213" si="214">T202</f>
        <v>250000</v>
      </c>
      <c r="U203" s="122">
        <f t="shared" si="207"/>
        <v>3982800</v>
      </c>
      <c r="V203" s="333"/>
      <c r="W203" s="338">
        <f>ROUNDUP((T203+U203)*1/12,-1)</f>
        <v>352740</v>
      </c>
      <c r="X203" s="128">
        <f t="shared" si="208"/>
        <v>179230</v>
      </c>
      <c r="Y203" s="128">
        <f t="shared" si="209"/>
        <v>120880</v>
      </c>
      <c r="Z203" s="128">
        <f t="shared" ref="Z203:Z213" si="215">ROUNDUP(Y203*6.55%,-1)</f>
        <v>7920</v>
      </c>
      <c r="AA203" s="128">
        <f t="shared" si="210"/>
        <v>35850</v>
      </c>
      <c r="AB203" s="128">
        <f t="shared" si="211"/>
        <v>31860</v>
      </c>
      <c r="AC203" s="129">
        <f t="shared" si="212"/>
        <v>728480</v>
      </c>
      <c r="AD203" s="619">
        <f t="shared" si="151"/>
        <v>3254320</v>
      </c>
    </row>
    <row r="204" spans="1:30" s="24" customFormat="1" ht="17.25" hidden="1" customHeight="1">
      <c r="A204" s="1150"/>
      <c r="B204" s="119"/>
      <c r="C204" s="120"/>
      <c r="D204" s="120"/>
      <c r="E204" s="124" t="s">
        <v>326</v>
      </c>
      <c r="F204" s="126">
        <f>F203</f>
        <v>1940000</v>
      </c>
      <c r="G204" s="126"/>
      <c r="H204" s="126"/>
      <c r="I204" s="126"/>
      <c r="J204" s="126"/>
      <c r="K204" s="126"/>
      <c r="L204" s="126"/>
      <c r="M204" s="126"/>
      <c r="N204" s="126"/>
      <c r="O204" s="126">
        <f t="shared" si="213"/>
        <v>0</v>
      </c>
      <c r="P204" s="126"/>
      <c r="Q204" s="126">
        <f t="shared" ref="Q204:Q213" si="216">ROUND((F203+T203)*1/209*1.5,-1)</f>
        <v>15720</v>
      </c>
      <c r="R204" s="126">
        <f>Q204*40</f>
        <v>628800</v>
      </c>
      <c r="S204" s="126"/>
      <c r="T204" s="127">
        <f t="shared" si="214"/>
        <v>250000</v>
      </c>
      <c r="U204" s="122">
        <f t="shared" si="207"/>
        <v>2818800</v>
      </c>
      <c r="V204" s="333"/>
      <c r="W204" s="338">
        <f t="shared" ref="W204:W213" si="217">ROUNDUP(U204*1/12,-1)</f>
        <v>234900</v>
      </c>
      <c r="X204" s="128">
        <f t="shared" si="208"/>
        <v>126850</v>
      </c>
      <c r="Y204" s="128">
        <f t="shared" si="209"/>
        <v>85560</v>
      </c>
      <c r="Z204" s="128">
        <f t="shared" si="215"/>
        <v>5610</v>
      </c>
      <c r="AA204" s="128">
        <f t="shared" si="210"/>
        <v>25370</v>
      </c>
      <c r="AB204" s="128">
        <f t="shared" si="211"/>
        <v>22550</v>
      </c>
      <c r="AC204" s="129">
        <f t="shared" si="212"/>
        <v>500840</v>
      </c>
      <c r="AD204" s="619">
        <f t="shared" si="151"/>
        <v>2317960</v>
      </c>
    </row>
    <row r="205" spans="1:30" s="24" customFormat="1" ht="17.25" hidden="1" customHeight="1">
      <c r="A205" s="1150"/>
      <c r="B205" s="119"/>
      <c r="C205" s="120"/>
      <c r="D205" s="120"/>
      <c r="E205" s="124" t="s">
        <v>327</v>
      </c>
      <c r="F205" s="126">
        <f>F204</f>
        <v>1940000</v>
      </c>
      <c r="G205" s="126"/>
      <c r="H205" s="126"/>
      <c r="I205" s="126"/>
      <c r="J205" s="126"/>
      <c r="K205" s="126"/>
      <c r="L205" s="126"/>
      <c r="M205" s="126"/>
      <c r="N205" s="126"/>
      <c r="O205" s="126">
        <f t="shared" si="213"/>
        <v>0</v>
      </c>
      <c r="P205" s="126"/>
      <c r="Q205" s="126">
        <f t="shared" si="216"/>
        <v>15720</v>
      </c>
      <c r="R205" s="126">
        <f t="shared" ref="R205:R212" si="218">Q205*40</f>
        <v>628800</v>
      </c>
      <c r="S205" s="126"/>
      <c r="T205" s="127">
        <f t="shared" si="214"/>
        <v>250000</v>
      </c>
      <c r="U205" s="122">
        <f t="shared" si="207"/>
        <v>2818800</v>
      </c>
      <c r="V205" s="333"/>
      <c r="W205" s="338">
        <f t="shared" si="217"/>
        <v>234900</v>
      </c>
      <c r="X205" s="128">
        <f t="shared" si="208"/>
        <v>126850</v>
      </c>
      <c r="Y205" s="128">
        <f t="shared" si="209"/>
        <v>85560</v>
      </c>
      <c r="Z205" s="128">
        <f t="shared" si="215"/>
        <v>5610</v>
      </c>
      <c r="AA205" s="128">
        <f t="shared" si="210"/>
        <v>25370</v>
      </c>
      <c r="AB205" s="128">
        <f t="shared" si="211"/>
        <v>22550</v>
      </c>
      <c r="AC205" s="129">
        <f t="shared" si="212"/>
        <v>500840</v>
      </c>
      <c r="AD205" s="619">
        <f t="shared" si="151"/>
        <v>2317960</v>
      </c>
    </row>
    <row r="206" spans="1:30" s="24" customFormat="1" ht="17.25" hidden="1" customHeight="1">
      <c r="A206" s="1150"/>
      <c r="B206" s="119"/>
      <c r="C206" s="120"/>
      <c r="D206" s="120"/>
      <c r="E206" s="124" t="s">
        <v>328</v>
      </c>
      <c r="F206" s="126">
        <f>F205</f>
        <v>1940000</v>
      </c>
      <c r="G206" s="126"/>
      <c r="H206" s="126"/>
      <c r="I206" s="126"/>
      <c r="J206" s="126"/>
      <c r="K206" s="126"/>
      <c r="L206" s="126"/>
      <c r="M206" s="126"/>
      <c r="N206" s="126"/>
      <c r="O206" s="126">
        <f t="shared" si="213"/>
        <v>0</v>
      </c>
      <c r="P206" s="126"/>
      <c r="Q206" s="126">
        <f t="shared" si="216"/>
        <v>15720</v>
      </c>
      <c r="R206" s="126">
        <f t="shared" si="218"/>
        <v>628800</v>
      </c>
      <c r="S206" s="126"/>
      <c r="T206" s="127">
        <f t="shared" si="214"/>
        <v>250000</v>
      </c>
      <c r="U206" s="122">
        <f t="shared" si="207"/>
        <v>2818800</v>
      </c>
      <c r="V206" s="333"/>
      <c r="W206" s="338">
        <f t="shared" si="217"/>
        <v>234900</v>
      </c>
      <c r="X206" s="128">
        <f t="shared" si="208"/>
        <v>126850</v>
      </c>
      <c r="Y206" s="128">
        <f t="shared" si="209"/>
        <v>85560</v>
      </c>
      <c r="Z206" s="128">
        <f t="shared" si="215"/>
        <v>5610</v>
      </c>
      <c r="AA206" s="128">
        <f t="shared" si="210"/>
        <v>25370</v>
      </c>
      <c r="AB206" s="128">
        <f t="shared" si="211"/>
        <v>22550</v>
      </c>
      <c r="AC206" s="129">
        <f t="shared" si="212"/>
        <v>500840</v>
      </c>
      <c r="AD206" s="619">
        <f t="shared" si="151"/>
        <v>2317960</v>
      </c>
    </row>
    <row r="207" spans="1:30" s="24" customFormat="1" ht="17.25" hidden="1" customHeight="1">
      <c r="A207" s="1150"/>
      <c r="B207" s="119"/>
      <c r="C207" s="120"/>
      <c r="D207" s="120"/>
      <c r="E207" s="124" t="s">
        <v>329</v>
      </c>
      <c r="F207" s="126">
        <f>F206</f>
        <v>1940000</v>
      </c>
      <c r="G207" s="126"/>
      <c r="H207" s="126"/>
      <c r="I207" s="126"/>
      <c r="J207" s="126"/>
      <c r="K207" s="126"/>
      <c r="L207" s="126"/>
      <c r="M207" s="126"/>
      <c r="N207" s="126"/>
      <c r="O207" s="126">
        <f t="shared" si="213"/>
        <v>0</v>
      </c>
      <c r="P207" s="126"/>
      <c r="Q207" s="126">
        <f t="shared" si="216"/>
        <v>15720</v>
      </c>
      <c r="R207" s="126">
        <f t="shared" si="218"/>
        <v>628800</v>
      </c>
      <c r="S207" s="126"/>
      <c r="T207" s="127">
        <f t="shared" si="214"/>
        <v>250000</v>
      </c>
      <c r="U207" s="122">
        <f t="shared" si="207"/>
        <v>2818800</v>
      </c>
      <c r="V207" s="333"/>
      <c r="W207" s="338">
        <f t="shared" si="217"/>
        <v>234900</v>
      </c>
      <c r="X207" s="128">
        <f t="shared" si="208"/>
        <v>126850</v>
      </c>
      <c r="Y207" s="128">
        <f t="shared" si="209"/>
        <v>85560</v>
      </c>
      <c r="Z207" s="128">
        <f t="shared" si="215"/>
        <v>5610</v>
      </c>
      <c r="AA207" s="128">
        <f t="shared" si="210"/>
        <v>25370</v>
      </c>
      <c r="AB207" s="128">
        <f t="shared" si="211"/>
        <v>22550</v>
      </c>
      <c r="AC207" s="129">
        <f t="shared" si="212"/>
        <v>500840</v>
      </c>
      <c r="AD207" s="619">
        <f t="shared" si="151"/>
        <v>2317960</v>
      </c>
    </row>
    <row r="208" spans="1:30" s="24" customFormat="1" ht="17.25" hidden="1" customHeight="1">
      <c r="A208" s="1150"/>
      <c r="B208" s="119"/>
      <c r="C208" s="120">
        <v>8</v>
      </c>
      <c r="D208" s="120"/>
      <c r="E208" s="124" t="s">
        <v>330</v>
      </c>
      <c r="F208" s="125">
        <v>2004000</v>
      </c>
      <c r="G208" s="126"/>
      <c r="H208" s="125"/>
      <c r="I208" s="125"/>
      <c r="J208" s="126"/>
      <c r="K208" s="126"/>
      <c r="L208" s="126"/>
      <c r="M208" s="126"/>
      <c r="N208" s="126"/>
      <c r="O208" s="126">
        <f t="shared" si="213"/>
        <v>0</v>
      </c>
      <c r="P208" s="126"/>
      <c r="Q208" s="126">
        <f t="shared" si="216"/>
        <v>15720</v>
      </c>
      <c r="R208" s="126">
        <f t="shared" si="218"/>
        <v>628800</v>
      </c>
      <c r="S208" s="126"/>
      <c r="T208" s="127">
        <v>250000</v>
      </c>
      <c r="U208" s="122">
        <f t="shared" si="207"/>
        <v>2882800</v>
      </c>
      <c r="V208" s="333"/>
      <c r="W208" s="338">
        <f t="shared" si="217"/>
        <v>240240</v>
      </c>
      <c r="X208" s="128">
        <f t="shared" si="208"/>
        <v>129730</v>
      </c>
      <c r="Y208" s="128">
        <f t="shared" si="209"/>
        <v>87500</v>
      </c>
      <c r="Z208" s="128">
        <f t="shared" si="215"/>
        <v>5740</v>
      </c>
      <c r="AA208" s="128">
        <f t="shared" si="210"/>
        <v>25950</v>
      </c>
      <c r="AB208" s="128">
        <f t="shared" si="211"/>
        <v>23060</v>
      </c>
      <c r="AC208" s="129">
        <f t="shared" si="212"/>
        <v>512220</v>
      </c>
      <c r="AD208" s="619">
        <f t="shared" si="151"/>
        <v>2370580</v>
      </c>
    </row>
    <row r="209" spans="1:30" s="24" customFormat="1" ht="17.25" hidden="1" customHeight="1">
      <c r="A209" s="1150"/>
      <c r="B209" s="119"/>
      <c r="C209" s="120"/>
      <c r="D209" s="120"/>
      <c r="E209" s="124" t="s">
        <v>331</v>
      </c>
      <c r="F209" s="126">
        <f>F208</f>
        <v>2004000</v>
      </c>
      <c r="G209" s="126"/>
      <c r="H209" s="126"/>
      <c r="I209" s="126"/>
      <c r="J209" s="126"/>
      <c r="K209" s="126"/>
      <c r="L209" s="126"/>
      <c r="M209" s="126"/>
      <c r="N209" s="126"/>
      <c r="O209" s="126">
        <f t="shared" si="213"/>
        <v>0</v>
      </c>
      <c r="P209" s="126"/>
      <c r="Q209" s="126">
        <f t="shared" si="216"/>
        <v>16180</v>
      </c>
      <c r="R209" s="126">
        <f t="shared" si="218"/>
        <v>647200</v>
      </c>
      <c r="S209" s="126"/>
      <c r="T209" s="127">
        <f t="shared" si="214"/>
        <v>250000</v>
      </c>
      <c r="U209" s="122">
        <f t="shared" si="207"/>
        <v>2901200</v>
      </c>
      <c r="V209" s="333"/>
      <c r="W209" s="338">
        <f t="shared" si="217"/>
        <v>241770</v>
      </c>
      <c r="X209" s="128">
        <f t="shared" si="208"/>
        <v>130550</v>
      </c>
      <c r="Y209" s="128">
        <f t="shared" si="209"/>
        <v>88060</v>
      </c>
      <c r="Z209" s="128">
        <f t="shared" si="215"/>
        <v>5770</v>
      </c>
      <c r="AA209" s="128">
        <f t="shared" si="210"/>
        <v>26110</v>
      </c>
      <c r="AB209" s="128">
        <f t="shared" si="211"/>
        <v>23210</v>
      </c>
      <c r="AC209" s="129">
        <f t="shared" si="212"/>
        <v>515470</v>
      </c>
      <c r="AD209" s="619">
        <f t="shared" si="151"/>
        <v>2385730</v>
      </c>
    </row>
    <row r="210" spans="1:30" s="24" customFormat="1" ht="17.25" hidden="1" customHeight="1">
      <c r="A210" s="1150"/>
      <c r="B210" s="119"/>
      <c r="C210" s="120"/>
      <c r="D210" s="120"/>
      <c r="E210" s="124" t="s">
        <v>62</v>
      </c>
      <c r="F210" s="126">
        <f>F209</f>
        <v>2004000</v>
      </c>
      <c r="G210" s="126"/>
      <c r="H210" s="126"/>
      <c r="I210" s="126"/>
      <c r="J210" s="126"/>
      <c r="K210" s="126"/>
      <c r="L210" s="126"/>
      <c r="M210" s="126">
        <f>F210*60%</f>
        <v>1202400</v>
      </c>
      <c r="N210" s="126"/>
      <c r="O210" s="126">
        <f t="shared" si="213"/>
        <v>0</v>
      </c>
      <c r="P210" s="126"/>
      <c r="Q210" s="126">
        <f t="shared" si="216"/>
        <v>16180</v>
      </c>
      <c r="R210" s="126">
        <f t="shared" si="218"/>
        <v>647200</v>
      </c>
      <c r="S210" s="126"/>
      <c r="T210" s="127">
        <f t="shared" si="214"/>
        <v>250000</v>
      </c>
      <c r="U210" s="122">
        <f t="shared" si="207"/>
        <v>4103600</v>
      </c>
      <c r="V210" s="333"/>
      <c r="W210" s="338">
        <f t="shared" si="217"/>
        <v>341970</v>
      </c>
      <c r="X210" s="128">
        <f t="shared" si="208"/>
        <v>184660</v>
      </c>
      <c r="Y210" s="128">
        <f t="shared" si="209"/>
        <v>124550</v>
      </c>
      <c r="Z210" s="128">
        <f t="shared" si="215"/>
        <v>8160</v>
      </c>
      <c r="AA210" s="128">
        <f t="shared" si="210"/>
        <v>36930</v>
      </c>
      <c r="AB210" s="128">
        <f t="shared" si="211"/>
        <v>32830</v>
      </c>
      <c r="AC210" s="129">
        <f t="shared" si="212"/>
        <v>729100</v>
      </c>
      <c r="AD210" s="619">
        <f t="shared" si="151"/>
        <v>3374500</v>
      </c>
    </row>
    <row r="211" spans="1:30" s="24" customFormat="1" ht="17.25" hidden="1" customHeight="1">
      <c r="A211" s="1150"/>
      <c r="B211" s="119"/>
      <c r="C211" s="120"/>
      <c r="D211" s="120"/>
      <c r="E211" s="124" t="s">
        <v>63</v>
      </c>
      <c r="F211" s="126">
        <f>F210</f>
        <v>2004000</v>
      </c>
      <c r="G211" s="126"/>
      <c r="H211" s="126"/>
      <c r="I211" s="126"/>
      <c r="J211" s="126"/>
      <c r="K211" s="126"/>
      <c r="L211" s="126"/>
      <c r="M211" s="126"/>
      <c r="N211" s="126"/>
      <c r="O211" s="126">
        <f t="shared" si="213"/>
        <v>0</v>
      </c>
      <c r="P211" s="126"/>
      <c r="Q211" s="126">
        <f t="shared" si="216"/>
        <v>16180</v>
      </c>
      <c r="R211" s="126">
        <f t="shared" si="218"/>
        <v>647200</v>
      </c>
      <c r="S211" s="126"/>
      <c r="T211" s="127">
        <f t="shared" si="214"/>
        <v>250000</v>
      </c>
      <c r="U211" s="122">
        <f t="shared" si="207"/>
        <v>2901200</v>
      </c>
      <c r="V211" s="333"/>
      <c r="W211" s="338">
        <f t="shared" si="217"/>
        <v>241770</v>
      </c>
      <c r="X211" s="128">
        <f t="shared" si="208"/>
        <v>130550</v>
      </c>
      <c r="Y211" s="128">
        <f t="shared" si="209"/>
        <v>88060</v>
      </c>
      <c r="Z211" s="128">
        <f t="shared" si="215"/>
        <v>5770</v>
      </c>
      <c r="AA211" s="128">
        <f t="shared" si="210"/>
        <v>26110</v>
      </c>
      <c r="AB211" s="128">
        <f t="shared" si="211"/>
        <v>23210</v>
      </c>
      <c r="AC211" s="129">
        <f t="shared" si="212"/>
        <v>515470</v>
      </c>
      <c r="AD211" s="619">
        <f t="shared" si="151"/>
        <v>2385730</v>
      </c>
    </row>
    <row r="212" spans="1:30" s="24" customFormat="1" ht="17.25" hidden="1" customHeight="1">
      <c r="A212" s="1150"/>
      <c r="B212" s="119"/>
      <c r="C212" s="120"/>
      <c r="D212" s="120"/>
      <c r="E212" s="124" t="s">
        <v>64</v>
      </c>
      <c r="F212" s="126">
        <f>F211</f>
        <v>2004000</v>
      </c>
      <c r="G212" s="126"/>
      <c r="H212" s="126"/>
      <c r="I212" s="126"/>
      <c r="J212" s="126"/>
      <c r="K212" s="126"/>
      <c r="L212" s="126"/>
      <c r="M212" s="126"/>
      <c r="N212" s="126"/>
      <c r="O212" s="126">
        <f t="shared" si="213"/>
        <v>0</v>
      </c>
      <c r="P212" s="126"/>
      <c r="Q212" s="126">
        <f t="shared" si="216"/>
        <v>16180</v>
      </c>
      <c r="R212" s="126">
        <f t="shared" si="218"/>
        <v>647200</v>
      </c>
      <c r="S212" s="126"/>
      <c r="T212" s="127">
        <f t="shared" si="214"/>
        <v>250000</v>
      </c>
      <c r="U212" s="122">
        <f t="shared" si="207"/>
        <v>2901200</v>
      </c>
      <c r="V212" s="333"/>
      <c r="W212" s="338">
        <f t="shared" si="217"/>
        <v>241770</v>
      </c>
      <c r="X212" s="128">
        <f t="shared" si="208"/>
        <v>130550</v>
      </c>
      <c r="Y212" s="128">
        <f t="shared" si="209"/>
        <v>88060</v>
      </c>
      <c r="Z212" s="128">
        <f t="shared" si="215"/>
        <v>5770</v>
      </c>
      <c r="AA212" s="128">
        <f t="shared" si="210"/>
        <v>26110</v>
      </c>
      <c r="AB212" s="128">
        <f t="shared" si="211"/>
        <v>23210</v>
      </c>
      <c r="AC212" s="129">
        <f t="shared" si="212"/>
        <v>515470</v>
      </c>
      <c r="AD212" s="619">
        <f t="shared" si="151"/>
        <v>2385730</v>
      </c>
    </row>
    <row r="213" spans="1:30" s="24" customFormat="1" ht="17.25" hidden="1" customHeight="1">
      <c r="A213" s="1150"/>
      <c r="B213" s="119"/>
      <c r="C213" s="120"/>
      <c r="D213" s="120"/>
      <c r="E213" s="124" t="s">
        <v>332</v>
      </c>
      <c r="F213" s="126">
        <f>F212</f>
        <v>2004000</v>
      </c>
      <c r="G213" s="126"/>
      <c r="H213" s="126"/>
      <c r="I213" s="126"/>
      <c r="J213" s="126"/>
      <c r="K213" s="126"/>
      <c r="L213" s="126"/>
      <c r="M213" s="126"/>
      <c r="N213" s="126"/>
      <c r="O213" s="126">
        <f t="shared" si="213"/>
        <v>0</v>
      </c>
      <c r="P213" s="126"/>
      <c r="Q213" s="126">
        <f t="shared" si="216"/>
        <v>16180</v>
      </c>
      <c r="R213" s="126">
        <f>Q213*40*2</f>
        <v>1294400</v>
      </c>
      <c r="S213" s="126"/>
      <c r="T213" s="127">
        <f t="shared" si="214"/>
        <v>250000</v>
      </c>
      <c r="U213" s="122">
        <f t="shared" si="207"/>
        <v>3548400</v>
      </c>
      <c r="V213" s="333"/>
      <c r="W213" s="338">
        <f t="shared" si="217"/>
        <v>295700</v>
      </c>
      <c r="X213" s="128">
        <f t="shared" si="208"/>
        <v>159680</v>
      </c>
      <c r="Y213" s="128">
        <f t="shared" si="209"/>
        <v>107700</v>
      </c>
      <c r="Z213" s="128">
        <f t="shared" si="215"/>
        <v>7060</v>
      </c>
      <c r="AA213" s="128">
        <f t="shared" si="210"/>
        <v>31940</v>
      </c>
      <c r="AB213" s="128">
        <f t="shared" si="211"/>
        <v>28390</v>
      </c>
      <c r="AC213" s="129">
        <f t="shared" si="212"/>
        <v>630470</v>
      </c>
      <c r="AD213" s="619">
        <f t="shared" ref="AD213:AD276" si="219">U213-AC213</f>
        <v>2917930</v>
      </c>
    </row>
    <row r="214" spans="1:30" s="24" customFormat="1" ht="16.5" hidden="1" customHeight="1">
      <c r="A214" s="1150">
        <v>17</v>
      </c>
      <c r="B214" s="119" t="s">
        <v>95</v>
      </c>
      <c r="C214" s="120" t="s">
        <v>526</v>
      </c>
      <c r="D214" s="120">
        <v>1</v>
      </c>
      <c r="E214" s="121" t="s">
        <v>94</v>
      </c>
      <c r="F214" s="122">
        <f t="shared" ref="F214:L214" si="220">SUM(F215:F226)</f>
        <v>23984000</v>
      </c>
      <c r="G214" s="122">
        <f t="shared" si="220"/>
        <v>0</v>
      </c>
      <c r="H214" s="122">
        <f t="shared" si="220"/>
        <v>0</v>
      </c>
      <c r="I214" s="122">
        <f t="shared" si="220"/>
        <v>0</v>
      </c>
      <c r="J214" s="122">
        <f t="shared" si="220"/>
        <v>0</v>
      </c>
      <c r="K214" s="122">
        <f t="shared" si="220"/>
        <v>0</v>
      </c>
      <c r="L214" s="122">
        <f t="shared" si="220"/>
        <v>0</v>
      </c>
      <c r="M214" s="122">
        <f>SUM(M215:M226)</f>
        <v>2404800</v>
      </c>
      <c r="N214" s="122">
        <f>SUM(N215:N226)</f>
        <v>0</v>
      </c>
      <c r="O214" s="122">
        <f>SUM(O215:O226)</f>
        <v>0</v>
      </c>
      <c r="P214" s="122"/>
      <c r="Q214" s="122"/>
      <c r="R214" s="122">
        <f>SUM(R215:R226)</f>
        <v>7588500</v>
      </c>
      <c r="S214" s="122">
        <f>SUM(S215:S226)</f>
        <v>0</v>
      </c>
      <c r="T214" s="122">
        <f>SUM(T215:T226)</f>
        <v>3000000</v>
      </c>
      <c r="U214" s="122">
        <f>SUM(U215:U226)</f>
        <v>36977300</v>
      </c>
      <c r="V214" s="333"/>
      <c r="W214" s="350">
        <f t="shared" ref="W214:AB214" si="221">SUM(W215:W226)</f>
        <v>3102310</v>
      </c>
      <c r="X214" s="122">
        <f t="shared" si="221"/>
        <v>1663950</v>
      </c>
      <c r="Y214" s="122">
        <f t="shared" si="221"/>
        <v>1122350</v>
      </c>
      <c r="Z214" s="122">
        <f t="shared" si="221"/>
        <v>73550</v>
      </c>
      <c r="AA214" s="122">
        <f t="shared" si="221"/>
        <v>332790</v>
      </c>
      <c r="AB214" s="122">
        <f t="shared" si="221"/>
        <v>295820</v>
      </c>
      <c r="AC214" s="123">
        <f>SUM(AC215:AC226)</f>
        <v>6590770</v>
      </c>
      <c r="AD214" s="618">
        <f t="shared" si="219"/>
        <v>30386530</v>
      </c>
    </row>
    <row r="215" spans="1:30" s="24" customFormat="1" ht="16.5" hidden="1" customHeight="1">
      <c r="A215" s="1150"/>
      <c r="B215" s="119" t="s">
        <v>544</v>
      </c>
      <c r="C215" s="120">
        <v>7</v>
      </c>
      <c r="D215" s="120"/>
      <c r="E215" s="124" t="s">
        <v>324</v>
      </c>
      <c r="F215" s="125">
        <v>1940000</v>
      </c>
      <c r="G215" s="126"/>
      <c r="H215" s="125"/>
      <c r="I215" s="125"/>
      <c r="J215" s="126"/>
      <c r="K215" s="126"/>
      <c r="L215" s="126"/>
      <c r="M215" s="126"/>
      <c r="N215" s="126"/>
      <c r="O215" s="126"/>
      <c r="P215" s="126"/>
      <c r="Q215" s="126"/>
      <c r="R215" s="126"/>
      <c r="S215" s="126"/>
      <c r="T215" s="127">
        <v>250000</v>
      </c>
      <c r="U215" s="122">
        <f>SUM(F215,M215,O215,R215,T215)</f>
        <v>2190000</v>
      </c>
      <c r="V215" s="333"/>
      <c r="W215" s="338">
        <f>ROUNDUP(U215*1/12,-1)</f>
        <v>182500</v>
      </c>
      <c r="X215" s="128">
        <f t="shared" ref="X215:X226" si="222">ROUND(U215*4.5%,-1)</f>
        <v>98550</v>
      </c>
      <c r="Y215" s="128">
        <f t="shared" ref="Y215:Y226" si="223">ROUNDUP((U215-L215)*3.035%,-1)</f>
        <v>66470</v>
      </c>
      <c r="Z215" s="128">
        <f t="shared" ref="Z215:Z226" si="224">ROUNDUP(Y215*6.55%,-1)</f>
        <v>4360</v>
      </c>
      <c r="AA215" s="128">
        <f t="shared" ref="AA215:AA226" si="225">ROUND(U215*0.9%,-1)</f>
        <v>19710</v>
      </c>
      <c r="AB215" s="128">
        <f t="shared" ref="AB215:AB226" si="226">ROUND(U215*0.8%,-1)</f>
        <v>17520</v>
      </c>
      <c r="AC215" s="129">
        <f t="shared" ref="AC215:AC226" si="227">SUM(W215:AB215)</f>
        <v>389110</v>
      </c>
      <c r="AD215" s="619">
        <f t="shared" si="219"/>
        <v>1800890</v>
      </c>
    </row>
    <row r="216" spans="1:30" s="24" customFormat="1" ht="16.5" hidden="1" customHeight="1">
      <c r="A216" s="1150"/>
      <c r="B216" s="119"/>
      <c r="C216" s="120">
        <v>8</v>
      </c>
      <c r="D216" s="120"/>
      <c r="E216" s="124" t="s">
        <v>325</v>
      </c>
      <c r="F216" s="125">
        <v>2004000</v>
      </c>
      <c r="G216" s="126"/>
      <c r="H216" s="126"/>
      <c r="I216" s="126"/>
      <c r="J216" s="126"/>
      <c r="K216" s="126"/>
      <c r="L216" s="126"/>
      <c r="M216" s="126">
        <f>F216*60%</f>
        <v>1202400</v>
      </c>
      <c r="N216" s="126"/>
      <c r="O216" s="126">
        <f t="shared" ref="O216:O226" si="228">O215</f>
        <v>0</v>
      </c>
      <c r="P216" s="126"/>
      <c r="Q216" s="126">
        <f t="shared" ref="Q216:Q226" si="229">ROUND((F215+T215)*1/209*1.5,-1)</f>
        <v>15720</v>
      </c>
      <c r="R216" s="126">
        <f>Q216*35</f>
        <v>550200</v>
      </c>
      <c r="S216" s="126"/>
      <c r="T216" s="127">
        <f t="shared" ref="T216:T226" si="230">T215</f>
        <v>250000</v>
      </c>
      <c r="U216" s="122">
        <f t="shared" ref="U216:U226" si="231">SUM(F216,M216,O216,R216,T216)</f>
        <v>4006600</v>
      </c>
      <c r="V216" s="333"/>
      <c r="W216" s="338">
        <f>ROUNDUP((T216+U216)*1/12,-1)</f>
        <v>354720</v>
      </c>
      <c r="X216" s="128">
        <f t="shared" si="222"/>
        <v>180300</v>
      </c>
      <c r="Y216" s="128">
        <f t="shared" si="223"/>
        <v>121610</v>
      </c>
      <c r="Z216" s="128">
        <f t="shared" si="224"/>
        <v>7970</v>
      </c>
      <c r="AA216" s="128">
        <f t="shared" si="225"/>
        <v>36060</v>
      </c>
      <c r="AB216" s="128">
        <f t="shared" si="226"/>
        <v>32050</v>
      </c>
      <c r="AC216" s="129">
        <f t="shared" si="227"/>
        <v>732710</v>
      </c>
      <c r="AD216" s="619">
        <f t="shared" si="219"/>
        <v>3273890</v>
      </c>
    </row>
    <row r="217" spans="1:30" s="24" customFormat="1" ht="16.5" hidden="1" customHeight="1">
      <c r="A217" s="1150"/>
      <c r="B217" s="119"/>
      <c r="C217" s="120"/>
      <c r="D217" s="120"/>
      <c r="E217" s="124" t="s">
        <v>326</v>
      </c>
      <c r="F217" s="126">
        <f t="shared" ref="F217:F226" si="232">F216</f>
        <v>2004000</v>
      </c>
      <c r="G217" s="126"/>
      <c r="H217" s="126"/>
      <c r="I217" s="126"/>
      <c r="J217" s="126"/>
      <c r="K217" s="126"/>
      <c r="L217" s="126"/>
      <c r="M217" s="126"/>
      <c r="N217" s="126"/>
      <c r="O217" s="126">
        <f t="shared" si="228"/>
        <v>0</v>
      </c>
      <c r="P217" s="126"/>
      <c r="Q217" s="126">
        <f t="shared" si="229"/>
        <v>16180</v>
      </c>
      <c r="R217" s="126">
        <f>Q217*35</f>
        <v>566300</v>
      </c>
      <c r="S217" s="126"/>
      <c r="T217" s="127">
        <f t="shared" si="230"/>
        <v>250000</v>
      </c>
      <c r="U217" s="122">
        <f t="shared" si="231"/>
        <v>2820300</v>
      </c>
      <c r="V217" s="333"/>
      <c r="W217" s="338">
        <f t="shared" ref="W217:W226" si="233">ROUNDUP(U217*1/12,-1)</f>
        <v>235030</v>
      </c>
      <c r="X217" s="128">
        <f t="shared" si="222"/>
        <v>126910</v>
      </c>
      <c r="Y217" s="128">
        <f t="shared" si="223"/>
        <v>85600</v>
      </c>
      <c r="Z217" s="128">
        <f t="shared" si="224"/>
        <v>5610</v>
      </c>
      <c r="AA217" s="128">
        <f t="shared" si="225"/>
        <v>25380</v>
      </c>
      <c r="AB217" s="128">
        <f t="shared" si="226"/>
        <v>22560</v>
      </c>
      <c r="AC217" s="129">
        <f t="shared" si="227"/>
        <v>501090</v>
      </c>
      <c r="AD217" s="619">
        <f t="shared" si="219"/>
        <v>2319210</v>
      </c>
    </row>
    <row r="218" spans="1:30" s="24" customFormat="1" ht="16.5" hidden="1" customHeight="1">
      <c r="A218" s="1150"/>
      <c r="B218" s="119"/>
      <c r="C218" s="120"/>
      <c r="D218" s="120"/>
      <c r="E218" s="124" t="s">
        <v>327</v>
      </c>
      <c r="F218" s="126">
        <f t="shared" si="232"/>
        <v>2004000</v>
      </c>
      <c r="G218" s="126"/>
      <c r="H218" s="126"/>
      <c r="I218" s="126"/>
      <c r="J218" s="126"/>
      <c r="K218" s="126"/>
      <c r="L218" s="126"/>
      <c r="M218" s="126"/>
      <c r="N218" s="126"/>
      <c r="O218" s="126">
        <f t="shared" si="228"/>
        <v>0</v>
      </c>
      <c r="P218" s="126"/>
      <c r="Q218" s="126">
        <f t="shared" si="229"/>
        <v>16180</v>
      </c>
      <c r="R218" s="126">
        <f t="shared" ref="R218:R225" si="234">Q218*40</f>
        <v>647200</v>
      </c>
      <c r="S218" s="126"/>
      <c r="T218" s="127">
        <f t="shared" si="230"/>
        <v>250000</v>
      </c>
      <c r="U218" s="122">
        <f t="shared" si="231"/>
        <v>2901200</v>
      </c>
      <c r="V218" s="333"/>
      <c r="W218" s="338">
        <f t="shared" si="233"/>
        <v>241770</v>
      </c>
      <c r="X218" s="128">
        <f t="shared" si="222"/>
        <v>130550</v>
      </c>
      <c r="Y218" s="128">
        <f t="shared" si="223"/>
        <v>88060</v>
      </c>
      <c r="Z218" s="128">
        <f t="shared" si="224"/>
        <v>5770</v>
      </c>
      <c r="AA218" s="128">
        <f t="shared" si="225"/>
        <v>26110</v>
      </c>
      <c r="AB218" s="128">
        <f t="shared" si="226"/>
        <v>23210</v>
      </c>
      <c r="AC218" s="129">
        <f t="shared" si="227"/>
        <v>515470</v>
      </c>
      <c r="AD218" s="619">
        <f t="shared" si="219"/>
        <v>2385730</v>
      </c>
    </row>
    <row r="219" spans="1:30" s="24" customFormat="1" ht="16.5" hidden="1" customHeight="1">
      <c r="A219" s="1150"/>
      <c r="B219" s="119"/>
      <c r="C219" s="120"/>
      <c r="D219" s="120"/>
      <c r="E219" s="124" t="s">
        <v>328</v>
      </c>
      <c r="F219" s="126">
        <f t="shared" si="232"/>
        <v>2004000</v>
      </c>
      <c r="G219" s="126"/>
      <c r="H219" s="126"/>
      <c r="I219" s="126"/>
      <c r="J219" s="126"/>
      <c r="K219" s="126"/>
      <c r="L219" s="126"/>
      <c r="M219" s="126"/>
      <c r="N219" s="126"/>
      <c r="O219" s="126">
        <f t="shared" si="228"/>
        <v>0</v>
      </c>
      <c r="P219" s="126"/>
      <c r="Q219" s="126">
        <f t="shared" si="229"/>
        <v>16180</v>
      </c>
      <c r="R219" s="126">
        <f t="shared" si="234"/>
        <v>647200</v>
      </c>
      <c r="S219" s="126"/>
      <c r="T219" s="127">
        <f t="shared" si="230"/>
        <v>250000</v>
      </c>
      <c r="U219" s="122">
        <f t="shared" si="231"/>
        <v>2901200</v>
      </c>
      <c r="V219" s="333"/>
      <c r="W219" s="338">
        <f t="shared" si="233"/>
        <v>241770</v>
      </c>
      <c r="X219" s="128">
        <f t="shared" si="222"/>
        <v>130550</v>
      </c>
      <c r="Y219" s="128">
        <f t="shared" si="223"/>
        <v>88060</v>
      </c>
      <c r="Z219" s="128">
        <f t="shared" si="224"/>
        <v>5770</v>
      </c>
      <c r="AA219" s="128">
        <f t="shared" si="225"/>
        <v>26110</v>
      </c>
      <c r="AB219" s="128">
        <f t="shared" si="226"/>
        <v>23210</v>
      </c>
      <c r="AC219" s="129">
        <f t="shared" si="227"/>
        <v>515470</v>
      </c>
      <c r="AD219" s="619">
        <f t="shared" si="219"/>
        <v>2385730</v>
      </c>
    </row>
    <row r="220" spans="1:30" s="24" customFormat="1" ht="16.5" hidden="1" customHeight="1">
      <c r="A220" s="1150"/>
      <c r="B220" s="119"/>
      <c r="C220" s="120"/>
      <c r="D220" s="120"/>
      <c r="E220" s="124" t="s">
        <v>329</v>
      </c>
      <c r="F220" s="126">
        <f t="shared" si="232"/>
        <v>2004000</v>
      </c>
      <c r="G220" s="126"/>
      <c r="H220" s="126"/>
      <c r="I220" s="126"/>
      <c r="J220" s="126"/>
      <c r="K220" s="126"/>
      <c r="L220" s="126"/>
      <c r="M220" s="126"/>
      <c r="N220" s="126"/>
      <c r="O220" s="126">
        <f t="shared" si="228"/>
        <v>0</v>
      </c>
      <c r="P220" s="126"/>
      <c r="Q220" s="126">
        <f t="shared" si="229"/>
        <v>16180</v>
      </c>
      <c r="R220" s="126">
        <f t="shared" si="234"/>
        <v>647200</v>
      </c>
      <c r="S220" s="126"/>
      <c r="T220" s="127">
        <f t="shared" si="230"/>
        <v>250000</v>
      </c>
      <c r="U220" s="122">
        <f t="shared" si="231"/>
        <v>2901200</v>
      </c>
      <c r="V220" s="333"/>
      <c r="W220" s="338">
        <f t="shared" si="233"/>
        <v>241770</v>
      </c>
      <c r="X220" s="128">
        <f t="shared" si="222"/>
        <v>130550</v>
      </c>
      <c r="Y220" s="128">
        <f t="shared" si="223"/>
        <v>88060</v>
      </c>
      <c r="Z220" s="128">
        <f t="shared" si="224"/>
        <v>5770</v>
      </c>
      <c r="AA220" s="128">
        <f t="shared" si="225"/>
        <v>26110</v>
      </c>
      <c r="AB220" s="128">
        <f t="shared" si="226"/>
        <v>23210</v>
      </c>
      <c r="AC220" s="129">
        <f t="shared" si="227"/>
        <v>515470</v>
      </c>
      <c r="AD220" s="619">
        <f t="shared" si="219"/>
        <v>2385730</v>
      </c>
    </row>
    <row r="221" spans="1:30" s="24" customFormat="1" ht="16.5" hidden="1" customHeight="1">
      <c r="A221" s="1150"/>
      <c r="B221" s="119"/>
      <c r="C221" s="120"/>
      <c r="D221" s="120"/>
      <c r="E221" s="124" t="s">
        <v>330</v>
      </c>
      <c r="F221" s="126">
        <f t="shared" si="232"/>
        <v>2004000</v>
      </c>
      <c r="G221" s="126"/>
      <c r="H221" s="125"/>
      <c r="I221" s="127"/>
      <c r="J221" s="126"/>
      <c r="K221" s="126"/>
      <c r="L221" s="126"/>
      <c r="M221" s="126"/>
      <c r="N221" s="126"/>
      <c r="O221" s="126">
        <f t="shared" si="228"/>
        <v>0</v>
      </c>
      <c r="P221" s="126"/>
      <c r="Q221" s="126">
        <f t="shared" si="229"/>
        <v>16180</v>
      </c>
      <c r="R221" s="126">
        <f t="shared" si="234"/>
        <v>647200</v>
      </c>
      <c r="S221" s="126"/>
      <c r="T221" s="127">
        <f t="shared" si="230"/>
        <v>250000</v>
      </c>
      <c r="U221" s="122">
        <f t="shared" si="231"/>
        <v>2901200</v>
      </c>
      <c r="V221" s="333"/>
      <c r="W221" s="338">
        <f t="shared" si="233"/>
        <v>241770</v>
      </c>
      <c r="X221" s="128">
        <f t="shared" si="222"/>
        <v>130550</v>
      </c>
      <c r="Y221" s="128">
        <f t="shared" si="223"/>
        <v>88060</v>
      </c>
      <c r="Z221" s="128">
        <f t="shared" si="224"/>
        <v>5770</v>
      </c>
      <c r="AA221" s="128">
        <f t="shared" si="225"/>
        <v>26110</v>
      </c>
      <c r="AB221" s="128">
        <f t="shared" si="226"/>
        <v>23210</v>
      </c>
      <c r="AC221" s="129">
        <f t="shared" si="227"/>
        <v>515470</v>
      </c>
      <c r="AD221" s="619">
        <f t="shared" si="219"/>
        <v>2385730</v>
      </c>
    </row>
    <row r="222" spans="1:30" s="24" customFormat="1" ht="16.5" hidden="1" customHeight="1">
      <c r="A222" s="1150"/>
      <c r="B222" s="119"/>
      <c r="C222" s="120"/>
      <c r="D222" s="120"/>
      <c r="E222" s="124" t="s">
        <v>331</v>
      </c>
      <c r="F222" s="126">
        <f t="shared" si="232"/>
        <v>2004000</v>
      </c>
      <c r="G222" s="126"/>
      <c r="H222" s="126"/>
      <c r="I222" s="126"/>
      <c r="J222" s="126"/>
      <c r="K222" s="126"/>
      <c r="L222" s="126"/>
      <c r="M222" s="126"/>
      <c r="N222" s="126"/>
      <c r="O222" s="126">
        <f t="shared" si="228"/>
        <v>0</v>
      </c>
      <c r="P222" s="126"/>
      <c r="Q222" s="126">
        <f t="shared" si="229"/>
        <v>16180</v>
      </c>
      <c r="R222" s="126">
        <f t="shared" si="234"/>
        <v>647200</v>
      </c>
      <c r="S222" s="126"/>
      <c r="T222" s="127">
        <f t="shared" si="230"/>
        <v>250000</v>
      </c>
      <c r="U222" s="122">
        <f t="shared" si="231"/>
        <v>2901200</v>
      </c>
      <c r="V222" s="333"/>
      <c r="W222" s="338">
        <f t="shared" si="233"/>
        <v>241770</v>
      </c>
      <c r="X222" s="128">
        <f t="shared" si="222"/>
        <v>130550</v>
      </c>
      <c r="Y222" s="128">
        <f t="shared" si="223"/>
        <v>88060</v>
      </c>
      <c r="Z222" s="128">
        <f t="shared" si="224"/>
        <v>5770</v>
      </c>
      <c r="AA222" s="128">
        <f t="shared" si="225"/>
        <v>26110</v>
      </c>
      <c r="AB222" s="128">
        <f t="shared" si="226"/>
        <v>23210</v>
      </c>
      <c r="AC222" s="129">
        <f t="shared" si="227"/>
        <v>515470</v>
      </c>
      <c r="AD222" s="619">
        <f t="shared" si="219"/>
        <v>2385730</v>
      </c>
    </row>
    <row r="223" spans="1:30" s="24" customFormat="1" ht="16.5" hidden="1" customHeight="1">
      <c r="A223" s="1150"/>
      <c r="B223" s="119"/>
      <c r="C223" s="120"/>
      <c r="D223" s="120"/>
      <c r="E223" s="124" t="s">
        <v>62</v>
      </c>
      <c r="F223" s="126">
        <f t="shared" si="232"/>
        <v>2004000</v>
      </c>
      <c r="G223" s="126"/>
      <c r="H223" s="126"/>
      <c r="I223" s="126"/>
      <c r="J223" s="126"/>
      <c r="K223" s="126"/>
      <c r="L223" s="126"/>
      <c r="M223" s="126">
        <f>F223*60%</f>
        <v>1202400</v>
      </c>
      <c r="N223" s="126"/>
      <c r="O223" s="126">
        <f t="shared" si="228"/>
        <v>0</v>
      </c>
      <c r="P223" s="126"/>
      <c r="Q223" s="126">
        <f t="shared" si="229"/>
        <v>16180</v>
      </c>
      <c r="R223" s="126">
        <f t="shared" si="234"/>
        <v>647200</v>
      </c>
      <c r="S223" s="126"/>
      <c r="T223" s="127">
        <f t="shared" si="230"/>
        <v>250000</v>
      </c>
      <c r="U223" s="122">
        <f t="shared" si="231"/>
        <v>4103600</v>
      </c>
      <c r="V223" s="333"/>
      <c r="W223" s="338">
        <f t="shared" si="233"/>
        <v>341970</v>
      </c>
      <c r="X223" s="128">
        <f t="shared" si="222"/>
        <v>184660</v>
      </c>
      <c r="Y223" s="128">
        <f t="shared" si="223"/>
        <v>124550</v>
      </c>
      <c r="Z223" s="128">
        <f t="shared" si="224"/>
        <v>8160</v>
      </c>
      <c r="AA223" s="128">
        <f t="shared" si="225"/>
        <v>36930</v>
      </c>
      <c r="AB223" s="128">
        <f t="shared" si="226"/>
        <v>32830</v>
      </c>
      <c r="AC223" s="129">
        <f t="shared" si="227"/>
        <v>729100</v>
      </c>
      <c r="AD223" s="619">
        <f t="shared" si="219"/>
        <v>3374500</v>
      </c>
    </row>
    <row r="224" spans="1:30" s="24" customFormat="1" ht="16.5" hidden="1" customHeight="1">
      <c r="A224" s="1150"/>
      <c r="B224" s="119"/>
      <c r="C224" s="120"/>
      <c r="D224" s="120"/>
      <c r="E224" s="124" t="s">
        <v>63</v>
      </c>
      <c r="F224" s="126">
        <f t="shared" si="232"/>
        <v>2004000</v>
      </c>
      <c r="G224" s="126"/>
      <c r="H224" s="126"/>
      <c r="I224" s="126"/>
      <c r="J224" s="126"/>
      <c r="K224" s="126"/>
      <c r="L224" s="126"/>
      <c r="M224" s="126"/>
      <c r="N224" s="126"/>
      <c r="O224" s="126">
        <f t="shared" si="228"/>
        <v>0</v>
      </c>
      <c r="P224" s="126"/>
      <c r="Q224" s="126">
        <f t="shared" si="229"/>
        <v>16180</v>
      </c>
      <c r="R224" s="126">
        <f t="shared" si="234"/>
        <v>647200</v>
      </c>
      <c r="S224" s="126"/>
      <c r="T224" s="127">
        <f t="shared" si="230"/>
        <v>250000</v>
      </c>
      <c r="U224" s="122">
        <f t="shared" si="231"/>
        <v>2901200</v>
      </c>
      <c r="V224" s="333"/>
      <c r="W224" s="338">
        <f t="shared" si="233"/>
        <v>241770</v>
      </c>
      <c r="X224" s="128">
        <f t="shared" si="222"/>
        <v>130550</v>
      </c>
      <c r="Y224" s="128">
        <f t="shared" si="223"/>
        <v>88060</v>
      </c>
      <c r="Z224" s="128">
        <f t="shared" si="224"/>
        <v>5770</v>
      </c>
      <c r="AA224" s="128">
        <f t="shared" si="225"/>
        <v>26110</v>
      </c>
      <c r="AB224" s="128">
        <f t="shared" si="226"/>
        <v>23210</v>
      </c>
      <c r="AC224" s="129">
        <f t="shared" si="227"/>
        <v>515470</v>
      </c>
      <c r="AD224" s="619">
        <f t="shared" si="219"/>
        <v>2385730</v>
      </c>
    </row>
    <row r="225" spans="1:30" s="24" customFormat="1" ht="16.5" hidden="1" customHeight="1">
      <c r="A225" s="1150"/>
      <c r="B225" s="119"/>
      <c r="C225" s="120"/>
      <c r="D225" s="120"/>
      <c r="E225" s="124" t="s">
        <v>64</v>
      </c>
      <c r="F225" s="126">
        <f t="shared" si="232"/>
        <v>2004000</v>
      </c>
      <c r="G225" s="126"/>
      <c r="H225" s="126"/>
      <c r="I225" s="126"/>
      <c r="J225" s="126"/>
      <c r="K225" s="126"/>
      <c r="L225" s="126"/>
      <c r="M225" s="126"/>
      <c r="N225" s="126"/>
      <c r="O225" s="126">
        <f t="shared" si="228"/>
        <v>0</v>
      </c>
      <c r="P225" s="126"/>
      <c r="Q225" s="126">
        <f t="shared" si="229"/>
        <v>16180</v>
      </c>
      <c r="R225" s="126">
        <f t="shared" si="234"/>
        <v>647200</v>
      </c>
      <c r="S225" s="126"/>
      <c r="T225" s="127">
        <f t="shared" si="230"/>
        <v>250000</v>
      </c>
      <c r="U225" s="122">
        <f t="shared" si="231"/>
        <v>2901200</v>
      </c>
      <c r="V225" s="333"/>
      <c r="W225" s="338">
        <f t="shared" si="233"/>
        <v>241770</v>
      </c>
      <c r="X225" s="128">
        <f t="shared" si="222"/>
        <v>130550</v>
      </c>
      <c r="Y225" s="128">
        <f t="shared" si="223"/>
        <v>88060</v>
      </c>
      <c r="Z225" s="128">
        <f t="shared" si="224"/>
        <v>5770</v>
      </c>
      <c r="AA225" s="128">
        <f t="shared" si="225"/>
        <v>26110</v>
      </c>
      <c r="AB225" s="128">
        <f t="shared" si="226"/>
        <v>23210</v>
      </c>
      <c r="AC225" s="129">
        <f t="shared" si="227"/>
        <v>515470</v>
      </c>
      <c r="AD225" s="619">
        <f t="shared" si="219"/>
        <v>2385730</v>
      </c>
    </row>
    <row r="226" spans="1:30" s="24" customFormat="1" ht="16.5" hidden="1" customHeight="1">
      <c r="A226" s="1150"/>
      <c r="B226" s="119"/>
      <c r="C226" s="120"/>
      <c r="D226" s="120"/>
      <c r="E226" s="124" t="s">
        <v>332</v>
      </c>
      <c r="F226" s="126">
        <f t="shared" si="232"/>
        <v>2004000</v>
      </c>
      <c r="G226" s="126"/>
      <c r="H226" s="126"/>
      <c r="I226" s="126"/>
      <c r="J226" s="126"/>
      <c r="K226" s="126"/>
      <c r="L226" s="126"/>
      <c r="M226" s="126"/>
      <c r="N226" s="126"/>
      <c r="O226" s="126">
        <f t="shared" si="228"/>
        <v>0</v>
      </c>
      <c r="P226" s="126"/>
      <c r="Q226" s="126">
        <f t="shared" si="229"/>
        <v>16180</v>
      </c>
      <c r="R226" s="126">
        <f>Q226*40*2</f>
        <v>1294400</v>
      </c>
      <c r="S226" s="126"/>
      <c r="T226" s="127">
        <f t="shared" si="230"/>
        <v>250000</v>
      </c>
      <c r="U226" s="122">
        <f t="shared" si="231"/>
        <v>3548400</v>
      </c>
      <c r="V226" s="333"/>
      <c r="W226" s="338">
        <f t="shared" si="233"/>
        <v>295700</v>
      </c>
      <c r="X226" s="128">
        <f t="shared" si="222"/>
        <v>159680</v>
      </c>
      <c r="Y226" s="128">
        <f t="shared" si="223"/>
        <v>107700</v>
      </c>
      <c r="Z226" s="128">
        <f t="shared" si="224"/>
        <v>7060</v>
      </c>
      <c r="AA226" s="128">
        <f t="shared" si="225"/>
        <v>31940</v>
      </c>
      <c r="AB226" s="128">
        <f t="shared" si="226"/>
        <v>28390</v>
      </c>
      <c r="AC226" s="129">
        <f t="shared" si="227"/>
        <v>630470</v>
      </c>
      <c r="AD226" s="619">
        <f t="shared" si="219"/>
        <v>2917930</v>
      </c>
    </row>
    <row r="227" spans="1:30" s="24" customFormat="1" ht="16.5" hidden="1" customHeight="1">
      <c r="A227" s="1150">
        <v>18</v>
      </c>
      <c r="B227" s="119" t="s">
        <v>95</v>
      </c>
      <c r="C227" s="120" t="s">
        <v>663</v>
      </c>
      <c r="D227" s="120">
        <v>1</v>
      </c>
      <c r="E227" s="121" t="s">
        <v>94</v>
      </c>
      <c r="F227" s="122">
        <f t="shared" ref="F227:L227" si="235">SUM(F228:F239)</f>
        <v>22608000</v>
      </c>
      <c r="G227" s="122">
        <f t="shared" si="235"/>
        <v>0</v>
      </c>
      <c r="H227" s="122">
        <f t="shared" si="235"/>
        <v>0</v>
      </c>
      <c r="I227" s="122">
        <f t="shared" si="235"/>
        <v>0</v>
      </c>
      <c r="J227" s="122">
        <f t="shared" si="235"/>
        <v>0</v>
      </c>
      <c r="K227" s="122">
        <f t="shared" si="235"/>
        <v>0</v>
      </c>
      <c r="L227" s="122">
        <f t="shared" si="235"/>
        <v>0</v>
      </c>
      <c r="M227" s="122">
        <f>SUM(M228:M239)</f>
        <v>2271600</v>
      </c>
      <c r="N227" s="122">
        <f>SUM(N228:N239)</f>
        <v>0</v>
      </c>
      <c r="O227" s="122">
        <f>SUM(O228:O239)</f>
        <v>660000</v>
      </c>
      <c r="P227" s="122"/>
      <c r="Q227" s="122"/>
      <c r="R227" s="122">
        <f>SUM(R228:R239)</f>
        <v>0</v>
      </c>
      <c r="S227" s="122">
        <f>SUM(S228:S239)</f>
        <v>0</v>
      </c>
      <c r="T227" s="122">
        <f>SUM(T228:T239)</f>
        <v>2950000</v>
      </c>
      <c r="U227" s="122">
        <f>SUM(U228:U239)</f>
        <v>28489600</v>
      </c>
      <c r="V227" s="333"/>
      <c r="W227" s="350">
        <f t="shared" ref="W227:AB227" si="236">SUM(W228:W239)</f>
        <v>2395030</v>
      </c>
      <c r="X227" s="122">
        <f t="shared" si="236"/>
        <v>1282090</v>
      </c>
      <c r="Y227" s="122">
        <f t="shared" si="236"/>
        <v>864750</v>
      </c>
      <c r="Z227" s="122">
        <f t="shared" si="236"/>
        <v>56660</v>
      </c>
      <c r="AA227" s="122">
        <f t="shared" si="236"/>
        <v>256440</v>
      </c>
      <c r="AB227" s="122">
        <f t="shared" si="236"/>
        <v>227880</v>
      </c>
      <c r="AC227" s="123">
        <f>SUM(AC228:AC239)</f>
        <v>5082850</v>
      </c>
      <c r="AD227" s="618">
        <f t="shared" si="219"/>
        <v>23406750</v>
      </c>
    </row>
    <row r="228" spans="1:30" s="24" customFormat="1" ht="16.5" hidden="1" customHeight="1">
      <c r="A228" s="1150"/>
      <c r="B228" s="119" t="s">
        <v>545</v>
      </c>
      <c r="C228" s="120">
        <v>5</v>
      </c>
      <c r="D228" s="120"/>
      <c r="E228" s="124" t="s">
        <v>324</v>
      </c>
      <c r="F228" s="125">
        <v>1785000</v>
      </c>
      <c r="G228" s="126"/>
      <c r="H228" s="125"/>
      <c r="I228" s="125"/>
      <c r="J228" s="126"/>
      <c r="K228" s="126"/>
      <c r="L228" s="126"/>
      <c r="M228" s="126"/>
      <c r="N228" s="126"/>
      <c r="O228" s="126">
        <v>40000</v>
      </c>
      <c r="P228" s="126"/>
      <c r="Q228" s="126"/>
      <c r="R228" s="126"/>
      <c r="S228" s="126"/>
      <c r="T228" s="127">
        <v>200000</v>
      </c>
      <c r="U228" s="122">
        <f>SUM(F228,M228,O228,R228,T228)</f>
        <v>2025000</v>
      </c>
      <c r="V228" s="333"/>
      <c r="W228" s="338">
        <f>ROUNDUP(U228*1/12,-1)</f>
        <v>168750</v>
      </c>
      <c r="X228" s="128">
        <f t="shared" ref="X228:X239" si="237">ROUND(U228*4.5%,-1)</f>
        <v>91130</v>
      </c>
      <c r="Y228" s="128">
        <f t="shared" ref="Y228:Y239" si="238">ROUNDUP((U228-L228)*3.035%,-1)</f>
        <v>61460</v>
      </c>
      <c r="Z228" s="128">
        <f>ROUNDUP(Y228*6.55%,-1)</f>
        <v>4030</v>
      </c>
      <c r="AA228" s="128">
        <f t="shared" ref="AA228:AA239" si="239">ROUND(U228*0.9%,-1)</f>
        <v>18230</v>
      </c>
      <c r="AB228" s="128">
        <f t="shared" ref="AB228:AB239" si="240">ROUND(U228*0.8%,-1)</f>
        <v>16200</v>
      </c>
      <c r="AC228" s="129">
        <f t="shared" ref="AC228:AC239" si="241">SUM(W228:AB228)</f>
        <v>359800</v>
      </c>
      <c r="AD228" s="619">
        <f t="shared" si="219"/>
        <v>1665200</v>
      </c>
    </row>
    <row r="229" spans="1:30" s="24" customFormat="1" ht="16.5" hidden="1" customHeight="1">
      <c r="A229" s="1150"/>
      <c r="B229" s="119"/>
      <c r="C229" s="120">
        <v>6</v>
      </c>
      <c r="D229" s="120"/>
      <c r="E229" s="124" t="s">
        <v>325</v>
      </c>
      <c r="F229" s="591">
        <v>1893000</v>
      </c>
      <c r="G229" s="126"/>
      <c r="H229" s="126"/>
      <c r="I229" s="126"/>
      <c r="J229" s="126"/>
      <c r="K229" s="126"/>
      <c r="L229" s="126"/>
      <c r="M229" s="126">
        <f>F229*60%</f>
        <v>1135800</v>
      </c>
      <c r="N229" s="126"/>
      <c r="O229" s="126">
        <f>O228</f>
        <v>40000</v>
      </c>
      <c r="P229" s="126"/>
      <c r="Q229" s="126">
        <f>ROUND((F228+T228)*1/209*1.5,-1)</f>
        <v>14250</v>
      </c>
      <c r="R229" s="126"/>
      <c r="S229" s="126"/>
      <c r="T229" s="127">
        <v>250000</v>
      </c>
      <c r="U229" s="122">
        <f t="shared" ref="U229:U239" si="242">SUM(F229,M229,O229,R229,T229)</f>
        <v>3318800</v>
      </c>
      <c r="V229" s="333"/>
      <c r="W229" s="338">
        <f>ROUNDUP((T229+U229)*1/12,-1)</f>
        <v>297400</v>
      </c>
      <c r="X229" s="128">
        <f t="shared" si="237"/>
        <v>149350</v>
      </c>
      <c r="Y229" s="128">
        <f t="shared" si="238"/>
        <v>100730</v>
      </c>
      <c r="Z229" s="128">
        <f t="shared" ref="Z229:Z239" si="243">ROUNDUP(Y229*6.55%,-1)</f>
        <v>6600</v>
      </c>
      <c r="AA229" s="128">
        <f t="shared" si="239"/>
        <v>29870</v>
      </c>
      <c r="AB229" s="128">
        <f t="shared" si="240"/>
        <v>26550</v>
      </c>
      <c r="AC229" s="129">
        <f t="shared" si="241"/>
        <v>610500</v>
      </c>
      <c r="AD229" s="619">
        <f t="shared" si="219"/>
        <v>2708300</v>
      </c>
    </row>
    <row r="230" spans="1:30" s="24" customFormat="1" ht="16.5" hidden="1" customHeight="1">
      <c r="A230" s="1150"/>
      <c r="B230" s="119"/>
      <c r="C230" s="120"/>
      <c r="D230" s="120"/>
      <c r="E230" s="124" t="s">
        <v>326</v>
      </c>
      <c r="F230" s="126">
        <f>F229</f>
        <v>1893000</v>
      </c>
      <c r="G230" s="126"/>
      <c r="H230" s="126"/>
      <c r="I230" s="126"/>
      <c r="J230" s="126"/>
      <c r="K230" s="126"/>
      <c r="L230" s="126"/>
      <c r="M230" s="126"/>
      <c r="N230" s="126"/>
      <c r="O230" s="126">
        <f>O229</f>
        <v>40000</v>
      </c>
      <c r="P230" s="126"/>
      <c r="Q230" s="126">
        <f t="shared" ref="Q230:Q239" si="244">ROUND((F229+T229)*1/209*1.5,-1)</f>
        <v>15380</v>
      </c>
      <c r="R230" s="126"/>
      <c r="S230" s="126"/>
      <c r="T230" s="127">
        <f t="shared" ref="T230:T239" si="245">T229</f>
        <v>250000</v>
      </c>
      <c r="U230" s="122">
        <f t="shared" si="242"/>
        <v>2183000</v>
      </c>
      <c r="V230" s="333"/>
      <c r="W230" s="338">
        <f t="shared" ref="W230:W239" si="246">ROUNDUP(U230*1/12,-1)</f>
        <v>181920</v>
      </c>
      <c r="X230" s="128">
        <f t="shared" si="237"/>
        <v>98240</v>
      </c>
      <c r="Y230" s="128">
        <f t="shared" si="238"/>
        <v>66260</v>
      </c>
      <c r="Z230" s="128">
        <f t="shared" si="243"/>
        <v>4350</v>
      </c>
      <c r="AA230" s="128">
        <f t="shared" si="239"/>
        <v>19650</v>
      </c>
      <c r="AB230" s="128">
        <f t="shared" si="240"/>
        <v>17460</v>
      </c>
      <c r="AC230" s="129">
        <f t="shared" si="241"/>
        <v>387880</v>
      </c>
      <c r="AD230" s="619">
        <f t="shared" si="219"/>
        <v>1795120</v>
      </c>
    </row>
    <row r="231" spans="1:30" s="24" customFormat="1" ht="16.5" hidden="1" customHeight="1">
      <c r="A231" s="1150"/>
      <c r="B231" s="119"/>
      <c r="C231" s="120"/>
      <c r="D231" s="120"/>
      <c r="E231" s="124" t="s">
        <v>327</v>
      </c>
      <c r="F231" s="126">
        <f>F230</f>
        <v>1893000</v>
      </c>
      <c r="G231" s="126"/>
      <c r="H231" s="126"/>
      <c r="I231" s="126"/>
      <c r="J231" s="126"/>
      <c r="K231" s="126"/>
      <c r="L231" s="126"/>
      <c r="M231" s="126"/>
      <c r="N231" s="126"/>
      <c r="O231" s="126">
        <v>60000</v>
      </c>
      <c r="P231" s="126"/>
      <c r="Q231" s="126">
        <f t="shared" si="244"/>
        <v>15380</v>
      </c>
      <c r="R231" s="126"/>
      <c r="S231" s="126"/>
      <c r="T231" s="127">
        <f t="shared" si="245"/>
        <v>250000</v>
      </c>
      <c r="U231" s="122">
        <f t="shared" si="242"/>
        <v>2203000</v>
      </c>
      <c r="V231" s="333"/>
      <c r="W231" s="338">
        <f t="shared" si="246"/>
        <v>183590</v>
      </c>
      <c r="X231" s="128">
        <f t="shared" si="237"/>
        <v>99140</v>
      </c>
      <c r="Y231" s="128">
        <f t="shared" si="238"/>
        <v>66870</v>
      </c>
      <c r="Z231" s="128">
        <f t="shared" si="243"/>
        <v>4380</v>
      </c>
      <c r="AA231" s="128">
        <f t="shared" si="239"/>
        <v>19830</v>
      </c>
      <c r="AB231" s="128">
        <f t="shared" si="240"/>
        <v>17620</v>
      </c>
      <c r="AC231" s="129">
        <f t="shared" si="241"/>
        <v>391430</v>
      </c>
      <c r="AD231" s="619">
        <f t="shared" si="219"/>
        <v>1811570</v>
      </c>
    </row>
    <row r="232" spans="1:30" s="24" customFormat="1" ht="16.5" hidden="1" customHeight="1">
      <c r="A232" s="1150"/>
      <c r="B232" s="119"/>
      <c r="C232" s="120"/>
      <c r="D232" s="120"/>
      <c r="E232" s="124" t="s">
        <v>328</v>
      </c>
      <c r="F232" s="126">
        <f t="shared" ref="F232:F239" si="247">F231</f>
        <v>1893000</v>
      </c>
      <c r="G232" s="126"/>
      <c r="H232" s="126"/>
      <c r="I232" s="126"/>
      <c r="J232" s="126"/>
      <c r="K232" s="126"/>
      <c r="L232" s="126"/>
      <c r="M232" s="126"/>
      <c r="N232" s="126"/>
      <c r="O232" s="126">
        <f t="shared" ref="O232:O239" si="248">O231</f>
        <v>60000</v>
      </c>
      <c r="P232" s="126"/>
      <c r="Q232" s="126">
        <f t="shared" si="244"/>
        <v>15380</v>
      </c>
      <c r="R232" s="126"/>
      <c r="S232" s="126"/>
      <c r="T232" s="127">
        <f t="shared" si="245"/>
        <v>250000</v>
      </c>
      <c r="U232" s="122">
        <f t="shared" si="242"/>
        <v>2203000</v>
      </c>
      <c r="V232" s="333"/>
      <c r="W232" s="338">
        <f t="shared" si="246"/>
        <v>183590</v>
      </c>
      <c r="X232" s="128">
        <f t="shared" si="237"/>
        <v>99140</v>
      </c>
      <c r="Y232" s="128">
        <f t="shared" si="238"/>
        <v>66870</v>
      </c>
      <c r="Z232" s="128">
        <f t="shared" si="243"/>
        <v>4380</v>
      </c>
      <c r="AA232" s="128">
        <f t="shared" si="239"/>
        <v>19830</v>
      </c>
      <c r="AB232" s="128">
        <f t="shared" si="240"/>
        <v>17620</v>
      </c>
      <c r="AC232" s="129">
        <f t="shared" si="241"/>
        <v>391430</v>
      </c>
      <c r="AD232" s="619">
        <f t="shared" si="219"/>
        <v>1811570</v>
      </c>
    </row>
    <row r="233" spans="1:30" s="24" customFormat="1" ht="16.5" hidden="1" customHeight="1">
      <c r="A233" s="1150"/>
      <c r="B233" s="119"/>
      <c r="C233" s="120"/>
      <c r="D233" s="120"/>
      <c r="E233" s="124" t="s">
        <v>329</v>
      </c>
      <c r="F233" s="126">
        <f t="shared" si="247"/>
        <v>1893000</v>
      </c>
      <c r="G233" s="126"/>
      <c r="H233" s="126"/>
      <c r="I233" s="126"/>
      <c r="J233" s="126"/>
      <c r="K233" s="126"/>
      <c r="L233" s="126"/>
      <c r="M233" s="126"/>
      <c r="N233" s="126"/>
      <c r="O233" s="126">
        <f t="shared" si="248"/>
        <v>60000</v>
      </c>
      <c r="P233" s="126"/>
      <c r="Q233" s="126">
        <f t="shared" si="244"/>
        <v>15380</v>
      </c>
      <c r="R233" s="126"/>
      <c r="S233" s="126"/>
      <c r="T233" s="127">
        <f t="shared" si="245"/>
        <v>250000</v>
      </c>
      <c r="U233" s="122">
        <f t="shared" si="242"/>
        <v>2203000</v>
      </c>
      <c r="V233" s="333"/>
      <c r="W233" s="338">
        <f t="shared" si="246"/>
        <v>183590</v>
      </c>
      <c r="X233" s="128">
        <f t="shared" si="237"/>
        <v>99140</v>
      </c>
      <c r="Y233" s="128">
        <f t="shared" si="238"/>
        <v>66870</v>
      </c>
      <c r="Z233" s="128">
        <f t="shared" si="243"/>
        <v>4380</v>
      </c>
      <c r="AA233" s="128">
        <f t="shared" si="239"/>
        <v>19830</v>
      </c>
      <c r="AB233" s="128">
        <f t="shared" si="240"/>
        <v>17620</v>
      </c>
      <c r="AC233" s="129">
        <f t="shared" si="241"/>
        <v>391430</v>
      </c>
      <c r="AD233" s="619">
        <f t="shared" si="219"/>
        <v>1811570</v>
      </c>
    </row>
    <row r="234" spans="1:30" s="24" customFormat="1" ht="16.5" hidden="1" customHeight="1">
      <c r="A234" s="1150"/>
      <c r="B234" s="119"/>
      <c r="C234" s="120"/>
      <c r="D234" s="120"/>
      <c r="E234" s="124" t="s">
        <v>330</v>
      </c>
      <c r="F234" s="126">
        <f t="shared" si="247"/>
        <v>1893000</v>
      </c>
      <c r="G234" s="126"/>
      <c r="H234" s="125"/>
      <c r="I234" s="127"/>
      <c r="J234" s="126"/>
      <c r="K234" s="126"/>
      <c r="L234" s="126"/>
      <c r="M234" s="126"/>
      <c r="N234" s="126"/>
      <c r="O234" s="126">
        <f t="shared" si="248"/>
        <v>60000</v>
      </c>
      <c r="P234" s="126"/>
      <c r="Q234" s="126">
        <f t="shared" si="244"/>
        <v>15380</v>
      </c>
      <c r="R234" s="126"/>
      <c r="S234" s="126"/>
      <c r="T234" s="127">
        <f t="shared" si="245"/>
        <v>250000</v>
      </c>
      <c r="U234" s="122">
        <f t="shared" si="242"/>
        <v>2203000</v>
      </c>
      <c r="V234" s="333"/>
      <c r="W234" s="338">
        <f t="shared" si="246"/>
        <v>183590</v>
      </c>
      <c r="X234" s="128">
        <f t="shared" si="237"/>
        <v>99140</v>
      </c>
      <c r="Y234" s="128">
        <f t="shared" si="238"/>
        <v>66870</v>
      </c>
      <c r="Z234" s="128">
        <f t="shared" si="243"/>
        <v>4380</v>
      </c>
      <c r="AA234" s="128">
        <f t="shared" si="239"/>
        <v>19830</v>
      </c>
      <c r="AB234" s="128">
        <f t="shared" si="240"/>
        <v>17620</v>
      </c>
      <c r="AC234" s="129">
        <f t="shared" si="241"/>
        <v>391430</v>
      </c>
      <c r="AD234" s="619">
        <f t="shared" si="219"/>
        <v>1811570</v>
      </c>
    </row>
    <row r="235" spans="1:30" s="24" customFormat="1" ht="16.5" hidden="1" customHeight="1">
      <c r="A235" s="1150"/>
      <c r="B235" s="119"/>
      <c r="C235" s="120"/>
      <c r="D235" s="120"/>
      <c r="E235" s="124" t="s">
        <v>331</v>
      </c>
      <c r="F235" s="126">
        <f t="shared" si="247"/>
        <v>1893000</v>
      </c>
      <c r="G235" s="126"/>
      <c r="H235" s="126"/>
      <c r="I235" s="126"/>
      <c r="J235" s="126"/>
      <c r="K235" s="126"/>
      <c r="L235" s="126"/>
      <c r="M235" s="126"/>
      <c r="N235" s="126"/>
      <c r="O235" s="126">
        <f t="shared" si="248"/>
        <v>60000</v>
      </c>
      <c r="P235" s="126"/>
      <c r="Q235" s="126">
        <f t="shared" si="244"/>
        <v>15380</v>
      </c>
      <c r="R235" s="126"/>
      <c r="S235" s="126"/>
      <c r="T235" s="127">
        <f t="shared" si="245"/>
        <v>250000</v>
      </c>
      <c r="U235" s="122">
        <f t="shared" si="242"/>
        <v>2203000</v>
      </c>
      <c r="V235" s="333"/>
      <c r="W235" s="338">
        <f t="shared" si="246"/>
        <v>183590</v>
      </c>
      <c r="X235" s="128">
        <f t="shared" si="237"/>
        <v>99140</v>
      </c>
      <c r="Y235" s="128">
        <f t="shared" si="238"/>
        <v>66870</v>
      </c>
      <c r="Z235" s="128">
        <f t="shared" si="243"/>
        <v>4380</v>
      </c>
      <c r="AA235" s="128">
        <f t="shared" si="239"/>
        <v>19830</v>
      </c>
      <c r="AB235" s="128">
        <f t="shared" si="240"/>
        <v>17620</v>
      </c>
      <c r="AC235" s="129">
        <f t="shared" si="241"/>
        <v>391430</v>
      </c>
      <c r="AD235" s="619">
        <f t="shared" si="219"/>
        <v>1811570</v>
      </c>
    </row>
    <row r="236" spans="1:30" s="24" customFormat="1" ht="16.5" hidden="1" customHeight="1">
      <c r="A236" s="1150"/>
      <c r="B236" s="119"/>
      <c r="C236" s="120"/>
      <c r="D236" s="120"/>
      <c r="E236" s="124" t="s">
        <v>62</v>
      </c>
      <c r="F236" s="126">
        <f t="shared" si="247"/>
        <v>1893000</v>
      </c>
      <c r="G236" s="126"/>
      <c r="H236" s="126"/>
      <c r="I236" s="126"/>
      <c r="J236" s="126"/>
      <c r="K236" s="126"/>
      <c r="L236" s="126"/>
      <c r="M236" s="126">
        <f>F236*60%</f>
        <v>1135800</v>
      </c>
      <c r="N236" s="126"/>
      <c r="O236" s="126">
        <f t="shared" si="248"/>
        <v>60000</v>
      </c>
      <c r="P236" s="126"/>
      <c r="Q236" s="126">
        <f t="shared" si="244"/>
        <v>15380</v>
      </c>
      <c r="R236" s="126"/>
      <c r="S236" s="126"/>
      <c r="T236" s="127">
        <f t="shared" si="245"/>
        <v>250000</v>
      </c>
      <c r="U236" s="122">
        <f t="shared" si="242"/>
        <v>3338800</v>
      </c>
      <c r="V236" s="333"/>
      <c r="W236" s="338">
        <f t="shared" si="246"/>
        <v>278240</v>
      </c>
      <c r="X236" s="128">
        <f t="shared" si="237"/>
        <v>150250</v>
      </c>
      <c r="Y236" s="128">
        <f t="shared" si="238"/>
        <v>101340</v>
      </c>
      <c r="Z236" s="128">
        <f t="shared" si="243"/>
        <v>6640</v>
      </c>
      <c r="AA236" s="128">
        <f t="shared" si="239"/>
        <v>30050</v>
      </c>
      <c r="AB236" s="128">
        <f t="shared" si="240"/>
        <v>26710</v>
      </c>
      <c r="AC236" s="129">
        <f t="shared" si="241"/>
        <v>593230</v>
      </c>
      <c r="AD236" s="619">
        <f t="shared" si="219"/>
        <v>2745570</v>
      </c>
    </row>
    <row r="237" spans="1:30" s="24" customFormat="1" ht="16.5" hidden="1" customHeight="1">
      <c r="A237" s="1150"/>
      <c r="B237" s="119"/>
      <c r="C237" s="120"/>
      <c r="D237" s="120"/>
      <c r="E237" s="124" t="s">
        <v>63</v>
      </c>
      <c r="F237" s="126">
        <f t="shared" si="247"/>
        <v>1893000</v>
      </c>
      <c r="G237" s="126"/>
      <c r="H237" s="126"/>
      <c r="I237" s="126"/>
      <c r="J237" s="126"/>
      <c r="K237" s="126"/>
      <c r="L237" s="126"/>
      <c r="M237" s="126"/>
      <c r="N237" s="126"/>
      <c r="O237" s="126">
        <f t="shared" si="248"/>
        <v>60000</v>
      </c>
      <c r="P237" s="126"/>
      <c r="Q237" s="126">
        <f t="shared" si="244"/>
        <v>15380</v>
      </c>
      <c r="R237" s="126"/>
      <c r="S237" s="126"/>
      <c r="T237" s="127">
        <f t="shared" si="245"/>
        <v>250000</v>
      </c>
      <c r="U237" s="122">
        <f t="shared" si="242"/>
        <v>2203000</v>
      </c>
      <c r="V237" s="333"/>
      <c r="W237" s="338">
        <f t="shared" si="246"/>
        <v>183590</v>
      </c>
      <c r="X237" s="128">
        <f t="shared" si="237"/>
        <v>99140</v>
      </c>
      <c r="Y237" s="128">
        <f t="shared" si="238"/>
        <v>66870</v>
      </c>
      <c r="Z237" s="128">
        <f t="shared" si="243"/>
        <v>4380</v>
      </c>
      <c r="AA237" s="128">
        <f t="shared" si="239"/>
        <v>19830</v>
      </c>
      <c r="AB237" s="128">
        <f t="shared" si="240"/>
        <v>17620</v>
      </c>
      <c r="AC237" s="129">
        <f t="shared" si="241"/>
        <v>391430</v>
      </c>
      <c r="AD237" s="619">
        <f t="shared" si="219"/>
        <v>1811570</v>
      </c>
    </row>
    <row r="238" spans="1:30" s="24" customFormat="1" ht="16.5" hidden="1" customHeight="1">
      <c r="A238" s="1150"/>
      <c r="B238" s="119"/>
      <c r="C238" s="120"/>
      <c r="D238" s="120"/>
      <c r="E238" s="124" t="s">
        <v>64</v>
      </c>
      <c r="F238" s="126">
        <f t="shared" si="247"/>
        <v>1893000</v>
      </c>
      <c r="G238" s="126"/>
      <c r="H238" s="126"/>
      <c r="I238" s="126"/>
      <c r="J238" s="126"/>
      <c r="K238" s="126"/>
      <c r="L238" s="126"/>
      <c r="M238" s="126"/>
      <c r="N238" s="126"/>
      <c r="O238" s="126">
        <f t="shared" si="248"/>
        <v>60000</v>
      </c>
      <c r="P238" s="126"/>
      <c r="Q238" s="126">
        <f t="shared" si="244"/>
        <v>15380</v>
      </c>
      <c r="R238" s="126"/>
      <c r="S238" s="126"/>
      <c r="T238" s="127">
        <f t="shared" si="245"/>
        <v>250000</v>
      </c>
      <c r="U238" s="122">
        <f t="shared" si="242"/>
        <v>2203000</v>
      </c>
      <c r="V238" s="333"/>
      <c r="W238" s="338">
        <f t="shared" si="246"/>
        <v>183590</v>
      </c>
      <c r="X238" s="128">
        <f t="shared" si="237"/>
        <v>99140</v>
      </c>
      <c r="Y238" s="128">
        <f t="shared" si="238"/>
        <v>66870</v>
      </c>
      <c r="Z238" s="128">
        <f t="shared" si="243"/>
        <v>4380</v>
      </c>
      <c r="AA238" s="128">
        <f t="shared" si="239"/>
        <v>19830</v>
      </c>
      <c r="AB238" s="128">
        <f t="shared" si="240"/>
        <v>17620</v>
      </c>
      <c r="AC238" s="129">
        <f t="shared" si="241"/>
        <v>391430</v>
      </c>
      <c r="AD238" s="619">
        <f t="shared" si="219"/>
        <v>1811570</v>
      </c>
    </row>
    <row r="239" spans="1:30" s="24" customFormat="1" ht="16.5" hidden="1" customHeight="1">
      <c r="A239" s="1150"/>
      <c r="B239" s="119"/>
      <c r="C239" s="120"/>
      <c r="D239" s="120"/>
      <c r="E239" s="124" t="s">
        <v>332</v>
      </c>
      <c r="F239" s="126">
        <f t="shared" si="247"/>
        <v>1893000</v>
      </c>
      <c r="G239" s="126"/>
      <c r="H239" s="126"/>
      <c r="I239" s="126"/>
      <c r="J239" s="126"/>
      <c r="K239" s="126"/>
      <c r="L239" s="126"/>
      <c r="M239" s="126"/>
      <c r="N239" s="126"/>
      <c r="O239" s="126">
        <f t="shared" si="248"/>
        <v>60000</v>
      </c>
      <c r="P239" s="126"/>
      <c r="Q239" s="126">
        <f t="shared" si="244"/>
        <v>15380</v>
      </c>
      <c r="R239" s="126"/>
      <c r="S239" s="126"/>
      <c r="T239" s="127">
        <f t="shared" si="245"/>
        <v>250000</v>
      </c>
      <c r="U239" s="122">
        <f t="shared" si="242"/>
        <v>2203000</v>
      </c>
      <c r="V239" s="333"/>
      <c r="W239" s="338">
        <f t="shared" si="246"/>
        <v>183590</v>
      </c>
      <c r="X239" s="128">
        <f t="shared" si="237"/>
        <v>99140</v>
      </c>
      <c r="Y239" s="128">
        <f t="shared" si="238"/>
        <v>66870</v>
      </c>
      <c r="Z239" s="128">
        <f t="shared" si="243"/>
        <v>4380</v>
      </c>
      <c r="AA239" s="128">
        <f t="shared" si="239"/>
        <v>19830</v>
      </c>
      <c r="AB239" s="128">
        <f t="shared" si="240"/>
        <v>17620</v>
      </c>
      <c r="AC239" s="129">
        <f t="shared" si="241"/>
        <v>391430</v>
      </c>
      <c r="AD239" s="619">
        <f t="shared" si="219"/>
        <v>1811570</v>
      </c>
    </row>
    <row r="240" spans="1:30" s="24" customFormat="1" ht="17.25" hidden="1" customHeight="1">
      <c r="A240" s="1150">
        <v>19</v>
      </c>
      <c r="B240" s="119" t="s">
        <v>95</v>
      </c>
      <c r="C240" s="120" t="s">
        <v>510</v>
      </c>
      <c r="D240" s="120">
        <v>1</v>
      </c>
      <c r="E240" s="121" t="s">
        <v>94</v>
      </c>
      <c r="F240" s="122">
        <f t="shared" ref="F240:L240" si="249">SUM(F241:F252)</f>
        <v>25701000</v>
      </c>
      <c r="G240" s="122">
        <f t="shared" si="249"/>
        <v>0</v>
      </c>
      <c r="H240" s="122">
        <f t="shared" si="249"/>
        <v>0</v>
      </c>
      <c r="I240" s="122">
        <f t="shared" si="249"/>
        <v>0</v>
      </c>
      <c r="J240" s="122">
        <f t="shared" si="249"/>
        <v>0</v>
      </c>
      <c r="K240" s="122">
        <f t="shared" si="249"/>
        <v>0</v>
      </c>
      <c r="L240" s="122">
        <f t="shared" si="249"/>
        <v>0</v>
      </c>
      <c r="M240" s="122">
        <f>SUM(M241:M252)</f>
        <v>2562600</v>
      </c>
      <c r="N240" s="122">
        <f>SUM(N241:N252)</f>
        <v>0</v>
      </c>
      <c r="O240" s="122">
        <f>SUM(O241:O252)</f>
        <v>960000</v>
      </c>
      <c r="P240" s="122"/>
      <c r="Q240" s="122"/>
      <c r="R240" s="122">
        <f>SUM(R241:R252)</f>
        <v>8239200</v>
      </c>
      <c r="S240" s="122">
        <f>SUM(S241:S252)</f>
        <v>0</v>
      </c>
      <c r="T240" s="122">
        <f>SUM(T241:T252)</f>
        <v>3000000</v>
      </c>
      <c r="U240" s="122">
        <f>SUM(U241:U252)</f>
        <v>40462800</v>
      </c>
      <c r="V240" s="333"/>
      <c r="W240" s="350">
        <f t="shared" ref="W240:AB240" si="250">SUM(W241:W252)</f>
        <v>3392750</v>
      </c>
      <c r="X240" s="122">
        <f t="shared" si="250"/>
        <v>1820850</v>
      </c>
      <c r="Y240" s="122">
        <f t="shared" si="250"/>
        <v>1228090</v>
      </c>
      <c r="Z240" s="122">
        <f t="shared" si="250"/>
        <v>80480</v>
      </c>
      <c r="AA240" s="122">
        <f t="shared" si="250"/>
        <v>364180</v>
      </c>
      <c r="AB240" s="122">
        <f t="shared" si="250"/>
        <v>323720</v>
      </c>
      <c r="AC240" s="123">
        <f>SUM(AC241:AC252)</f>
        <v>7210070</v>
      </c>
      <c r="AD240" s="618">
        <f t="shared" si="219"/>
        <v>33252730</v>
      </c>
    </row>
    <row r="241" spans="1:30" s="24" customFormat="1" ht="17.25" hidden="1" customHeight="1">
      <c r="A241" s="1150"/>
      <c r="B241" s="119" t="s">
        <v>546</v>
      </c>
      <c r="C241" s="120">
        <v>10</v>
      </c>
      <c r="D241" s="120"/>
      <c r="E241" s="124" t="s">
        <v>324</v>
      </c>
      <c r="F241" s="125">
        <v>2098000</v>
      </c>
      <c r="G241" s="126"/>
      <c r="H241" s="125"/>
      <c r="I241" s="125"/>
      <c r="J241" s="126"/>
      <c r="K241" s="126"/>
      <c r="L241" s="126"/>
      <c r="M241" s="126"/>
      <c r="N241" s="126"/>
      <c r="O241" s="126">
        <v>80000</v>
      </c>
      <c r="P241" s="126"/>
      <c r="Q241" s="126"/>
      <c r="R241" s="126"/>
      <c r="S241" s="126"/>
      <c r="T241" s="127">
        <v>250000</v>
      </c>
      <c r="U241" s="122">
        <f>SUM(F241,M241,O241,R241,T241)</f>
        <v>2428000</v>
      </c>
      <c r="V241" s="333"/>
      <c r="W241" s="338">
        <f>ROUNDUP(U241*1/12,-1)</f>
        <v>202340</v>
      </c>
      <c r="X241" s="128">
        <f t="shared" ref="X241:X252" si="251">ROUND(U241*4.5%,-1)</f>
        <v>109260</v>
      </c>
      <c r="Y241" s="128">
        <f t="shared" ref="Y241:Y252" si="252">ROUNDUP((U241-L241)*3.035%,-1)</f>
        <v>73690</v>
      </c>
      <c r="Z241" s="128">
        <f>ROUNDUP(Y241*6.55%,-1)</f>
        <v>4830</v>
      </c>
      <c r="AA241" s="128">
        <f t="shared" ref="AA241:AA252" si="253">ROUND(U241*0.9%,-1)</f>
        <v>21850</v>
      </c>
      <c r="AB241" s="128">
        <f t="shared" ref="AB241:AB252" si="254">ROUND(U241*0.8%,-1)</f>
        <v>19420</v>
      </c>
      <c r="AC241" s="129">
        <f t="shared" ref="AC241:AC252" si="255">SUM(W241:AB241)</f>
        <v>431390</v>
      </c>
      <c r="AD241" s="619">
        <f t="shared" si="219"/>
        <v>1996610</v>
      </c>
    </row>
    <row r="242" spans="1:30" s="24" customFormat="1" ht="17.25" hidden="1" customHeight="1">
      <c r="A242" s="1150"/>
      <c r="B242" s="119"/>
      <c r="C242" s="120"/>
      <c r="D242" s="120"/>
      <c r="E242" s="124" t="s">
        <v>325</v>
      </c>
      <c r="F242" s="126">
        <f>F241</f>
        <v>2098000</v>
      </c>
      <c r="G242" s="126"/>
      <c r="H242" s="126"/>
      <c r="I242" s="126"/>
      <c r="J242" s="126"/>
      <c r="K242" s="126"/>
      <c r="L242" s="126"/>
      <c r="M242" s="126">
        <f>F242*60%</f>
        <v>1258800</v>
      </c>
      <c r="N242" s="126"/>
      <c r="O242" s="126">
        <f>O241</f>
        <v>80000</v>
      </c>
      <c r="P242" s="126"/>
      <c r="Q242" s="126">
        <f>ROUND((F241+T241)*1/209*1.5,-1)</f>
        <v>16850</v>
      </c>
      <c r="R242" s="126">
        <f>Q242*40</f>
        <v>674000</v>
      </c>
      <c r="S242" s="126"/>
      <c r="T242" s="127">
        <f t="shared" ref="T242:T252" si="256">T241</f>
        <v>250000</v>
      </c>
      <c r="U242" s="122">
        <f t="shared" ref="U242:U252" si="257">SUM(F242,M242,O242,R242,T242)</f>
        <v>4360800</v>
      </c>
      <c r="V242" s="333"/>
      <c r="W242" s="338">
        <f>ROUNDUP((T242+U242)*1/12,-1)</f>
        <v>384240</v>
      </c>
      <c r="X242" s="128">
        <f t="shared" si="251"/>
        <v>196240</v>
      </c>
      <c r="Y242" s="128">
        <f t="shared" si="252"/>
        <v>132360</v>
      </c>
      <c r="Z242" s="128">
        <f t="shared" ref="Z242:Z252" si="258">ROUNDUP(Y242*6.55%,-1)</f>
        <v>8670</v>
      </c>
      <c r="AA242" s="128">
        <f t="shared" si="253"/>
        <v>39250</v>
      </c>
      <c r="AB242" s="128">
        <f t="shared" si="254"/>
        <v>34890</v>
      </c>
      <c r="AC242" s="129">
        <f t="shared" si="255"/>
        <v>795650</v>
      </c>
      <c r="AD242" s="619">
        <f t="shared" si="219"/>
        <v>3565150</v>
      </c>
    </row>
    <row r="243" spans="1:30" s="24" customFormat="1" ht="17.25" hidden="1" customHeight="1">
      <c r="A243" s="1150"/>
      <c r="B243" s="119"/>
      <c r="C243" s="120"/>
      <c r="D243" s="120"/>
      <c r="E243" s="124" t="s">
        <v>326</v>
      </c>
      <c r="F243" s="126">
        <f>F242</f>
        <v>2098000</v>
      </c>
      <c r="G243" s="126"/>
      <c r="H243" s="126"/>
      <c r="I243" s="126"/>
      <c r="J243" s="126"/>
      <c r="K243" s="126"/>
      <c r="L243" s="126"/>
      <c r="M243" s="126"/>
      <c r="N243" s="126"/>
      <c r="O243" s="126">
        <f>O242</f>
        <v>80000</v>
      </c>
      <c r="P243" s="126"/>
      <c r="Q243" s="126">
        <f t="shared" ref="Q243:Q252" si="259">ROUND((F242+T242)*1/209*1.5,-1)</f>
        <v>16850</v>
      </c>
      <c r="R243" s="126">
        <f>Q243*40</f>
        <v>674000</v>
      </c>
      <c r="S243" s="126"/>
      <c r="T243" s="127">
        <f t="shared" si="256"/>
        <v>250000</v>
      </c>
      <c r="U243" s="122">
        <f t="shared" si="257"/>
        <v>3102000</v>
      </c>
      <c r="V243" s="333"/>
      <c r="W243" s="338">
        <f t="shared" ref="W243:W252" si="260">ROUNDUP(U243*1/12,-1)</f>
        <v>258500</v>
      </c>
      <c r="X243" s="128">
        <f t="shared" si="251"/>
        <v>139590</v>
      </c>
      <c r="Y243" s="128">
        <f t="shared" si="252"/>
        <v>94150</v>
      </c>
      <c r="Z243" s="128">
        <f t="shared" si="258"/>
        <v>6170</v>
      </c>
      <c r="AA243" s="128">
        <f t="shared" si="253"/>
        <v>27920</v>
      </c>
      <c r="AB243" s="128">
        <f t="shared" si="254"/>
        <v>24820</v>
      </c>
      <c r="AC243" s="129">
        <f t="shared" si="255"/>
        <v>551150</v>
      </c>
      <c r="AD243" s="619">
        <f t="shared" si="219"/>
        <v>2550850</v>
      </c>
    </row>
    <row r="244" spans="1:30" s="24" customFormat="1" ht="17.25" hidden="1" customHeight="1">
      <c r="A244" s="1150"/>
      <c r="B244" s="119"/>
      <c r="C244" s="120"/>
      <c r="D244" s="120"/>
      <c r="E244" s="124" t="s">
        <v>327</v>
      </c>
      <c r="F244" s="126">
        <f>F243</f>
        <v>2098000</v>
      </c>
      <c r="G244" s="126"/>
      <c r="H244" s="126"/>
      <c r="I244" s="126"/>
      <c r="J244" s="126"/>
      <c r="K244" s="126"/>
      <c r="L244" s="126"/>
      <c r="M244" s="126"/>
      <c r="N244" s="126"/>
      <c r="O244" s="126">
        <f>O243</f>
        <v>80000</v>
      </c>
      <c r="P244" s="126"/>
      <c r="Q244" s="126">
        <f t="shared" si="259"/>
        <v>16850</v>
      </c>
      <c r="R244" s="126">
        <f t="shared" ref="R244:R251" si="261">Q244*40</f>
        <v>674000</v>
      </c>
      <c r="S244" s="126"/>
      <c r="T244" s="127">
        <f t="shared" si="256"/>
        <v>250000</v>
      </c>
      <c r="U244" s="122">
        <f t="shared" si="257"/>
        <v>3102000</v>
      </c>
      <c r="V244" s="333"/>
      <c r="W244" s="338">
        <f t="shared" si="260"/>
        <v>258500</v>
      </c>
      <c r="X244" s="128">
        <f t="shared" si="251"/>
        <v>139590</v>
      </c>
      <c r="Y244" s="128">
        <f t="shared" si="252"/>
        <v>94150</v>
      </c>
      <c r="Z244" s="128">
        <f t="shared" si="258"/>
        <v>6170</v>
      </c>
      <c r="AA244" s="128">
        <f t="shared" si="253"/>
        <v>27920</v>
      </c>
      <c r="AB244" s="128">
        <f t="shared" si="254"/>
        <v>24820</v>
      </c>
      <c r="AC244" s="129">
        <f t="shared" si="255"/>
        <v>551150</v>
      </c>
      <c r="AD244" s="619">
        <f t="shared" si="219"/>
        <v>2550850</v>
      </c>
    </row>
    <row r="245" spans="1:30" s="24" customFormat="1" ht="17.25" hidden="1" customHeight="1">
      <c r="A245" s="1150"/>
      <c r="B245" s="119"/>
      <c r="C245" s="120"/>
      <c r="D245" s="120"/>
      <c r="E245" s="124" t="s">
        <v>328</v>
      </c>
      <c r="F245" s="126">
        <f>F244</f>
        <v>2098000</v>
      </c>
      <c r="G245" s="126"/>
      <c r="H245" s="126"/>
      <c r="I245" s="126"/>
      <c r="J245" s="126"/>
      <c r="K245" s="126"/>
      <c r="L245" s="126"/>
      <c r="M245" s="126"/>
      <c r="N245" s="126"/>
      <c r="O245" s="126">
        <f t="shared" ref="O245:O252" si="262">O244</f>
        <v>80000</v>
      </c>
      <c r="P245" s="126"/>
      <c r="Q245" s="126">
        <f t="shared" si="259"/>
        <v>16850</v>
      </c>
      <c r="R245" s="126">
        <f t="shared" si="261"/>
        <v>674000</v>
      </c>
      <c r="S245" s="126"/>
      <c r="T245" s="127">
        <f t="shared" si="256"/>
        <v>250000</v>
      </c>
      <c r="U245" s="122">
        <f t="shared" si="257"/>
        <v>3102000</v>
      </c>
      <c r="V245" s="333"/>
      <c r="W245" s="338">
        <f t="shared" si="260"/>
        <v>258500</v>
      </c>
      <c r="X245" s="128">
        <f t="shared" si="251"/>
        <v>139590</v>
      </c>
      <c r="Y245" s="128">
        <f t="shared" si="252"/>
        <v>94150</v>
      </c>
      <c r="Z245" s="128">
        <f t="shared" si="258"/>
        <v>6170</v>
      </c>
      <c r="AA245" s="128">
        <f t="shared" si="253"/>
        <v>27920</v>
      </c>
      <c r="AB245" s="128">
        <f t="shared" si="254"/>
        <v>24820</v>
      </c>
      <c r="AC245" s="129">
        <f t="shared" si="255"/>
        <v>551150</v>
      </c>
      <c r="AD245" s="619">
        <f t="shared" si="219"/>
        <v>2550850</v>
      </c>
    </row>
    <row r="246" spans="1:30" s="24" customFormat="1" ht="17.25" hidden="1" customHeight="1">
      <c r="A246" s="1150"/>
      <c r="B246" s="119"/>
      <c r="C246" s="120">
        <v>11</v>
      </c>
      <c r="D246" s="120"/>
      <c r="E246" s="124" t="s">
        <v>329</v>
      </c>
      <c r="F246" s="591">
        <v>2173000</v>
      </c>
      <c r="G246" s="126"/>
      <c r="H246" s="126"/>
      <c r="I246" s="126"/>
      <c r="J246" s="126"/>
      <c r="K246" s="126"/>
      <c r="L246" s="126"/>
      <c r="M246" s="126"/>
      <c r="N246" s="126"/>
      <c r="O246" s="126">
        <f t="shared" si="262"/>
        <v>80000</v>
      </c>
      <c r="P246" s="126"/>
      <c r="Q246" s="126">
        <f t="shared" si="259"/>
        <v>16850</v>
      </c>
      <c r="R246" s="126">
        <f t="shared" si="261"/>
        <v>674000</v>
      </c>
      <c r="S246" s="126"/>
      <c r="T246" s="127">
        <f t="shared" si="256"/>
        <v>250000</v>
      </c>
      <c r="U246" s="122">
        <f t="shared" si="257"/>
        <v>3177000</v>
      </c>
      <c r="V246" s="333"/>
      <c r="W246" s="338">
        <f t="shared" si="260"/>
        <v>264750</v>
      </c>
      <c r="X246" s="128">
        <f t="shared" si="251"/>
        <v>142970</v>
      </c>
      <c r="Y246" s="128">
        <f t="shared" si="252"/>
        <v>96430</v>
      </c>
      <c r="Z246" s="128">
        <f t="shared" si="258"/>
        <v>6320</v>
      </c>
      <c r="AA246" s="128">
        <f t="shared" si="253"/>
        <v>28590</v>
      </c>
      <c r="AB246" s="128">
        <f t="shared" si="254"/>
        <v>25420</v>
      </c>
      <c r="AC246" s="129">
        <f t="shared" si="255"/>
        <v>564480</v>
      </c>
      <c r="AD246" s="619">
        <f t="shared" si="219"/>
        <v>2612520</v>
      </c>
    </row>
    <row r="247" spans="1:30" s="24" customFormat="1" ht="17.25" hidden="1" customHeight="1">
      <c r="A247" s="1150"/>
      <c r="B247" s="119"/>
      <c r="C247" s="120"/>
      <c r="D247" s="120"/>
      <c r="E247" s="124" t="s">
        <v>330</v>
      </c>
      <c r="F247" s="126">
        <f t="shared" ref="F247:F252" si="263">F246</f>
        <v>2173000</v>
      </c>
      <c r="G247" s="126"/>
      <c r="H247" s="125"/>
      <c r="I247" s="125"/>
      <c r="J247" s="126"/>
      <c r="K247" s="126"/>
      <c r="L247" s="126"/>
      <c r="M247" s="126"/>
      <c r="N247" s="126"/>
      <c r="O247" s="126">
        <f t="shared" si="262"/>
        <v>80000</v>
      </c>
      <c r="P247" s="126"/>
      <c r="Q247" s="126">
        <f t="shared" si="259"/>
        <v>17390</v>
      </c>
      <c r="R247" s="126">
        <f t="shared" si="261"/>
        <v>695600</v>
      </c>
      <c r="S247" s="126"/>
      <c r="T247" s="127">
        <f t="shared" si="256"/>
        <v>250000</v>
      </c>
      <c r="U247" s="122">
        <f t="shared" si="257"/>
        <v>3198600</v>
      </c>
      <c r="V247" s="333"/>
      <c r="W247" s="338">
        <f t="shared" si="260"/>
        <v>266550</v>
      </c>
      <c r="X247" s="128">
        <f t="shared" si="251"/>
        <v>143940</v>
      </c>
      <c r="Y247" s="128">
        <f t="shared" si="252"/>
        <v>97080</v>
      </c>
      <c r="Z247" s="128">
        <f t="shared" si="258"/>
        <v>6360</v>
      </c>
      <c r="AA247" s="128">
        <f t="shared" si="253"/>
        <v>28790</v>
      </c>
      <c r="AB247" s="128">
        <f t="shared" si="254"/>
        <v>25590</v>
      </c>
      <c r="AC247" s="129">
        <f t="shared" si="255"/>
        <v>568310</v>
      </c>
      <c r="AD247" s="619">
        <f t="shared" si="219"/>
        <v>2630290</v>
      </c>
    </row>
    <row r="248" spans="1:30" s="24" customFormat="1" ht="17.25" hidden="1" customHeight="1">
      <c r="A248" s="1150"/>
      <c r="B248" s="119"/>
      <c r="C248" s="120"/>
      <c r="D248" s="120"/>
      <c r="E248" s="124" t="s">
        <v>331</v>
      </c>
      <c r="F248" s="126">
        <f t="shared" si="263"/>
        <v>2173000</v>
      </c>
      <c r="G248" s="126"/>
      <c r="H248" s="126"/>
      <c r="I248" s="126"/>
      <c r="J248" s="126"/>
      <c r="K248" s="126"/>
      <c r="L248" s="126"/>
      <c r="M248" s="126"/>
      <c r="N248" s="126"/>
      <c r="O248" s="126">
        <f t="shared" si="262"/>
        <v>80000</v>
      </c>
      <c r="P248" s="126"/>
      <c r="Q248" s="126">
        <f t="shared" si="259"/>
        <v>17390</v>
      </c>
      <c r="R248" s="126">
        <f t="shared" si="261"/>
        <v>695600</v>
      </c>
      <c r="S248" s="126"/>
      <c r="T248" s="127">
        <f t="shared" si="256"/>
        <v>250000</v>
      </c>
      <c r="U248" s="122">
        <f t="shared" si="257"/>
        <v>3198600</v>
      </c>
      <c r="V248" s="333"/>
      <c r="W248" s="338">
        <f t="shared" si="260"/>
        <v>266550</v>
      </c>
      <c r="X248" s="128">
        <f t="shared" si="251"/>
        <v>143940</v>
      </c>
      <c r="Y248" s="128">
        <f t="shared" si="252"/>
        <v>97080</v>
      </c>
      <c r="Z248" s="128">
        <f t="shared" si="258"/>
        <v>6360</v>
      </c>
      <c r="AA248" s="128">
        <f t="shared" si="253"/>
        <v>28790</v>
      </c>
      <c r="AB248" s="128">
        <f t="shared" si="254"/>
        <v>25590</v>
      </c>
      <c r="AC248" s="129">
        <f t="shared" si="255"/>
        <v>568310</v>
      </c>
      <c r="AD248" s="619">
        <f t="shared" si="219"/>
        <v>2630290</v>
      </c>
    </row>
    <row r="249" spans="1:30" s="24" customFormat="1" ht="17.25" hidden="1" customHeight="1">
      <c r="A249" s="1150"/>
      <c r="B249" s="119"/>
      <c r="C249" s="120"/>
      <c r="D249" s="120"/>
      <c r="E249" s="124" t="s">
        <v>62</v>
      </c>
      <c r="F249" s="126">
        <f t="shared" si="263"/>
        <v>2173000</v>
      </c>
      <c r="G249" s="126"/>
      <c r="H249" s="126"/>
      <c r="I249" s="126"/>
      <c r="J249" s="126"/>
      <c r="K249" s="126"/>
      <c r="L249" s="126"/>
      <c r="M249" s="126">
        <f>F249*60%</f>
        <v>1303800</v>
      </c>
      <c r="N249" s="126"/>
      <c r="O249" s="126">
        <f t="shared" si="262"/>
        <v>80000</v>
      </c>
      <c r="P249" s="126"/>
      <c r="Q249" s="126">
        <f t="shared" si="259"/>
        <v>17390</v>
      </c>
      <c r="R249" s="126">
        <f t="shared" si="261"/>
        <v>695600</v>
      </c>
      <c r="S249" s="126"/>
      <c r="T249" s="127">
        <f t="shared" si="256"/>
        <v>250000</v>
      </c>
      <c r="U249" s="122">
        <f t="shared" si="257"/>
        <v>4502400</v>
      </c>
      <c r="V249" s="333"/>
      <c r="W249" s="338">
        <f t="shared" si="260"/>
        <v>375200</v>
      </c>
      <c r="X249" s="128">
        <f t="shared" si="251"/>
        <v>202610</v>
      </c>
      <c r="Y249" s="128">
        <f t="shared" si="252"/>
        <v>136650</v>
      </c>
      <c r="Z249" s="128">
        <f t="shared" si="258"/>
        <v>8960</v>
      </c>
      <c r="AA249" s="128">
        <f t="shared" si="253"/>
        <v>40520</v>
      </c>
      <c r="AB249" s="128">
        <f t="shared" si="254"/>
        <v>36020</v>
      </c>
      <c r="AC249" s="129">
        <f t="shared" si="255"/>
        <v>799960</v>
      </c>
      <c r="AD249" s="619">
        <f t="shared" si="219"/>
        <v>3702440</v>
      </c>
    </row>
    <row r="250" spans="1:30" s="24" customFormat="1" ht="17.25" hidden="1" customHeight="1">
      <c r="A250" s="1150"/>
      <c r="B250" s="119"/>
      <c r="C250" s="120"/>
      <c r="D250" s="120"/>
      <c r="E250" s="124" t="s">
        <v>63</v>
      </c>
      <c r="F250" s="126">
        <f t="shared" si="263"/>
        <v>2173000</v>
      </c>
      <c r="G250" s="126"/>
      <c r="H250" s="126"/>
      <c r="I250" s="126"/>
      <c r="J250" s="126"/>
      <c r="K250" s="126"/>
      <c r="L250" s="126"/>
      <c r="M250" s="126"/>
      <c r="N250" s="126"/>
      <c r="O250" s="126">
        <f t="shared" si="262"/>
        <v>80000</v>
      </c>
      <c r="P250" s="126"/>
      <c r="Q250" s="126">
        <f t="shared" si="259"/>
        <v>17390</v>
      </c>
      <c r="R250" s="126">
        <f t="shared" si="261"/>
        <v>695600</v>
      </c>
      <c r="S250" s="126"/>
      <c r="T250" s="127">
        <f t="shared" si="256"/>
        <v>250000</v>
      </c>
      <c r="U250" s="122">
        <f t="shared" si="257"/>
        <v>3198600</v>
      </c>
      <c r="V250" s="333"/>
      <c r="W250" s="338">
        <f t="shared" si="260"/>
        <v>266550</v>
      </c>
      <c r="X250" s="128">
        <f t="shared" si="251"/>
        <v>143940</v>
      </c>
      <c r="Y250" s="128">
        <f t="shared" si="252"/>
        <v>97080</v>
      </c>
      <c r="Z250" s="128">
        <f t="shared" si="258"/>
        <v>6360</v>
      </c>
      <c r="AA250" s="128">
        <f t="shared" si="253"/>
        <v>28790</v>
      </c>
      <c r="AB250" s="128">
        <f t="shared" si="254"/>
        <v>25590</v>
      </c>
      <c r="AC250" s="129">
        <f t="shared" si="255"/>
        <v>568310</v>
      </c>
      <c r="AD250" s="619">
        <f t="shared" si="219"/>
        <v>2630290</v>
      </c>
    </row>
    <row r="251" spans="1:30" s="24" customFormat="1" ht="17.25" hidden="1" customHeight="1">
      <c r="A251" s="1150"/>
      <c r="B251" s="119"/>
      <c r="C251" s="120"/>
      <c r="D251" s="120"/>
      <c r="E251" s="124" t="s">
        <v>64</v>
      </c>
      <c r="F251" s="126">
        <f t="shared" si="263"/>
        <v>2173000</v>
      </c>
      <c r="G251" s="126"/>
      <c r="H251" s="126"/>
      <c r="I251" s="126"/>
      <c r="J251" s="126"/>
      <c r="K251" s="126"/>
      <c r="L251" s="126"/>
      <c r="M251" s="126"/>
      <c r="N251" s="126"/>
      <c r="O251" s="126">
        <f t="shared" si="262"/>
        <v>80000</v>
      </c>
      <c r="P251" s="126"/>
      <c r="Q251" s="126">
        <f t="shared" si="259"/>
        <v>17390</v>
      </c>
      <c r="R251" s="126">
        <f t="shared" si="261"/>
        <v>695600</v>
      </c>
      <c r="S251" s="126"/>
      <c r="T251" s="127">
        <f t="shared" si="256"/>
        <v>250000</v>
      </c>
      <c r="U251" s="122">
        <f t="shared" si="257"/>
        <v>3198600</v>
      </c>
      <c r="V251" s="333"/>
      <c r="W251" s="338">
        <f t="shared" si="260"/>
        <v>266550</v>
      </c>
      <c r="X251" s="128">
        <f t="shared" si="251"/>
        <v>143940</v>
      </c>
      <c r="Y251" s="128">
        <f t="shared" si="252"/>
        <v>97080</v>
      </c>
      <c r="Z251" s="128">
        <f t="shared" si="258"/>
        <v>6360</v>
      </c>
      <c r="AA251" s="128">
        <f t="shared" si="253"/>
        <v>28790</v>
      </c>
      <c r="AB251" s="128">
        <f t="shared" si="254"/>
        <v>25590</v>
      </c>
      <c r="AC251" s="129">
        <f t="shared" si="255"/>
        <v>568310</v>
      </c>
      <c r="AD251" s="619">
        <f t="shared" si="219"/>
        <v>2630290</v>
      </c>
    </row>
    <row r="252" spans="1:30" s="24" customFormat="1" ht="17.25" hidden="1" customHeight="1">
      <c r="A252" s="1150"/>
      <c r="B252" s="119"/>
      <c r="C252" s="120"/>
      <c r="D252" s="120"/>
      <c r="E252" s="124" t="s">
        <v>332</v>
      </c>
      <c r="F252" s="126">
        <f t="shared" si="263"/>
        <v>2173000</v>
      </c>
      <c r="G252" s="126"/>
      <c r="H252" s="126"/>
      <c r="I252" s="126"/>
      <c r="J252" s="126"/>
      <c r="K252" s="126"/>
      <c r="L252" s="126"/>
      <c r="M252" s="126"/>
      <c r="N252" s="126"/>
      <c r="O252" s="126">
        <f t="shared" si="262"/>
        <v>80000</v>
      </c>
      <c r="P252" s="126"/>
      <c r="Q252" s="126">
        <f t="shared" si="259"/>
        <v>17390</v>
      </c>
      <c r="R252" s="126">
        <f>Q252*40*2</f>
        <v>1391200</v>
      </c>
      <c r="S252" s="126"/>
      <c r="T252" s="127">
        <f t="shared" si="256"/>
        <v>250000</v>
      </c>
      <c r="U252" s="122">
        <f t="shared" si="257"/>
        <v>3894200</v>
      </c>
      <c r="V252" s="333"/>
      <c r="W252" s="338">
        <f t="shared" si="260"/>
        <v>324520</v>
      </c>
      <c r="X252" s="128">
        <f t="shared" si="251"/>
        <v>175240</v>
      </c>
      <c r="Y252" s="128">
        <f t="shared" si="252"/>
        <v>118190</v>
      </c>
      <c r="Z252" s="128">
        <f t="shared" si="258"/>
        <v>7750</v>
      </c>
      <c r="AA252" s="128">
        <f t="shared" si="253"/>
        <v>35050</v>
      </c>
      <c r="AB252" s="128">
        <f t="shared" si="254"/>
        <v>31150</v>
      </c>
      <c r="AC252" s="129">
        <f t="shared" si="255"/>
        <v>691900</v>
      </c>
      <c r="AD252" s="619">
        <f t="shared" si="219"/>
        <v>3202300</v>
      </c>
    </row>
    <row r="253" spans="1:30" s="24" customFormat="1" ht="16.5" hidden="1" customHeight="1">
      <c r="A253" s="1150">
        <v>20</v>
      </c>
      <c r="B253" s="119" t="s">
        <v>95</v>
      </c>
      <c r="C253" s="120" t="s">
        <v>663</v>
      </c>
      <c r="D253" s="120">
        <v>1</v>
      </c>
      <c r="E253" s="121" t="s">
        <v>94</v>
      </c>
      <c r="F253" s="122">
        <f t="shared" ref="F253:L253" si="264">SUM(F254:F265)</f>
        <v>22284000</v>
      </c>
      <c r="G253" s="122">
        <f t="shared" si="264"/>
        <v>0</v>
      </c>
      <c r="H253" s="122">
        <f t="shared" si="264"/>
        <v>0</v>
      </c>
      <c r="I253" s="122">
        <f t="shared" si="264"/>
        <v>0</v>
      </c>
      <c r="J253" s="122">
        <f t="shared" si="264"/>
        <v>0</v>
      </c>
      <c r="K253" s="122">
        <f t="shared" si="264"/>
        <v>0</v>
      </c>
      <c r="L253" s="122">
        <f t="shared" si="264"/>
        <v>0</v>
      </c>
      <c r="M253" s="122">
        <f>SUM(M254:M265)</f>
        <v>2206800</v>
      </c>
      <c r="N253" s="122">
        <f>SUM(N254:N265)</f>
        <v>0</v>
      </c>
      <c r="O253" s="122">
        <f>SUM(O254:O265)</f>
        <v>0</v>
      </c>
      <c r="P253" s="122"/>
      <c r="Q253" s="122"/>
      <c r="R253" s="122">
        <f>SUM(R254:R265)</f>
        <v>3600800</v>
      </c>
      <c r="S253" s="122">
        <f>SUM(S254:S265)</f>
        <v>900200</v>
      </c>
      <c r="T253" s="122">
        <f>SUM(T254:T265)</f>
        <v>2800000</v>
      </c>
      <c r="U253" s="122">
        <f>SUM(U254:U265)</f>
        <v>30891600</v>
      </c>
      <c r="V253" s="333"/>
      <c r="W253" s="350">
        <f t="shared" ref="W253:AB253" si="265">SUM(W254:W265)</f>
        <v>2591010</v>
      </c>
      <c r="X253" s="122">
        <f t="shared" si="265"/>
        <v>1390150</v>
      </c>
      <c r="Y253" s="122">
        <f t="shared" si="265"/>
        <v>937610</v>
      </c>
      <c r="Z253" s="122">
        <f t="shared" si="265"/>
        <v>61490</v>
      </c>
      <c r="AA253" s="122">
        <f t="shared" si="265"/>
        <v>278050</v>
      </c>
      <c r="AB253" s="122">
        <f t="shared" si="265"/>
        <v>247110</v>
      </c>
      <c r="AC253" s="123">
        <f>SUM(AC254:AC265)</f>
        <v>5505420</v>
      </c>
      <c r="AD253" s="618">
        <f t="shared" si="219"/>
        <v>25386180</v>
      </c>
    </row>
    <row r="254" spans="1:30" s="24" customFormat="1" ht="16.5" hidden="1" customHeight="1">
      <c r="A254" s="1150"/>
      <c r="B254" s="119" t="s">
        <v>547</v>
      </c>
      <c r="C254" s="120">
        <v>5</v>
      </c>
      <c r="D254" s="120"/>
      <c r="E254" s="124" t="s">
        <v>324</v>
      </c>
      <c r="F254" s="125">
        <v>1785000</v>
      </c>
      <c r="G254" s="126"/>
      <c r="H254" s="125"/>
      <c r="I254" s="125"/>
      <c r="J254" s="126"/>
      <c r="K254" s="126"/>
      <c r="L254" s="126"/>
      <c r="M254" s="126"/>
      <c r="N254" s="126"/>
      <c r="O254" s="126"/>
      <c r="P254" s="126"/>
      <c r="Q254" s="126"/>
      <c r="R254" s="126"/>
      <c r="S254" s="126"/>
      <c r="T254" s="127">
        <v>200000</v>
      </c>
      <c r="U254" s="122">
        <f>SUM(F254,M254,O254,R254,T254)</f>
        <v>1985000</v>
      </c>
      <c r="V254" s="333"/>
      <c r="W254" s="338">
        <f>ROUNDUP(U254*1/12,-1)</f>
        <v>165420</v>
      </c>
      <c r="X254" s="128">
        <f t="shared" ref="X254:X265" si="266">ROUND(U254*4.5%,-1)</f>
        <v>89330</v>
      </c>
      <c r="Y254" s="128">
        <f t="shared" ref="Y254:Y265" si="267">ROUNDUP((U254-L254)*3.035%,-1)</f>
        <v>60250</v>
      </c>
      <c r="Z254" s="128">
        <f>ROUNDUP(Y254*6.55%,-1)</f>
        <v>3950</v>
      </c>
      <c r="AA254" s="128">
        <f t="shared" ref="AA254:AA265" si="268">ROUND(U254*0.9%,-1)</f>
        <v>17870</v>
      </c>
      <c r="AB254" s="128">
        <f t="shared" ref="AB254:AB265" si="269">ROUND(U254*0.8%,-1)</f>
        <v>15880</v>
      </c>
      <c r="AC254" s="129">
        <f t="shared" ref="AC254:AC265" si="270">SUM(W254:AB254)</f>
        <v>352700</v>
      </c>
      <c r="AD254" s="619">
        <f t="shared" si="219"/>
        <v>1632300</v>
      </c>
    </row>
    <row r="255" spans="1:30" s="24" customFormat="1" ht="16.5" hidden="1" customHeight="1">
      <c r="A255" s="1150"/>
      <c r="B255" s="119"/>
      <c r="C255" s="120"/>
      <c r="D255" s="120"/>
      <c r="E255" s="124" t="s">
        <v>325</v>
      </c>
      <c r="F255" s="126">
        <f>F254</f>
        <v>1785000</v>
      </c>
      <c r="G255" s="126"/>
      <c r="H255" s="126"/>
      <c r="I255" s="126"/>
      <c r="J255" s="126"/>
      <c r="K255" s="126"/>
      <c r="L255" s="126"/>
      <c r="M255" s="126">
        <f>F255*60%</f>
        <v>1071000</v>
      </c>
      <c r="N255" s="126"/>
      <c r="O255" s="126"/>
      <c r="P255" s="126"/>
      <c r="Q255" s="126">
        <f>ROUND((F254+T254)*1/209*1.5,-1)</f>
        <v>14250</v>
      </c>
      <c r="R255" s="126">
        <f>Q255*20</f>
        <v>285000</v>
      </c>
      <c r="S255" s="126">
        <f>Q255*5</f>
        <v>71250</v>
      </c>
      <c r="T255" s="127">
        <f>T254</f>
        <v>200000</v>
      </c>
      <c r="U255" s="122">
        <f t="shared" ref="U255:U265" si="271">SUM(F255,M255,O255,R255,T255)</f>
        <v>3341000</v>
      </c>
      <c r="V255" s="333"/>
      <c r="W255" s="338">
        <f>ROUNDUP((T255+U255)*1/12,-1)</f>
        <v>295090</v>
      </c>
      <c r="X255" s="128">
        <f t="shared" si="266"/>
        <v>150350</v>
      </c>
      <c r="Y255" s="128">
        <f t="shared" si="267"/>
        <v>101400</v>
      </c>
      <c r="Z255" s="128">
        <f t="shared" ref="Z255:Z265" si="272">ROUNDUP(Y255*6.55%,-1)</f>
        <v>6650</v>
      </c>
      <c r="AA255" s="128">
        <f t="shared" si="268"/>
        <v>30070</v>
      </c>
      <c r="AB255" s="128">
        <f t="shared" si="269"/>
        <v>26730</v>
      </c>
      <c r="AC255" s="129">
        <f t="shared" si="270"/>
        <v>610290</v>
      </c>
      <c r="AD255" s="619">
        <f t="shared" si="219"/>
        <v>2730710</v>
      </c>
    </row>
    <row r="256" spans="1:30" s="24" customFormat="1" ht="16.5" hidden="1" customHeight="1">
      <c r="A256" s="1150"/>
      <c r="B256" s="119"/>
      <c r="C256" s="120"/>
      <c r="D256" s="120"/>
      <c r="E256" s="124" t="s">
        <v>326</v>
      </c>
      <c r="F256" s="126">
        <f>F255</f>
        <v>1785000</v>
      </c>
      <c r="G256" s="126"/>
      <c r="H256" s="126"/>
      <c r="I256" s="126"/>
      <c r="J256" s="126"/>
      <c r="K256" s="126"/>
      <c r="L256" s="126"/>
      <c r="M256" s="126"/>
      <c r="N256" s="126"/>
      <c r="O256" s="126"/>
      <c r="P256" s="126"/>
      <c r="Q256" s="126">
        <f t="shared" ref="Q256:Q265" si="273">ROUND((F255+T255)*1/209*1.5,-1)</f>
        <v>14250</v>
      </c>
      <c r="R256" s="126">
        <f>Q256*20</f>
        <v>285000</v>
      </c>
      <c r="S256" s="126">
        <f t="shared" ref="S256:S264" si="274">Q256*5</f>
        <v>71250</v>
      </c>
      <c r="T256" s="127">
        <f>T255</f>
        <v>200000</v>
      </c>
      <c r="U256" s="122">
        <f t="shared" si="271"/>
        <v>2270000</v>
      </c>
      <c r="V256" s="333"/>
      <c r="W256" s="338">
        <f t="shared" ref="W256:W265" si="275">ROUNDUP(U256*1/12,-1)</f>
        <v>189170</v>
      </c>
      <c r="X256" s="128">
        <f t="shared" si="266"/>
        <v>102150</v>
      </c>
      <c r="Y256" s="128">
        <f t="shared" si="267"/>
        <v>68900</v>
      </c>
      <c r="Z256" s="128">
        <f t="shared" si="272"/>
        <v>4520</v>
      </c>
      <c r="AA256" s="128">
        <f t="shared" si="268"/>
        <v>20430</v>
      </c>
      <c r="AB256" s="128">
        <f t="shared" si="269"/>
        <v>18160</v>
      </c>
      <c r="AC256" s="129">
        <f t="shared" si="270"/>
        <v>403330</v>
      </c>
      <c r="AD256" s="619">
        <f t="shared" si="219"/>
        <v>1866670</v>
      </c>
    </row>
    <row r="257" spans="1:30" s="24" customFormat="1" ht="16.5" hidden="1" customHeight="1">
      <c r="A257" s="1150"/>
      <c r="B257" s="119"/>
      <c r="C257" s="120"/>
      <c r="D257" s="120"/>
      <c r="E257" s="124" t="s">
        <v>327</v>
      </c>
      <c r="F257" s="126">
        <f>F256</f>
        <v>1785000</v>
      </c>
      <c r="G257" s="126"/>
      <c r="H257" s="126"/>
      <c r="I257" s="126"/>
      <c r="J257" s="126"/>
      <c r="K257" s="126"/>
      <c r="L257" s="126"/>
      <c r="M257" s="126"/>
      <c r="N257" s="126"/>
      <c r="O257" s="126"/>
      <c r="P257" s="126"/>
      <c r="Q257" s="126">
        <f t="shared" si="273"/>
        <v>14250</v>
      </c>
      <c r="R257" s="126">
        <f t="shared" ref="R257:R264" si="276">Q257*20</f>
        <v>285000</v>
      </c>
      <c r="S257" s="126">
        <f t="shared" si="274"/>
        <v>71250</v>
      </c>
      <c r="T257" s="127">
        <f>T256</f>
        <v>200000</v>
      </c>
      <c r="U257" s="122">
        <f t="shared" si="271"/>
        <v>2270000</v>
      </c>
      <c r="V257" s="333"/>
      <c r="W257" s="338">
        <f t="shared" si="275"/>
        <v>189170</v>
      </c>
      <c r="X257" s="128">
        <f t="shared" si="266"/>
        <v>102150</v>
      </c>
      <c r="Y257" s="128">
        <f t="shared" si="267"/>
        <v>68900</v>
      </c>
      <c r="Z257" s="128">
        <f t="shared" si="272"/>
        <v>4520</v>
      </c>
      <c r="AA257" s="128">
        <f t="shared" si="268"/>
        <v>20430</v>
      </c>
      <c r="AB257" s="128">
        <f t="shared" si="269"/>
        <v>18160</v>
      </c>
      <c r="AC257" s="129">
        <f t="shared" si="270"/>
        <v>403330</v>
      </c>
      <c r="AD257" s="619">
        <f t="shared" si="219"/>
        <v>1866670</v>
      </c>
    </row>
    <row r="258" spans="1:30" s="24" customFormat="1" ht="16.5" hidden="1" customHeight="1">
      <c r="A258" s="1150"/>
      <c r="B258" s="119"/>
      <c r="C258" s="120">
        <v>6</v>
      </c>
      <c r="D258" s="120"/>
      <c r="E258" s="124" t="s">
        <v>328</v>
      </c>
      <c r="F258" s="591">
        <v>1893000</v>
      </c>
      <c r="G258" s="126"/>
      <c r="H258" s="126"/>
      <c r="I258" s="126"/>
      <c r="J258" s="126"/>
      <c r="K258" s="126"/>
      <c r="L258" s="126"/>
      <c r="M258" s="126"/>
      <c r="N258" s="126"/>
      <c r="O258" s="126"/>
      <c r="P258" s="126"/>
      <c r="Q258" s="126">
        <f t="shared" si="273"/>
        <v>14250</v>
      </c>
      <c r="R258" s="126">
        <f t="shared" si="276"/>
        <v>285000</v>
      </c>
      <c r="S258" s="126">
        <f t="shared" si="274"/>
        <v>71250</v>
      </c>
      <c r="T258" s="127">
        <v>250000</v>
      </c>
      <c r="U258" s="122">
        <f t="shared" si="271"/>
        <v>2428000</v>
      </c>
      <c r="V258" s="333"/>
      <c r="W258" s="338">
        <f t="shared" si="275"/>
        <v>202340</v>
      </c>
      <c r="X258" s="128">
        <f t="shared" si="266"/>
        <v>109260</v>
      </c>
      <c r="Y258" s="128">
        <f t="shared" si="267"/>
        <v>73690</v>
      </c>
      <c r="Z258" s="128">
        <f t="shared" si="272"/>
        <v>4830</v>
      </c>
      <c r="AA258" s="128">
        <f t="shared" si="268"/>
        <v>21850</v>
      </c>
      <c r="AB258" s="128">
        <f t="shared" si="269"/>
        <v>19420</v>
      </c>
      <c r="AC258" s="129">
        <f t="shared" si="270"/>
        <v>431390</v>
      </c>
      <c r="AD258" s="619">
        <f t="shared" si="219"/>
        <v>1996610</v>
      </c>
    </row>
    <row r="259" spans="1:30" s="24" customFormat="1" ht="16.5" hidden="1" customHeight="1">
      <c r="A259" s="1150"/>
      <c r="B259" s="119"/>
      <c r="C259" s="120"/>
      <c r="D259" s="120"/>
      <c r="E259" s="124" t="s">
        <v>329</v>
      </c>
      <c r="F259" s="126">
        <f t="shared" ref="F259:F265" si="277">F258</f>
        <v>1893000</v>
      </c>
      <c r="G259" s="126"/>
      <c r="H259" s="126"/>
      <c r="I259" s="126"/>
      <c r="J259" s="126"/>
      <c r="K259" s="126"/>
      <c r="L259" s="126"/>
      <c r="M259" s="126"/>
      <c r="N259" s="126"/>
      <c r="O259" s="126"/>
      <c r="P259" s="126"/>
      <c r="Q259" s="126">
        <f t="shared" si="273"/>
        <v>15380</v>
      </c>
      <c r="R259" s="126">
        <f t="shared" si="276"/>
        <v>307600</v>
      </c>
      <c r="S259" s="126">
        <f t="shared" si="274"/>
        <v>76900</v>
      </c>
      <c r="T259" s="127">
        <f t="shared" ref="T259:T265" si="278">T258</f>
        <v>250000</v>
      </c>
      <c r="U259" s="122">
        <f t="shared" si="271"/>
        <v>2450600</v>
      </c>
      <c r="V259" s="333"/>
      <c r="W259" s="338">
        <f t="shared" si="275"/>
        <v>204220</v>
      </c>
      <c r="X259" s="128">
        <f t="shared" si="266"/>
        <v>110280</v>
      </c>
      <c r="Y259" s="128">
        <f t="shared" si="267"/>
        <v>74380</v>
      </c>
      <c r="Z259" s="128">
        <f t="shared" si="272"/>
        <v>4880</v>
      </c>
      <c r="AA259" s="128">
        <f t="shared" si="268"/>
        <v>22060</v>
      </c>
      <c r="AB259" s="128">
        <f t="shared" si="269"/>
        <v>19600</v>
      </c>
      <c r="AC259" s="129">
        <f t="shared" si="270"/>
        <v>435420</v>
      </c>
      <c r="AD259" s="619">
        <f t="shared" si="219"/>
        <v>2015180</v>
      </c>
    </row>
    <row r="260" spans="1:30" s="24" customFormat="1" ht="16.5" hidden="1" customHeight="1">
      <c r="A260" s="1150"/>
      <c r="B260" s="119"/>
      <c r="C260" s="120"/>
      <c r="D260" s="120"/>
      <c r="E260" s="124" t="s">
        <v>330</v>
      </c>
      <c r="F260" s="126">
        <f t="shared" si="277"/>
        <v>1893000</v>
      </c>
      <c r="G260" s="126"/>
      <c r="H260" s="125"/>
      <c r="I260" s="127"/>
      <c r="J260" s="126"/>
      <c r="K260" s="126"/>
      <c r="L260" s="126"/>
      <c r="M260" s="126"/>
      <c r="N260" s="126"/>
      <c r="O260" s="126"/>
      <c r="P260" s="126"/>
      <c r="Q260" s="126">
        <f t="shared" si="273"/>
        <v>15380</v>
      </c>
      <c r="R260" s="126">
        <f t="shared" si="276"/>
        <v>307600</v>
      </c>
      <c r="S260" s="126">
        <f t="shared" si="274"/>
        <v>76900</v>
      </c>
      <c r="T260" s="127">
        <f t="shared" si="278"/>
        <v>250000</v>
      </c>
      <c r="U260" s="122">
        <f t="shared" si="271"/>
        <v>2450600</v>
      </c>
      <c r="V260" s="333"/>
      <c r="W260" s="338">
        <f t="shared" si="275"/>
        <v>204220</v>
      </c>
      <c r="X260" s="128">
        <f t="shared" si="266"/>
        <v>110280</v>
      </c>
      <c r="Y260" s="128">
        <f t="shared" si="267"/>
        <v>74380</v>
      </c>
      <c r="Z260" s="128">
        <f t="shared" si="272"/>
        <v>4880</v>
      </c>
      <c r="AA260" s="128">
        <f t="shared" si="268"/>
        <v>22060</v>
      </c>
      <c r="AB260" s="128">
        <f t="shared" si="269"/>
        <v>19600</v>
      </c>
      <c r="AC260" s="129">
        <f t="shared" si="270"/>
        <v>435420</v>
      </c>
      <c r="AD260" s="619">
        <f t="shared" si="219"/>
        <v>2015180</v>
      </c>
    </row>
    <row r="261" spans="1:30" s="24" customFormat="1" ht="16.5" hidden="1" customHeight="1">
      <c r="A261" s="1150"/>
      <c r="B261" s="119"/>
      <c r="C261" s="120"/>
      <c r="D261" s="120"/>
      <c r="E261" s="124" t="s">
        <v>331</v>
      </c>
      <c r="F261" s="126">
        <f t="shared" si="277"/>
        <v>1893000</v>
      </c>
      <c r="G261" s="126"/>
      <c r="H261" s="126"/>
      <c r="I261" s="126"/>
      <c r="J261" s="126"/>
      <c r="K261" s="126"/>
      <c r="L261" s="126"/>
      <c r="M261" s="126"/>
      <c r="N261" s="126"/>
      <c r="O261" s="126"/>
      <c r="P261" s="126"/>
      <c r="Q261" s="126">
        <f t="shared" si="273"/>
        <v>15380</v>
      </c>
      <c r="R261" s="126">
        <f t="shared" si="276"/>
        <v>307600</v>
      </c>
      <c r="S261" s="126">
        <f t="shared" si="274"/>
        <v>76900</v>
      </c>
      <c r="T261" s="127">
        <f t="shared" si="278"/>
        <v>250000</v>
      </c>
      <c r="U261" s="122">
        <f t="shared" si="271"/>
        <v>2450600</v>
      </c>
      <c r="V261" s="333"/>
      <c r="W261" s="338">
        <f t="shared" si="275"/>
        <v>204220</v>
      </c>
      <c r="X261" s="128">
        <f t="shared" si="266"/>
        <v>110280</v>
      </c>
      <c r="Y261" s="128">
        <f t="shared" si="267"/>
        <v>74380</v>
      </c>
      <c r="Z261" s="128">
        <f t="shared" si="272"/>
        <v>4880</v>
      </c>
      <c r="AA261" s="128">
        <f t="shared" si="268"/>
        <v>22060</v>
      </c>
      <c r="AB261" s="128">
        <f t="shared" si="269"/>
        <v>19600</v>
      </c>
      <c r="AC261" s="129">
        <f t="shared" si="270"/>
        <v>435420</v>
      </c>
      <c r="AD261" s="619">
        <f t="shared" si="219"/>
        <v>2015180</v>
      </c>
    </row>
    <row r="262" spans="1:30" s="24" customFormat="1" ht="16.5" hidden="1" customHeight="1">
      <c r="A262" s="1150"/>
      <c r="B262" s="119"/>
      <c r="C262" s="120"/>
      <c r="D262" s="120"/>
      <c r="E262" s="124" t="s">
        <v>62</v>
      </c>
      <c r="F262" s="126">
        <f t="shared" si="277"/>
        <v>1893000</v>
      </c>
      <c r="G262" s="126"/>
      <c r="H262" s="126"/>
      <c r="I262" s="126"/>
      <c r="J262" s="126"/>
      <c r="K262" s="126"/>
      <c r="L262" s="126"/>
      <c r="M262" s="126">
        <f>F262*60%</f>
        <v>1135800</v>
      </c>
      <c r="N262" s="126"/>
      <c r="O262" s="126"/>
      <c r="P262" s="126"/>
      <c r="Q262" s="126">
        <f t="shared" si="273"/>
        <v>15380</v>
      </c>
      <c r="R262" s="126">
        <f t="shared" si="276"/>
        <v>307600</v>
      </c>
      <c r="S262" s="126">
        <f t="shared" si="274"/>
        <v>76900</v>
      </c>
      <c r="T262" s="127">
        <f t="shared" si="278"/>
        <v>250000</v>
      </c>
      <c r="U262" s="122">
        <f t="shared" si="271"/>
        <v>3586400</v>
      </c>
      <c r="V262" s="333"/>
      <c r="W262" s="338">
        <f t="shared" si="275"/>
        <v>298870</v>
      </c>
      <c r="X262" s="128">
        <f t="shared" si="266"/>
        <v>161390</v>
      </c>
      <c r="Y262" s="128">
        <f t="shared" si="267"/>
        <v>108850</v>
      </c>
      <c r="Z262" s="128">
        <f t="shared" si="272"/>
        <v>7130</v>
      </c>
      <c r="AA262" s="128">
        <f t="shared" si="268"/>
        <v>32280</v>
      </c>
      <c r="AB262" s="128">
        <f t="shared" si="269"/>
        <v>28690</v>
      </c>
      <c r="AC262" s="129">
        <f t="shared" si="270"/>
        <v>637210</v>
      </c>
      <c r="AD262" s="619">
        <f t="shared" si="219"/>
        <v>2949190</v>
      </c>
    </row>
    <row r="263" spans="1:30" s="24" customFormat="1" ht="16.5" hidden="1" customHeight="1">
      <c r="A263" s="1150"/>
      <c r="B263" s="119"/>
      <c r="C263" s="120"/>
      <c r="D263" s="120"/>
      <c r="E263" s="124" t="s">
        <v>63</v>
      </c>
      <c r="F263" s="126">
        <f t="shared" si="277"/>
        <v>1893000</v>
      </c>
      <c r="G263" s="126"/>
      <c r="H263" s="126"/>
      <c r="I263" s="126"/>
      <c r="J263" s="126"/>
      <c r="K263" s="126"/>
      <c r="L263" s="126"/>
      <c r="M263" s="126"/>
      <c r="N263" s="126"/>
      <c r="O263" s="126"/>
      <c r="P263" s="126"/>
      <c r="Q263" s="126">
        <f t="shared" si="273"/>
        <v>15380</v>
      </c>
      <c r="R263" s="126">
        <f t="shared" si="276"/>
        <v>307600</v>
      </c>
      <c r="S263" s="126">
        <f t="shared" si="274"/>
        <v>76900</v>
      </c>
      <c r="T263" s="127">
        <f t="shared" si="278"/>
        <v>250000</v>
      </c>
      <c r="U263" s="122">
        <f t="shared" si="271"/>
        <v>2450600</v>
      </c>
      <c r="V263" s="333"/>
      <c r="W263" s="338">
        <f t="shared" si="275"/>
        <v>204220</v>
      </c>
      <c r="X263" s="128">
        <f t="shared" si="266"/>
        <v>110280</v>
      </c>
      <c r="Y263" s="128">
        <f t="shared" si="267"/>
        <v>74380</v>
      </c>
      <c r="Z263" s="128">
        <f t="shared" si="272"/>
        <v>4880</v>
      </c>
      <c r="AA263" s="128">
        <f t="shared" si="268"/>
        <v>22060</v>
      </c>
      <c r="AB263" s="128">
        <f t="shared" si="269"/>
        <v>19600</v>
      </c>
      <c r="AC263" s="129">
        <f t="shared" si="270"/>
        <v>435420</v>
      </c>
      <c r="AD263" s="619">
        <f t="shared" si="219"/>
        <v>2015180</v>
      </c>
    </row>
    <row r="264" spans="1:30" s="24" customFormat="1" ht="16.5" hidden="1" customHeight="1">
      <c r="A264" s="1150"/>
      <c r="B264" s="119"/>
      <c r="C264" s="120"/>
      <c r="D264" s="120"/>
      <c r="E264" s="124" t="s">
        <v>64</v>
      </c>
      <c r="F264" s="126">
        <f t="shared" si="277"/>
        <v>1893000</v>
      </c>
      <c r="G264" s="126"/>
      <c r="H264" s="126"/>
      <c r="I264" s="126"/>
      <c r="J264" s="126"/>
      <c r="K264" s="126"/>
      <c r="L264" s="126"/>
      <c r="M264" s="126"/>
      <c r="N264" s="126"/>
      <c r="O264" s="126"/>
      <c r="P264" s="126"/>
      <c r="Q264" s="126">
        <f t="shared" si="273"/>
        <v>15380</v>
      </c>
      <c r="R264" s="126">
        <f t="shared" si="276"/>
        <v>307600</v>
      </c>
      <c r="S264" s="126">
        <f t="shared" si="274"/>
        <v>76900</v>
      </c>
      <c r="T264" s="127">
        <f t="shared" si="278"/>
        <v>250000</v>
      </c>
      <c r="U264" s="122">
        <f t="shared" si="271"/>
        <v>2450600</v>
      </c>
      <c r="V264" s="333"/>
      <c r="W264" s="338">
        <f t="shared" si="275"/>
        <v>204220</v>
      </c>
      <c r="X264" s="128">
        <f t="shared" si="266"/>
        <v>110280</v>
      </c>
      <c r="Y264" s="128">
        <f t="shared" si="267"/>
        <v>74380</v>
      </c>
      <c r="Z264" s="128">
        <f t="shared" si="272"/>
        <v>4880</v>
      </c>
      <c r="AA264" s="128">
        <f t="shared" si="268"/>
        <v>22060</v>
      </c>
      <c r="AB264" s="128">
        <f t="shared" si="269"/>
        <v>19600</v>
      </c>
      <c r="AC264" s="129">
        <f t="shared" si="270"/>
        <v>435420</v>
      </c>
      <c r="AD264" s="619">
        <f t="shared" si="219"/>
        <v>2015180</v>
      </c>
    </row>
    <row r="265" spans="1:30" s="24" customFormat="1" ht="16.5" hidden="1" customHeight="1">
      <c r="A265" s="1150"/>
      <c r="B265" s="119"/>
      <c r="C265" s="120"/>
      <c r="D265" s="120"/>
      <c r="E265" s="124" t="s">
        <v>332</v>
      </c>
      <c r="F265" s="126">
        <f t="shared" si="277"/>
        <v>1893000</v>
      </c>
      <c r="G265" s="126"/>
      <c r="H265" s="126"/>
      <c r="I265" s="126"/>
      <c r="J265" s="126"/>
      <c r="K265" s="126"/>
      <c r="L265" s="126"/>
      <c r="M265" s="126"/>
      <c r="N265" s="126"/>
      <c r="O265" s="126"/>
      <c r="P265" s="126"/>
      <c r="Q265" s="126">
        <f t="shared" si="273"/>
        <v>15380</v>
      </c>
      <c r="R265" s="126">
        <f>Q265*20*2</f>
        <v>615200</v>
      </c>
      <c r="S265" s="126">
        <f>(Q265*5)*2</f>
        <v>153800</v>
      </c>
      <c r="T265" s="127">
        <f t="shared" si="278"/>
        <v>250000</v>
      </c>
      <c r="U265" s="122">
        <f t="shared" si="271"/>
        <v>2758200</v>
      </c>
      <c r="V265" s="333"/>
      <c r="W265" s="338">
        <f t="shared" si="275"/>
        <v>229850</v>
      </c>
      <c r="X265" s="128">
        <f t="shared" si="266"/>
        <v>124120</v>
      </c>
      <c r="Y265" s="128">
        <f t="shared" si="267"/>
        <v>83720</v>
      </c>
      <c r="Z265" s="128">
        <f t="shared" si="272"/>
        <v>5490</v>
      </c>
      <c r="AA265" s="128">
        <f t="shared" si="268"/>
        <v>24820</v>
      </c>
      <c r="AB265" s="128">
        <f t="shared" si="269"/>
        <v>22070</v>
      </c>
      <c r="AC265" s="129">
        <f t="shared" si="270"/>
        <v>490070</v>
      </c>
      <c r="AD265" s="619">
        <f t="shared" si="219"/>
        <v>2268130</v>
      </c>
    </row>
    <row r="266" spans="1:30" s="24" customFormat="1" ht="16.5" hidden="1" customHeight="1">
      <c r="A266" s="1150">
        <v>21</v>
      </c>
      <c r="B266" s="119" t="s">
        <v>95</v>
      </c>
      <c r="C266" s="120" t="s">
        <v>660</v>
      </c>
      <c r="D266" s="120">
        <v>1</v>
      </c>
      <c r="E266" s="121" t="s">
        <v>94</v>
      </c>
      <c r="F266" s="122">
        <f t="shared" ref="F266:L266" si="279">SUM(F267:F278)</f>
        <v>24066000</v>
      </c>
      <c r="G266" s="122">
        <f t="shared" si="279"/>
        <v>0</v>
      </c>
      <c r="H266" s="122">
        <f t="shared" si="279"/>
        <v>0</v>
      </c>
      <c r="I266" s="122">
        <f t="shared" si="279"/>
        <v>0</v>
      </c>
      <c r="J266" s="122">
        <f t="shared" si="279"/>
        <v>0</v>
      </c>
      <c r="K266" s="122">
        <f t="shared" si="279"/>
        <v>0</v>
      </c>
      <c r="L266" s="122">
        <f t="shared" si="279"/>
        <v>0</v>
      </c>
      <c r="M266" s="122">
        <f>SUM(M267:M278)</f>
        <v>2404800</v>
      </c>
      <c r="N266" s="122">
        <f>SUM(N267:N278)</f>
        <v>0</v>
      </c>
      <c r="O266" s="122">
        <f>SUM(O267:O278)</f>
        <v>480000</v>
      </c>
      <c r="P266" s="122"/>
      <c r="Q266" s="122"/>
      <c r="R266" s="122">
        <f>SUM(R267:R278)</f>
        <v>3883200</v>
      </c>
      <c r="S266" s="122">
        <f>SUM(S267:S278)</f>
        <v>970800</v>
      </c>
      <c r="T266" s="122">
        <f>SUM(T267:T278)</f>
        <v>3000000</v>
      </c>
      <c r="U266" s="122">
        <f>SUM(U267:U278)</f>
        <v>33834000</v>
      </c>
      <c r="V266" s="333"/>
      <c r="W266" s="350">
        <f t="shared" ref="W266:AB266" si="280">SUM(W267:W278)</f>
        <v>2840400</v>
      </c>
      <c r="X266" s="122">
        <f t="shared" si="280"/>
        <v>1522510</v>
      </c>
      <c r="Y266" s="122">
        <f t="shared" si="280"/>
        <v>1026930</v>
      </c>
      <c r="Z266" s="122">
        <f t="shared" si="280"/>
        <v>67340</v>
      </c>
      <c r="AA266" s="122">
        <f t="shared" si="280"/>
        <v>304520</v>
      </c>
      <c r="AB266" s="122">
        <f t="shared" si="280"/>
        <v>270660</v>
      </c>
      <c r="AC266" s="123">
        <f>SUM(AC267:AC278)</f>
        <v>6032360</v>
      </c>
      <c r="AD266" s="618">
        <f t="shared" si="219"/>
        <v>27801640</v>
      </c>
    </row>
    <row r="267" spans="1:30" s="24" customFormat="1" ht="16.5" hidden="1" customHeight="1">
      <c r="A267" s="1150"/>
      <c r="B267" s="119" t="s">
        <v>548</v>
      </c>
      <c r="C267" s="120">
        <v>8</v>
      </c>
      <c r="D267" s="120"/>
      <c r="E267" s="124" t="s">
        <v>324</v>
      </c>
      <c r="F267" s="125">
        <v>2004000</v>
      </c>
      <c r="G267" s="126"/>
      <c r="H267" s="125"/>
      <c r="I267" s="125"/>
      <c r="J267" s="126"/>
      <c r="K267" s="126"/>
      <c r="L267" s="126"/>
      <c r="M267" s="126"/>
      <c r="N267" s="126"/>
      <c r="O267" s="126">
        <v>40000</v>
      </c>
      <c r="P267" s="126"/>
      <c r="Q267" s="126"/>
      <c r="R267" s="126"/>
      <c r="S267" s="126"/>
      <c r="T267" s="127">
        <v>250000</v>
      </c>
      <c r="U267" s="122">
        <f t="shared" ref="U267:U278" si="281">SUM(F267,M267,O267,R267,T267)</f>
        <v>2294000</v>
      </c>
      <c r="V267" s="333"/>
      <c r="W267" s="338">
        <f>ROUNDUP(U267*1/12,-1)</f>
        <v>191170</v>
      </c>
      <c r="X267" s="128">
        <f t="shared" ref="X267:X278" si="282">ROUND(U267*4.5%,-1)</f>
        <v>103230</v>
      </c>
      <c r="Y267" s="128">
        <f t="shared" ref="Y267:Y278" si="283">ROUNDUP((U267-L267)*3.035%,-1)</f>
        <v>69630</v>
      </c>
      <c r="Z267" s="128">
        <f>ROUNDUP(Y267*6.55%,-1)</f>
        <v>4570</v>
      </c>
      <c r="AA267" s="128">
        <f t="shared" ref="AA267:AA278" si="284">ROUND(U267*0.9%,-1)</f>
        <v>20650</v>
      </c>
      <c r="AB267" s="128">
        <f t="shared" ref="AB267:AB278" si="285">ROUND(U267*0.8%,-1)</f>
        <v>18350</v>
      </c>
      <c r="AC267" s="129">
        <f t="shared" ref="AC267:AC278" si="286">SUM(W267:AB267)</f>
        <v>407600</v>
      </c>
      <c r="AD267" s="619">
        <f t="shared" si="219"/>
        <v>1886400</v>
      </c>
    </row>
    <row r="268" spans="1:30" s="24" customFormat="1" ht="16.5" hidden="1" customHeight="1">
      <c r="A268" s="1150"/>
      <c r="B268" s="119"/>
      <c r="C268" s="120"/>
      <c r="D268" s="120"/>
      <c r="E268" s="124" t="s">
        <v>325</v>
      </c>
      <c r="F268" s="126">
        <f t="shared" ref="F268:F277" si="287">F267</f>
        <v>2004000</v>
      </c>
      <c r="G268" s="126"/>
      <c r="H268" s="126"/>
      <c r="I268" s="126"/>
      <c r="J268" s="126"/>
      <c r="K268" s="126"/>
      <c r="L268" s="126"/>
      <c r="M268" s="126">
        <f>F268*60%</f>
        <v>1202400</v>
      </c>
      <c r="N268" s="126"/>
      <c r="O268" s="126">
        <f>O267</f>
        <v>40000</v>
      </c>
      <c r="P268" s="126"/>
      <c r="Q268" s="126">
        <f>ROUND((F267+T267)*1/209*1.5,-1)</f>
        <v>16180</v>
      </c>
      <c r="R268" s="126">
        <f>Q268*20</f>
        <v>323600</v>
      </c>
      <c r="S268" s="126">
        <f>Q268*5</f>
        <v>80900</v>
      </c>
      <c r="T268" s="127">
        <f t="shared" ref="T268:T278" si="288">T267</f>
        <v>250000</v>
      </c>
      <c r="U268" s="122">
        <f t="shared" si="281"/>
        <v>3820000</v>
      </c>
      <c r="V268" s="333"/>
      <c r="W268" s="338">
        <f>ROUNDUP((T268+U268)*1/12,-1)</f>
        <v>339170</v>
      </c>
      <c r="X268" s="128">
        <f t="shared" si="282"/>
        <v>171900</v>
      </c>
      <c r="Y268" s="128">
        <f t="shared" si="283"/>
        <v>115940</v>
      </c>
      <c r="Z268" s="128">
        <f t="shared" ref="Z268:Z278" si="289">ROUNDUP(Y268*6.55%,-1)</f>
        <v>7600</v>
      </c>
      <c r="AA268" s="128">
        <f t="shared" si="284"/>
        <v>34380</v>
      </c>
      <c r="AB268" s="128">
        <f t="shared" si="285"/>
        <v>30560</v>
      </c>
      <c r="AC268" s="129">
        <f t="shared" si="286"/>
        <v>699550</v>
      </c>
      <c r="AD268" s="619">
        <f t="shared" si="219"/>
        <v>3120450</v>
      </c>
    </row>
    <row r="269" spans="1:30" s="24" customFormat="1" ht="16.5" hidden="1" customHeight="1">
      <c r="A269" s="1150"/>
      <c r="B269" s="119"/>
      <c r="C269" s="120"/>
      <c r="D269" s="120"/>
      <c r="E269" s="124" t="s">
        <v>326</v>
      </c>
      <c r="F269" s="126">
        <f t="shared" si="287"/>
        <v>2004000</v>
      </c>
      <c r="G269" s="126"/>
      <c r="H269" s="126"/>
      <c r="I269" s="126"/>
      <c r="J269" s="126"/>
      <c r="K269" s="126"/>
      <c r="L269" s="126"/>
      <c r="M269" s="126"/>
      <c r="N269" s="126"/>
      <c r="O269" s="126">
        <f>O268</f>
        <v>40000</v>
      </c>
      <c r="P269" s="126"/>
      <c r="Q269" s="126">
        <f t="shared" ref="Q269:Q278" si="290">ROUND((F268+T268)*1/209*1.5,-1)</f>
        <v>16180</v>
      </c>
      <c r="R269" s="126">
        <f>Q269*20</f>
        <v>323600</v>
      </c>
      <c r="S269" s="126">
        <f t="shared" ref="S269:S277" si="291">Q269*5</f>
        <v>80900</v>
      </c>
      <c r="T269" s="127">
        <f t="shared" si="288"/>
        <v>250000</v>
      </c>
      <c r="U269" s="122">
        <f t="shared" si="281"/>
        <v>2617600</v>
      </c>
      <c r="V269" s="333"/>
      <c r="W269" s="338">
        <f t="shared" ref="W269:W278" si="292">ROUNDUP(U269*1/12,-1)</f>
        <v>218140</v>
      </c>
      <c r="X269" s="128">
        <f t="shared" si="282"/>
        <v>117790</v>
      </c>
      <c r="Y269" s="128">
        <f t="shared" si="283"/>
        <v>79450</v>
      </c>
      <c r="Z269" s="128">
        <f t="shared" si="289"/>
        <v>5210</v>
      </c>
      <c r="AA269" s="128">
        <f t="shared" si="284"/>
        <v>23560</v>
      </c>
      <c r="AB269" s="128">
        <f t="shared" si="285"/>
        <v>20940</v>
      </c>
      <c r="AC269" s="129">
        <f t="shared" si="286"/>
        <v>465090</v>
      </c>
      <c r="AD269" s="619">
        <f t="shared" si="219"/>
        <v>2152510</v>
      </c>
    </row>
    <row r="270" spans="1:30" s="24" customFormat="1" ht="16.5" hidden="1" customHeight="1">
      <c r="A270" s="1150"/>
      <c r="B270" s="119"/>
      <c r="C270" s="120"/>
      <c r="D270" s="120"/>
      <c r="E270" s="124" t="s">
        <v>327</v>
      </c>
      <c r="F270" s="126">
        <f t="shared" si="287"/>
        <v>2004000</v>
      </c>
      <c r="G270" s="126"/>
      <c r="H270" s="126"/>
      <c r="I270" s="126"/>
      <c r="J270" s="126"/>
      <c r="K270" s="126"/>
      <c r="L270" s="126"/>
      <c r="M270" s="126"/>
      <c r="N270" s="126"/>
      <c r="O270" s="126">
        <f>O269</f>
        <v>40000</v>
      </c>
      <c r="P270" s="126"/>
      <c r="Q270" s="126">
        <f t="shared" si="290"/>
        <v>16180</v>
      </c>
      <c r="R270" s="126">
        <f t="shared" ref="R270:R277" si="293">Q270*20</f>
        <v>323600</v>
      </c>
      <c r="S270" s="126">
        <f t="shared" si="291"/>
        <v>80900</v>
      </c>
      <c r="T270" s="127">
        <f t="shared" si="288"/>
        <v>250000</v>
      </c>
      <c r="U270" s="122">
        <f t="shared" si="281"/>
        <v>2617600</v>
      </c>
      <c r="V270" s="333"/>
      <c r="W270" s="338">
        <f t="shared" si="292"/>
        <v>218140</v>
      </c>
      <c r="X270" s="128">
        <f t="shared" si="282"/>
        <v>117790</v>
      </c>
      <c r="Y270" s="128">
        <f t="shared" si="283"/>
        <v>79450</v>
      </c>
      <c r="Z270" s="128">
        <f t="shared" si="289"/>
        <v>5210</v>
      </c>
      <c r="AA270" s="128">
        <f t="shared" si="284"/>
        <v>23560</v>
      </c>
      <c r="AB270" s="128">
        <f t="shared" si="285"/>
        <v>20940</v>
      </c>
      <c r="AC270" s="129">
        <f t="shared" si="286"/>
        <v>465090</v>
      </c>
      <c r="AD270" s="619">
        <f t="shared" si="219"/>
        <v>2152510</v>
      </c>
    </row>
    <row r="271" spans="1:30" s="24" customFormat="1" ht="16.5" hidden="1" customHeight="1">
      <c r="A271" s="1150"/>
      <c r="B271" s="119"/>
      <c r="C271" s="120"/>
      <c r="D271" s="120"/>
      <c r="E271" s="124" t="s">
        <v>328</v>
      </c>
      <c r="F271" s="126">
        <f t="shared" si="287"/>
        <v>2004000</v>
      </c>
      <c r="G271" s="126"/>
      <c r="H271" s="126"/>
      <c r="I271" s="126"/>
      <c r="J271" s="126"/>
      <c r="K271" s="126"/>
      <c r="L271" s="126"/>
      <c r="M271" s="126"/>
      <c r="N271" s="126"/>
      <c r="O271" s="126">
        <f>O270</f>
        <v>40000</v>
      </c>
      <c r="P271" s="126"/>
      <c r="Q271" s="126">
        <f t="shared" si="290"/>
        <v>16180</v>
      </c>
      <c r="R271" s="126">
        <f t="shared" si="293"/>
        <v>323600</v>
      </c>
      <c r="S271" s="126">
        <f t="shared" si="291"/>
        <v>80900</v>
      </c>
      <c r="T271" s="127">
        <f t="shared" si="288"/>
        <v>250000</v>
      </c>
      <c r="U271" s="122">
        <f t="shared" si="281"/>
        <v>2617600</v>
      </c>
      <c r="V271" s="333"/>
      <c r="W271" s="338">
        <f t="shared" si="292"/>
        <v>218140</v>
      </c>
      <c r="X271" s="128">
        <f t="shared" si="282"/>
        <v>117790</v>
      </c>
      <c r="Y271" s="128">
        <f t="shared" si="283"/>
        <v>79450</v>
      </c>
      <c r="Z271" s="128">
        <f t="shared" si="289"/>
        <v>5210</v>
      </c>
      <c r="AA271" s="128">
        <f t="shared" si="284"/>
        <v>23560</v>
      </c>
      <c r="AB271" s="128">
        <f t="shared" si="285"/>
        <v>20940</v>
      </c>
      <c r="AC271" s="129">
        <f t="shared" si="286"/>
        <v>465090</v>
      </c>
      <c r="AD271" s="619">
        <f t="shared" si="219"/>
        <v>2152510</v>
      </c>
    </row>
    <row r="272" spans="1:30" s="24" customFormat="1" ht="16.5" hidden="1" customHeight="1">
      <c r="A272" s="1150"/>
      <c r="B272" s="119"/>
      <c r="C272" s="120"/>
      <c r="D272" s="120"/>
      <c r="E272" s="124" t="s">
        <v>329</v>
      </c>
      <c r="F272" s="126">
        <f t="shared" si="287"/>
        <v>2004000</v>
      </c>
      <c r="G272" s="126"/>
      <c r="H272" s="126"/>
      <c r="I272" s="126"/>
      <c r="J272" s="126"/>
      <c r="K272" s="126"/>
      <c r="L272" s="126"/>
      <c r="M272" s="126"/>
      <c r="N272" s="126"/>
      <c r="O272" s="126">
        <f>O271</f>
        <v>40000</v>
      </c>
      <c r="P272" s="126"/>
      <c r="Q272" s="126">
        <f t="shared" si="290"/>
        <v>16180</v>
      </c>
      <c r="R272" s="126">
        <f t="shared" si="293"/>
        <v>323600</v>
      </c>
      <c r="S272" s="126">
        <f t="shared" si="291"/>
        <v>80900</v>
      </c>
      <c r="T272" s="127">
        <f t="shared" si="288"/>
        <v>250000</v>
      </c>
      <c r="U272" s="122">
        <f t="shared" si="281"/>
        <v>2617600</v>
      </c>
      <c r="V272" s="333"/>
      <c r="W272" s="338">
        <f t="shared" si="292"/>
        <v>218140</v>
      </c>
      <c r="X272" s="128">
        <f t="shared" si="282"/>
        <v>117790</v>
      </c>
      <c r="Y272" s="128">
        <f t="shared" si="283"/>
        <v>79450</v>
      </c>
      <c r="Z272" s="128">
        <f t="shared" si="289"/>
        <v>5210</v>
      </c>
      <c r="AA272" s="128">
        <f t="shared" si="284"/>
        <v>23560</v>
      </c>
      <c r="AB272" s="128">
        <f t="shared" si="285"/>
        <v>20940</v>
      </c>
      <c r="AC272" s="129">
        <f t="shared" si="286"/>
        <v>465090</v>
      </c>
      <c r="AD272" s="619">
        <f t="shared" si="219"/>
        <v>2152510</v>
      </c>
    </row>
    <row r="273" spans="1:30" s="24" customFormat="1" ht="16.5" hidden="1" customHeight="1">
      <c r="A273" s="1150"/>
      <c r="B273" s="119"/>
      <c r="C273" s="120"/>
      <c r="D273" s="120"/>
      <c r="E273" s="124" t="s">
        <v>330</v>
      </c>
      <c r="F273" s="126">
        <f t="shared" si="287"/>
        <v>2004000</v>
      </c>
      <c r="G273" s="126"/>
      <c r="H273" s="125"/>
      <c r="I273" s="127"/>
      <c r="J273" s="126"/>
      <c r="K273" s="126"/>
      <c r="L273" s="126"/>
      <c r="M273" s="126"/>
      <c r="N273" s="126"/>
      <c r="O273" s="126">
        <v>40000</v>
      </c>
      <c r="P273" s="126"/>
      <c r="Q273" s="126">
        <f t="shared" si="290"/>
        <v>16180</v>
      </c>
      <c r="R273" s="126">
        <f t="shared" si="293"/>
        <v>323600</v>
      </c>
      <c r="S273" s="126">
        <f t="shared" si="291"/>
        <v>80900</v>
      </c>
      <c r="T273" s="127">
        <f t="shared" si="288"/>
        <v>250000</v>
      </c>
      <c r="U273" s="122">
        <f t="shared" si="281"/>
        <v>2617600</v>
      </c>
      <c r="V273" s="333"/>
      <c r="W273" s="338">
        <f t="shared" si="292"/>
        <v>218140</v>
      </c>
      <c r="X273" s="128">
        <f t="shared" si="282"/>
        <v>117790</v>
      </c>
      <c r="Y273" s="128">
        <f t="shared" si="283"/>
        <v>79450</v>
      </c>
      <c r="Z273" s="128">
        <f t="shared" si="289"/>
        <v>5210</v>
      </c>
      <c r="AA273" s="128">
        <f t="shared" si="284"/>
        <v>23560</v>
      </c>
      <c r="AB273" s="128">
        <f t="shared" si="285"/>
        <v>20940</v>
      </c>
      <c r="AC273" s="129">
        <f t="shared" si="286"/>
        <v>465090</v>
      </c>
      <c r="AD273" s="619">
        <f t="shared" si="219"/>
        <v>2152510</v>
      </c>
    </row>
    <row r="274" spans="1:30" s="24" customFormat="1" ht="16.5" hidden="1" customHeight="1">
      <c r="A274" s="1150"/>
      <c r="B274" s="119"/>
      <c r="C274" s="120"/>
      <c r="D274" s="120"/>
      <c r="E274" s="124" t="s">
        <v>331</v>
      </c>
      <c r="F274" s="126">
        <f t="shared" si="287"/>
        <v>2004000</v>
      </c>
      <c r="G274" s="126"/>
      <c r="H274" s="126"/>
      <c r="I274" s="126"/>
      <c r="J274" s="126"/>
      <c r="K274" s="126"/>
      <c r="L274" s="126"/>
      <c r="M274" s="126"/>
      <c r="N274" s="126"/>
      <c r="O274" s="126">
        <f>O273</f>
        <v>40000</v>
      </c>
      <c r="P274" s="126"/>
      <c r="Q274" s="126">
        <f t="shared" si="290"/>
        <v>16180</v>
      </c>
      <c r="R274" s="126">
        <f t="shared" si="293"/>
        <v>323600</v>
      </c>
      <c r="S274" s="126">
        <f t="shared" si="291"/>
        <v>80900</v>
      </c>
      <c r="T274" s="127">
        <f t="shared" si="288"/>
        <v>250000</v>
      </c>
      <c r="U274" s="122">
        <f t="shared" si="281"/>
        <v>2617600</v>
      </c>
      <c r="V274" s="333"/>
      <c r="W274" s="338">
        <f t="shared" si="292"/>
        <v>218140</v>
      </c>
      <c r="X274" s="128">
        <f t="shared" si="282"/>
        <v>117790</v>
      </c>
      <c r="Y274" s="128">
        <f t="shared" si="283"/>
        <v>79450</v>
      </c>
      <c r="Z274" s="128">
        <f t="shared" si="289"/>
        <v>5210</v>
      </c>
      <c r="AA274" s="128">
        <f t="shared" si="284"/>
        <v>23560</v>
      </c>
      <c r="AB274" s="128">
        <f t="shared" si="285"/>
        <v>20940</v>
      </c>
      <c r="AC274" s="129">
        <f t="shared" si="286"/>
        <v>465090</v>
      </c>
      <c r="AD274" s="619">
        <f t="shared" si="219"/>
        <v>2152510</v>
      </c>
    </row>
    <row r="275" spans="1:30" s="24" customFormat="1" ht="16.5" hidden="1" customHeight="1">
      <c r="A275" s="1150"/>
      <c r="B275" s="119"/>
      <c r="C275" s="120"/>
      <c r="D275" s="120"/>
      <c r="E275" s="124" t="s">
        <v>62</v>
      </c>
      <c r="F275" s="126">
        <f t="shared" si="287"/>
        <v>2004000</v>
      </c>
      <c r="G275" s="126"/>
      <c r="H275" s="126"/>
      <c r="I275" s="126"/>
      <c r="J275" s="126"/>
      <c r="K275" s="126"/>
      <c r="L275" s="126"/>
      <c r="M275" s="126">
        <f>F275*60%</f>
        <v>1202400</v>
      </c>
      <c r="N275" s="126"/>
      <c r="O275" s="126">
        <f>O274</f>
        <v>40000</v>
      </c>
      <c r="P275" s="126"/>
      <c r="Q275" s="126">
        <f t="shared" si="290"/>
        <v>16180</v>
      </c>
      <c r="R275" s="126">
        <f t="shared" si="293"/>
        <v>323600</v>
      </c>
      <c r="S275" s="126">
        <f t="shared" si="291"/>
        <v>80900</v>
      </c>
      <c r="T275" s="127">
        <f t="shared" si="288"/>
        <v>250000</v>
      </c>
      <c r="U275" s="122">
        <f t="shared" si="281"/>
        <v>3820000</v>
      </c>
      <c r="V275" s="333"/>
      <c r="W275" s="338">
        <f t="shared" si="292"/>
        <v>318340</v>
      </c>
      <c r="X275" s="128">
        <f t="shared" si="282"/>
        <v>171900</v>
      </c>
      <c r="Y275" s="128">
        <f t="shared" si="283"/>
        <v>115940</v>
      </c>
      <c r="Z275" s="128">
        <f t="shared" si="289"/>
        <v>7600</v>
      </c>
      <c r="AA275" s="128">
        <f t="shared" si="284"/>
        <v>34380</v>
      </c>
      <c r="AB275" s="128">
        <f t="shared" si="285"/>
        <v>30560</v>
      </c>
      <c r="AC275" s="129">
        <f t="shared" si="286"/>
        <v>678720</v>
      </c>
      <c r="AD275" s="619">
        <f t="shared" si="219"/>
        <v>3141280</v>
      </c>
    </row>
    <row r="276" spans="1:30" s="24" customFormat="1" ht="16.5" hidden="1" customHeight="1">
      <c r="A276" s="1150"/>
      <c r="B276" s="119"/>
      <c r="C276" s="120"/>
      <c r="D276" s="120"/>
      <c r="E276" s="124" t="s">
        <v>63</v>
      </c>
      <c r="F276" s="126">
        <f t="shared" si="287"/>
        <v>2004000</v>
      </c>
      <c r="G276" s="126"/>
      <c r="H276" s="126"/>
      <c r="I276" s="126"/>
      <c r="J276" s="126"/>
      <c r="K276" s="126"/>
      <c r="L276" s="126"/>
      <c r="M276" s="126"/>
      <c r="N276" s="126"/>
      <c r="O276" s="126">
        <f>O275</f>
        <v>40000</v>
      </c>
      <c r="P276" s="126"/>
      <c r="Q276" s="126">
        <f t="shared" si="290"/>
        <v>16180</v>
      </c>
      <c r="R276" s="126">
        <f t="shared" si="293"/>
        <v>323600</v>
      </c>
      <c r="S276" s="126">
        <f t="shared" si="291"/>
        <v>80900</v>
      </c>
      <c r="T276" s="127">
        <f t="shared" si="288"/>
        <v>250000</v>
      </c>
      <c r="U276" s="122">
        <f t="shared" si="281"/>
        <v>2617600</v>
      </c>
      <c r="V276" s="333"/>
      <c r="W276" s="338">
        <f t="shared" si="292"/>
        <v>218140</v>
      </c>
      <c r="X276" s="128">
        <f t="shared" si="282"/>
        <v>117790</v>
      </c>
      <c r="Y276" s="128">
        <f t="shared" si="283"/>
        <v>79450</v>
      </c>
      <c r="Z276" s="128">
        <f t="shared" si="289"/>
        <v>5210</v>
      </c>
      <c r="AA276" s="128">
        <f t="shared" si="284"/>
        <v>23560</v>
      </c>
      <c r="AB276" s="128">
        <f t="shared" si="285"/>
        <v>20940</v>
      </c>
      <c r="AC276" s="129">
        <f t="shared" si="286"/>
        <v>465090</v>
      </c>
      <c r="AD276" s="619">
        <f t="shared" si="219"/>
        <v>2152510</v>
      </c>
    </row>
    <row r="277" spans="1:30" s="24" customFormat="1" ht="16.5" hidden="1" customHeight="1">
      <c r="A277" s="1150"/>
      <c r="B277" s="119"/>
      <c r="C277" s="120"/>
      <c r="D277" s="120"/>
      <c r="E277" s="124" t="s">
        <v>64</v>
      </c>
      <c r="F277" s="126">
        <f t="shared" si="287"/>
        <v>2004000</v>
      </c>
      <c r="G277" s="126"/>
      <c r="H277" s="126"/>
      <c r="I277" s="126"/>
      <c r="J277" s="126"/>
      <c r="K277" s="126"/>
      <c r="L277" s="126"/>
      <c r="M277" s="126"/>
      <c r="N277" s="126"/>
      <c r="O277" s="126">
        <f>O276</f>
        <v>40000</v>
      </c>
      <c r="P277" s="126"/>
      <c r="Q277" s="126">
        <f t="shared" si="290"/>
        <v>16180</v>
      </c>
      <c r="R277" s="126">
        <f t="shared" si="293"/>
        <v>323600</v>
      </c>
      <c r="S277" s="126">
        <f t="shared" si="291"/>
        <v>80900</v>
      </c>
      <c r="T277" s="127">
        <f t="shared" si="288"/>
        <v>250000</v>
      </c>
      <c r="U277" s="122">
        <f t="shared" si="281"/>
        <v>2617600</v>
      </c>
      <c r="V277" s="333"/>
      <c r="W277" s="338">
        <f t="shared" si="292"/>
        <v>218140</v>
      </c>
      <c r="X277" s="128">
        <f t="shared" si="282"/>
        <v>117790</v>
      </c>
      <c r="Y277" s="128">
        <f t="shared" si="283"/>
        <v>79450</v>
      </c>
      <c r="Z277" s="128">
        <f t="shared" si="289"/>
        <v>5210</v>
      </c>
      <c r="AA277" s="128">
        <f t="shared" si="284"/>
        <v>23560</v>
      </c>
      <c r="AB277" s="128">
        <f t="shared" si="285"/>
        <v>20940</v>
      </c>
      <c r="AC277" s="129">
        <f t="shared" si="286"/>
        <v>465090</v>
      </c>
      <c r="AD277" s="619">
        <f t="shared" ref="AD277:AD340" si="294">U277-AC277</f>
        <v>2152510</v>
      </c>
    </row>
    <row r="278" spans="1:30" s="24" customFormat="1" ht="16.5" hidden="1" customHeight="1">
      <c r="A278" s="1150"/>
      <c r="B278" s="119"/>
      <c r="C278" s="120">
        <v>9</v>
      </c>
      <c r="D278" s="120"/>
      <c r="E278" s="124" t="s">
        <v>332</v>
      </c>
      <c r="F278" s="591">
        <v>2022000</v>
      </c>
      <c r="G278" s="126"/>
      <c r="H278" s="126"/>
      <c r="I278" s="126"/>
      <c r="J278" s="126"/>
      <c r="K278" s="126"/>
      <c r="L278" s="126"/>
      <c r="M278" s="126"/>
      <c r="N278" s="126"/>
      <c r="O278" s="126">
        <f>O277</f>
        <v>40000</v>
      </c>
      <c r="P278" s="126"/>
      <c r="Q278" s="126">
        <f t="shared" si="290"/>
        <v>16180</v>
      </c>
      <c r="R278" s="126">
        <f>Q278*20*2</f>
        <v>647200</v>
      </c>
      <c r="S278" s="126">
        <f>(Q278*5)*2</f>
        <v>161800</v>
      </c>
      <c r="T278" s="127">
        <f t="shared" si="288"/>
        <v>250000</v>
      </c>
      <c r="U278" s="122">
        <f t="shared" si="281"/>
        <v>2959200</v>
      </c>
      <c r="V278" s="333"/>
      <c r="W278" s="338">
        <f t="shared" si="292"/>
        <v>246600</v>
      </c>
      <c r="X278" s="128">
        <f t="shared" si="282"/>
        <v>133160</v>
      </c>
      <c r="Y278" s="128">
        <f t="shared" si="283"/>
        <v>89820</v>
      </c>
      <c r="Z278" s="128">
        <f t="shared" si="289"/>
        <v>5890</v>
      </c>
      <c r="AA278" s="128">
        <f t="shared" si="284"/>
        <v>26630</v>
      </c>
      <c r="AB278" s="128">
        <f t="shared" si="285"/>
        <v>23670</v>
      </c>
      <c r="AC278" s="129">
        <f t="shared" si="286"/>
        <v>525770</v>
      </c>
      <c r="AD278" s="619">
        <f t="shared" si="294"/>
        <v>2433430</v>
      </c>
    </row>
    <row r="279" spans="1:30" s="24" customFormat="1" ht="17.25" hidden="1" customHeight="1">
      <c r="A279" s="1150">
        <v>22</v>
      </c>
      <c r="B279" s="119" t="s">
        <v>95</v>
      </c>
      <c r="C279" s="120" t="s">
        <v>663</v>
      </c>
      <c r="D279" s="120">
        <v>1</v>
      </c>
      <c r="E279" s="121" t="s">
        <v>94</v>
      </c>
      <c r="F279" s="122">
        <f t="shared" ref="F279:L279" si="295">SUM(F280:F291)</f>
        <v>22068000</v>
      </c>
      <c r="G279" s="122">
        <f t="shared" si="295"/>
        <v>0</v>
      </c>
      <c r="H279" s="122">
        <f t="shared" si="295"/>
        <v>0</v>
      </c>
      <c r="I279" s="122">
        <f t="shared" si="295"/>
        <v>0</v>
      </c>
      <c r="J279" s="122">
        <f t="shared" si="295"/>
        <v>0</v>
      </c>
      <c r="K279" s="122">
        <f t="shared" si="295"/>
        <v>0</v>
      </c>
      <c r="L279" s="122">
        <f t="shared" si="295"/>
        <v>0</v>
      </c>
      <c r="M279" s="122">
        <f>SUM(M280:M291)</f>
        <v>2206800</v>
      </c>
      <c r="N279" s="122">
        <f>SUM(N280:N291)</f>
        <v>0</v>
      </c>
      <c r="O279" s="122">
        <f>SUM(O280:O291)</f>
        <v>0</v>
      </c>
      <c r="P279" s="122"/>
      <c r="Q279" s="122"/>
      <c r="R279" s="122">
        <f>SUM(R280:R291)</f>
        <v>7111200</v>
      </c>
      <c r="S279" s="122">
        <f>SUM(S280:S291)</f>
        <v>0</v>
      </c>
      <c r="T279" s="122">
        <f>SUM(T280:T291)</f>
        <v>2700000</v>
      </c>
      <c r="U279" s="122">
        <f>SUM(U280:U291)</f>
        <v>34086000</v>
      </c>
      <c r="V279" s="333"/>
      <c r="W279" s="350">
        <f t="shared" ref="W279:AB279" si="296">SUM(W280:W291)</f>
        <v>2857200</v>
      </c>
      <c r="X279" s="122">
        <f t="shared" si="296"/>
        <v>1533900</v>
      </c>
      <c r="Y279" s="122">
        <f t="shared" si="296"/>
        <v>1034580</v>
      </c>
      <c r="Z279" s="122">
        <f t="shared" si="296"/>
        <v>67810</v>
      </c>
      <c r="AA279" s="122">
        <f t="shared" si="296"/>
        <v>306790</v>
      </c>
      <c r="AB279" s="122">
        <f t="shared" si="296"/>
        <v>272700</v>
      </c>
      <c r="AC279" s="123">
        <f>SUM(AC280:AC291)</f>
        <v>6072980</v>
      </c>
      <c r="AD279" s="618">
        <f t="shared" si="294"/>
        <v>28013020</v>
      </c>
    </row>
    <row r="280" spans="1:30" s="24" customFormat="1" ht="17.25" hidden="1" customHeight="1">
      <c r="A280" s="1150"/>
      <c r="B280" s="119" t="s">
        <v>549</v>
      </c>
      <c r="C280" s="120">
        <v>5</v>
      </c>
      <c r="D280" s="120"/>
      <c r="E280" s="124" t="s">
        <v>324</v>
      </c>
      <c r="F280" s="125">
        <v>1785000</v>
      </c>
      <c r="G280" s="126"/>
      <c r="H280" s="125"/>
      <c r="I280" s="125"/>
      <c r="J280" s="126"/>
      <c r="K280" s="126"/>
      <c r="L280" s="126"/>
      <c r="M280" s="126"/>
      <c r="N280" s="126"/>
      <c r="O280" s="126"/>
      <c r="P280" s="126"/>
      <c r="Q280" s="126"/>
      <c r="R280" s="126"/>
      <c r="S280" s="126"/>
      <c r="T280" s="127">
        <v>200000</v>
      </c>
      <c r="U280" s="122">
        <f>SUM(F280,M280,O280,R280,T280)</f>
        <v>1985000</v>
      </c>
      <c r="V280" s="333"/>
      <c r="W280" s="338">
        <f>ROUNDUP(U280*1/12,-1)</f>
        <v>165420</v>
      </c>
      <c r="X280" s="128">
        <f t="shared" ref="X280:X291" si="297">ROUND(U280*4.5%,-1)</f>
        <v>89330</v>
      </c>
      <c r="Y280" s="128">
        <f t="shared" ref="Y280:Y291" si="298">ROUNDUP((U280-L280)*3.035%,-1)</f>
        <v>60250</v>
      </c>
      <c r="Z280" s="128">
        <f t="shared" ref="Z280:Z291" si="299">ROUNDUP(Y280*6.55%,-1)</f>
        <v>3950</v>
      </c>
      <c r="AA280" s="128">
        <f t="shared" ref="AA280:AA291" si="300">ROUND(U280*0.9%,-1)</f>
        <v>17870</v>
      </c>
      <c r="AB280" s="128">
        <f t="shared" ref="AB280:AB291" si="301">ROUND(U280*0.8%,-1)</f>
        <v>15880</v>
      </c>
      <c r="AC280" s="129">
        <f t="shared" ref="AC280:AC291" si="302">SUM(W280:AB280)</f>
        <v>352700</v>
      </c>
      <c r="AD280" s="619">
        <f t="shared" si="294"/>
        <v>1632300</v>
      </c>
    </row>
    <row r="281" spans="1:30" s="24" customFormat="1" ht="17.25" hidden="1" customHeight="1">
      <c r="A281" s="1150"/>
      <c r="B281" s="119"/>
      <c r="C281" s="120"/>
      <c r="D281" s="120"/>
      <c r="E281" s="124" t="s">
        <v>325</v>
      </c>
      <c r="F281" s="126">
        <f>F280</f>
        <v>1785000</v>
      </c>
      <c r="G281" s="126"/>
      <c r="H281" s="126"/>
      <c r="I281" s="126"/>
      <c r="J281" s="126"/>
      <c r="K281" s="126"/>
      <c r="L281" s="126"/>
      <c r="M281" s="126">
        <f>F281*60%</f>
        <v>1071000</v>
      </c>
      <c r="N281" s="126"/>
      <c r="O281" s="126"/>
      <c r="P281" s="126"/>
      <c r="Q281" s="126">
        <f t="shared" ref="Q281:Q291" si="303">ROUND((F280+T280)*1/209*1.5,-1)</f>
        <v>14250</v>
      </c>
      <c r="R281" s="126">
        <f>Q281*40</f>
        <v>570000</v>
      </c>
      <c r="S281" s="126"/>
      <c r="T281" s="127">
        <f>T280</f>
        <v>200000</v>
      </c>
      <c r="U281" s="122">
        <f t="shared" ref="U281:U291" si="304">SUM(F281,M281,O281,R281,T281)</f>
        <v>3626000</v>
      </c>
      <c r="V281" s="333"/>
      <c r="W281" s="338">
        <f>ROUNDUP((T281+U281)*1/12,-1)</f>
        <v>318840</v>
      </c>
      <c r="X281" s="128">
        <f t="shared" si="297"/>
        <v>163170</v>
      </c>
      <c r="Y281" s="128">
        <f t="shared" si="298"/>
        <v>110050</v>
      </c>
      <c r="Z281" s="128">
        <f t="shared" si="299"/>
        <v>7210</v>
      </c>
      <c r="AA281" s="128">
        <f t="shared" si="300"/>
        <v>32630</v>
      </c>
      <c r="AB281" s="128">
        <f t="shared" si="301"/>
        <v>29010</v>
      </c>
      <c r="AC281" s="129">
        <f t="shared" si="302"/>
        <v>660910</v>
      </c>
      <c r="AD281" s="619">
        <f t="shared" si="294"/>
        <v>2965090</v>
      </c>
    </row>
    <row r="282" spans="1:30" s="24" customFormat="1" ht="17.25" hidden="1" customHeight="1">
      <c r="A282" s="1150"/>
      <c r="B282" s="119"/>
      <c r="C282" s="120"/>
      <c r="D282" s="120"/>
      <c r="E282" s="124" t="s">
        <v>326</v>
      </c>
      <c r="F282" s="126">
        <f>F281</f>
        <v>1785000</v>
      </c>
      <c r="G282" s="126"/>
      <c r="H282" s="126"/>
      <c r="I282" s="126"/>
      <c r="J282" s="126"/>
      <c r="K282" s="126"/>
      <c r="L282" s="126"/>
      <c r="M282" s="126"/>
      <c r="N282" s="126"/>
      <c r="O282" s="126"/>
      <c r="P282" s="126"/>
      <c r="Q282" s="126">
        <f t="shared" si="303"/>
        <v>14250</v>
      </c>
      <c r="R282" s="126">
        <f>Q282*40</f>
        <v>570000</v>
      </c>
      <c r="S282" s="126"/>
      <c r="T282" s="127">
        <f>T281</f>
        <v>200000</v>
      </c>
      <c r="U282" s="122">
        <f t="shared" si="304"/>
        <v>2555000</v>
      </c>
      <c r="V282" s="333"/>
      <c r="W282" s="338">
        <f t="shared" ref="W282:W291" si="305">ROUNDUP(U282*1/12,-1)</f>
        <v>212920</v>
      </c>
      <c r="X282" s="128">
        <f t="shared" si="297"/>
        <v>114980</v>
      </c>
      <c r="Y282" s="128">
        <f t="shared" si="298"/>
        <v>77550</v>
      </c>
      <c r="Z282" s="128">
        <f t="shared" si="299"/>
        <v>5080</v>
      </c>
      <c r="AA282" s="128">
        <f t="shared" si="300"/>
        <v>23000</v>
      </c>
      <c r="AB282" s="128">
        <f t="shared" si="301"/>
        <v>20440</v>
      </c>
      <c r="AC282" s="129">
        <f t="shared" si="302"/>
        <v>453970</v>
      </c>
      <c r="AD282" s="619">
        <f t="shared" si="294"/>
        <v>2101030</v>
      </c>
    </row>
    <row r="283" spans="1:30" s="24" customFormat="1" ht="17.25" hidden="1" customHeight="1">
      <c r="A283" s="1150"/>
      <c r="B283" s="119"/>
      <c r="C283" s="120"/>
      <c r="D283" s="120"/>
      <c r="E283" s="124" t="s">
        <v>327</v>
      </c>
      <c r="F283" s="126">
        <f>F282</f>
        <v>1785000</v>
      </c>
      <c r="G283" s="126"/>
      <c r="H283" s="126"/>
      <c r="I283" s="126"/>
      <c r="J283" s="126"/>
      <c r="K283" s="126"/>
      <c r="L283" s="126"/>
      <c r="M283" s="126"/>
      <c r="N283" s="126"/>
      <c r="O283" s="126"/>
      <c r="P283" s="126"/>
      <c r="Q283" s="126">
        <f t="shared" si="303"/>
        <v>14250</v>
      </c>
      <c r="R283" s="126">
        <f t="shared" ref="R283:R290" si="306">Q283*40</f>
        <v>570000</v>
      </c>
      <c r="S283" s="126"/>
      <c r="T283" s="127">
        <f>T282</f>
        <v>200000</v>
      </c>
      <c r="U283" s="122">
        <f t="shared" si="304"/>
        <v>2555000</v>
      </c>
      <c r="V283" s="333"/>
      <c r="W283" s="338">
        <f t="shared" si="305"/>
        <v>212920</v>
      </c>
      <c r="X283" s="128">
        <f t="shared" si="297"/>
        <v>114980</v>
      </c>
      <c r="Y283" s="128">
        <f t="shared" si="298"/>
        <v>77550</v>
      </c>
      <c r="Z283" s="128">
        <f t="shared" si="299"/>
        <v>5080</v>
      </c>
      <c r="AA283" s="128">
        <f t="shared" si="300"/>
        <v>23000</v>
      </c>
      <c r="AB283" s="128">
        <f t="shared" si="301"/>
        <v>20440</v>
      </c>
      <c r="AC283" s="129">
        <f t="shared" si="302"/>
        <v>453970</v>
      </c>
      <c r="AD283" s="619">
        <f t="shared" si="294"/>
        <v>2101030</v>
      </c>
    </row>
    <row r="284" spans="1:30" s="24" customFormat="1" ht="17.25" hidden="1" customHeight="1">
      <c r="A284" s="1150"/>
      <c r="B284" s="119"/>
      <c r="C284" s="120"/>
      <c r="D284" s="120"/>
      <c r="E284" s="124" t="s">
        <v>328</v>
      </c>
      <c r="F284" s="126">
        <f>F283</f>
        <v>1785000</v>
      </c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>
        <f t="shared" si="303"/>
        <v>14250</v>
      </c>
      <c r="R284" s="126">
        <f t="shared" si="306"/>
        <v>570000</v>
      </c>
      <c r="S284" s="126"/>
      <c r="T284" s="127">
        <f>T283</f>
        <v>200000</v>
      </c>
      <c r="U284" s="122">
        <f t="shared" si="304"/>
        <v>2555000</v>
      </c>
      <c r="V284" s="333"/>
      <c r="W284" s="338">
        <f t="shared" si="305"/>
        <v>212920</v>
      </c>
      <c r="X284" s="128">
        <f t="shared" si="297"/>
        <v>114980</v>
      </c>
      <c r="Y284" s="128">
        <f t="shared" si="298"/>
        <v>77550</v>
      </c>
      <c r="Z284" s="128">
        <f t="shared" si="299"/>
        <v>5080</v>
      </c>
      <c r="AA284" s="128">
        <f t="shared" si="300"/>
        <v>23000</v>
      </c>
      <c r="AB284" s="128">
        <f t="shared" si="301"/>
        <v>20440</v>
      </c>
      <c r="AC284" s="129">
        <f t="shared" si="302"/>
        <v>453970</v>
      </c>
      <c r="AD284" s="619">
        <f t="shared" si="294"/>
        <v>2101030</v>
      </c>
    </row>
    <row r="285" spans="1:30" s="24" customFormat="1" ht="17.25" hidden="1" customHeight="1">
      <c r="A285" s="1150"/>
      <c r="B285" s="119"/>
      <c r="C285" s="120"/>
      <c r="D285" s="120"/>
      <c r="E285" s="124" t="s">
        <v>329</v>
      </c>
      <c r="F285" s="126">
        <f>F284</f>
        <v>1785000</v>
      </c>
      <c r="G285" s="126"/>
      <c r="H285" s="126"/>
      <c r="I285" s="126"/>
      <c r="J285" s="126"/>
      <c r="K285" s="126"/>
      <c r="L285" s="126"/>
      <c r="M285" s="126"/>
      <c r="N285" s="126"/>
      <c r="O285" s="126"/>
      <c r="P285" s="126"/>
      <c r="Q285" s="126">
        <f t="shared" si="303"/>
        <v>14250</v>
      </c>
      <c r="R285" s="126">
        <f t="shared" si="306"/>
        <v>570000</v>
      </c>
      <c r="S285" s="126"/>
      <c r="T285" s="127">
        <f>T284</f>
        <v>200000</v>
      </c>
      <c r="U285" s="122">
        <f t="shared" si="304"/>
        <v>2555000</v>
      </c>
      <c r="V285" s="333"/>
      <c r="W285" s="338">
        <f t="shared" si="305"/>
        <v>212920</v>
      </c>
      <c r="X285" s="128">
        <f t="shared" si="297"/>
        <v>114980</v>
      </c>
      <c r="Y285" s="128">
        <f t="shared" si="298"/>
        <v>77550</v>
      </c>
      <c r="Z285" s="128">
        <f t="shared" si="299"/>
        <v>5080</v>
      </c>
      <c r="AA285" s="128">
        <f t="shared" si="300"/>
        <v>23000</v>
      </c>
      <c r="AB285" s="128">
        <f t="shared" si="301"/>
        <v>20440</v>
      </c>
      <c r="AC285" s="129">
        <f t="shared" si="302"/>
        <v>453970</v>
      </c>
      <c r="AD285" s="619">
        <f t="shared" si="294"/>
        <v>2101030</v>
      </c>
    </row>
    <row r="286" spans="1:30" s="24" customFormat="1" ht="17.25" hidden="1" customHeight="1">
      <c r="A286" s="1150"/>
      <c r="B286" s="119"/>
      <c r="C286" s="120">
        <v>6</v>
      </c>
      <c r="D286" s="120"/>
      <c r="E286" s="124" t="s">
        <v>330</v>
      </c>
      <c r="F286" s="125">
        <v>1893000</v>
      </c>
      <c r="G286" s="126"/>
      <c r="H286" s="125"/>
      <c r="I286" s="127"/>
      <c r="J286" s="126"/>
      <c r="K286" s="126"/>
      <c r="L286" s="126"/>
      <c r="M286" s="126"/>
      <c r="N286" s="126"/>
      <c r="O286" s="126"/>
      <c r="P286" s="126"/>
      <c r="Q286" s="126">
        <f t="shared" si="303"/>
        <v>14250</v>
      </c>
      <c r="R286" s="126">
        <f t="shared" si="306"/>
        <v>570000</v>
      </c>
      <c r="S286" s="126"/>
      <c r="T286" s="127">
        <v>250000</v>
      </c>
      <c r="U286" s="122">
        <f t="shared" si="304"/>
        <v>2713000</v>
      </c>
      <c r="V286" s="333"/>
      <c r="W286" s="338">
        <f t="shared" si="305"/>
        <v>226090</v>
      </c>
      <c r="X286" s="128">
        <f t="shared" si="297"/>
        <v>122090</v>
      </c>
      <c r="Y286" s="128">
        <f t="shared" si="298"/>
        <v>82340</v>
      </c>
      <c r="Z286" s="128">
        <f t="shared" si="299"/>
        <v>5400</v>
      </c>
      <c r="AA286" s="128">
        <f t="shared" si="300"/>
        <v>24420</v>
      </c>
      <c r="AB286" s="128">
        <f t="shared" si="301"/>
        <v>21700</v>
      </c>
      <c r="AC286" s="129">
        <f t="shared" si="302"/>
        <v>482040</v>
      </c>
      <c r="AD286" s="619">
        <f t="shared" si="294"/>
        <v>2230960</v>
      </c>
    </row>
    <row r="287" spans="1:30" s="24" customFormat="1" ht="17.25" hidden="1" customHeight="1">
      <c r="A287" s="1150"/>
      <c r="B287" s="119"/>
      <c r="C287" s="120"/>
      <c r="D287" s="120"/>
      <c r="E287" s="124" t="s">
        <v>331</v>
      </c>
      <c r="F287" s="126">
        <f>F286</f>
        <v>1893000</v>
      </c>
      <c r="G287" s="126"/>
      <c r="H287" s="126"/>
      <c r="I287" s="126"/>
      <c r="J287" s="126"/>
      <c r="K287" s="126"/>
      <c r="L287" s="126"/>
      <c r="M287" s="126"/>
      <c r="N287" s="126"/>
      <c r="O287" s="126"/>
      <c r="P287" s="126"/>
      <c r="Q287" s="126">
        <f t="shared" si="303"/>
        <v>15380</v>
      </c>
      <c r="R287" s="126">
        <f t="shared" si="306"/>
        <v>615200</v>
      </c>
      <c r="S287" s="126"/>
      <c r="T287" s="127">
        <f>T286</f>
        <v>250000</v>
      </c>
      <c r="U287" s="122">
        <f t="shared" si="304"/>
        <v>2758200</v>
      </c>
      <c r="V287" s="333"/>
      <c r="W287" s="338">
        <f t="shared" si="305"/>
        <v>229850</v>
      </c>
      <c r="X287" s="128">
        <f t="shared" si="297"/>
        <v>124120</v>
      </c>
      <c r="Y287" s="128">
        <f t="shared" si="298"/>
        <v>83720</v>
      </c>
      <c r="Z287" s="128">
        <f t="shared" si="299"/>
        <v>5490</v>
      </c>
      <c r="AA287" s="128">
        <f t="shared" si="300"/>
        <v>24820</v>
      </c>
      <c r="AB287" s="128">
        <f t="shared" si="301"/>
        <v>22070</v>
      </c>
      <c r="AC287" s="129">
        <f t="shared" si="302"/>
        <v>490070</v>
      </c>
      <c r="AD287" s="619">
        <f t="shared" si="294"/>
        <v>2268130</v>
      </c>
    </row>
    <row r="288" spans="1:30" s="24" customFormat="1" ht="17.25" hidden="1" customHeight="1">
      <c r="A288" s="1150"/>
      <c r="B288" s="119"/>
      <c r="C288" s="120"/>
      <c r="D288" s="120"/>
      <c r="E288" s="124" t="s">
        <v>62</v>
      </c>
      <c r="F288" s="126">
        <f>F287</f>
        <v>1893000</v>
      </c>
      <c r="G288" s="126"/>
      <c r="H288" s="126"/>
      <c r="I288" s="126"/>
      <c r="J288" s="126"/>
      <c r="K288" s="126"/>
      <c r="L288" s="126"/>
      <c r="M288" s="126">
        <f>F288*60%</f>
        <v>1135800</v>
      </c>
      <c r="N288" s="126"/>
      <c r="O288" s="126"/>
      <c r="P288" s="126"/>
      <c r="Q288" s="126">
        <f t="shared" si="303"/>
        <v>15380</v>
      </c>
      <c r="R288" s="126">
        <f t="shared" si="306"/>
        <v>615200</v>
      </c>
      <c r="S288" s="126"/>
      <c r="T288" s="127">
        <f>T287</f>
        <v>250000</v>
      </c>
      <c r="U288" s="122">
        <f t="shared" si="304"/>
        <v>3894000</v>
      </c>
      <c r="V288" s="333"/>
      <c r="W288" s="338">
        <f t="shared" si="305"/>
        <v>324500</v>
      </c>
      <c r="X288" s="128">
        <f t="shared" si="297"/>
        <v>175230</v>
      </c>
      <c r="Y288" s="128">
        <f t="shared" si="298"/>
        <v>118190</v>
      </c>
      <c r="Z288" s="128">
        <f t="shared" si="299"/>
        <v>7750</v>
      </c>
      <c r="AA288" s="128">
        <f t="shared" si="300"/>
        <v>35050</v>
      </c>
      <c r="AB288" s="128">
        <f t="shared" si="301"/>
        <v>31150</v>
      </c>
      <c r="AC288" s="129">
        <f t="shared" si="302"/>
        <v>691870</v>
      </c>
      <c r="AD288" s="619">
        <f t="shared" si="294"/>
        <v>3202130</v>
      </c>
    </row>
    <row r="289" spans="1:30" s="24" customFormat="1" ht="17.25" hidden="1" customHeight="1">
      <c r="A289" s="1150"/>
      <c r="B289" s="119"/>
      <c r="C289" s="120"/>
      <c r="D289" s="120"/>
      <c r="E289" s="124" t="s">
        <v>63</v>
      </c>
      <c r="F289" s="126">
        <f>F288</f>
        <v>1893000</v>
      </c>
      <c r="G289" s="126"/>
      <c r="H289" s="126"/>
      <c r="I289" s="126"/>
      <c r="J289" s="126"/>
      <c r="K289" s="126"/>
      <c r="L289" s="126"/>
      <c r="M289" s="126"/>
      <c r="N289" s="126"/>
      <c r="O289" s="126"/>
      <c r="P289" s="126"/>
      <c r="Q289" s="126">
        <f t="shared" si="303"/>
        <v>15380</v>
      </c>
      <c r="R289" s="126">
        <f t="shared" si="306"/>
        <v>615200</v>
      </c>
      <c r="S289" s="126"/>
      <c r="T289" s="127">
        <f>T288</f>
        <v>250000</v>
      </c>
      <c r="U289" s="122">
        <f t="shared" si="304"/>
        <v>2758200</v>
      </c>
      <c r="V289" s="333"/>
      <c r="W289" s="338">
        <f t="shared" si="305"/>
        <v>229850</v>
      </c>
      <c r="X289" s="128">
        <f t="shared" si="297"/>
        <v>124120</v>
      </c>
      <c r="Y289" s="128">
        <f t="shared" si="298"/>
        <v>83720</v>
      </c>
      <c r="Z289" s="128">
        <f t="shared" si="299"/>
        <v>5490</v>
      </c>
      <c r="AA289" s="128">
        <f t="shared" si="300"/>
        <v>24820</v>
      </c>
      <c r="AB289" s="128">
        <f t="shared" si="301"/>
        <v>22070</v>
      </c>
      <c r="AC289" s="129">
        <f t="shared" si="302"/>
        <v>490070</v>
      </c>
      <c r="AD289" s="619">
        <f t="shared" si="294"/>
        <v>2268130</v>
      </c>
    </row>
    <row r="290" spans="1:30" s="24" customFormat="1" ht="16.5" hidden="1" customHeight="1">
      <c r="A290" s="1150"/>
      <c r="B290" s="119"/>
      <c r="C290" s="120"/>
      <c r="D290" s="120"/>
      <c r="E290" s="124" t="s">
        <v>64</v>
      </c>
      <c r="F290" s="126">
        <f>F289</f>
        <v>1893000</v>
      </c>
      <c r="G290" s="126"/>
      <c r="H290" s="126"/>
      <c r="I290" s="126"/>
      <c r="J290" s="126"/>
      <c r="K290" s="126"/>
      <c r="L290" s="126"/>
      <c r="M290" s="126"/>
      <c r="N290" s="126"/>
      <c r="O290" s="126"/>
      <c r="P290" s="126"/>
      <c r="Q290" s="126">
        <f t="shared" si="303"/>
        <v>15380</v>
      </c>
      <c r="R290" s="126">
        <f t="shared" si="306"/>
        <v>615200</v>
      </c>
      <c r="S290" s="126"/>
      <c r="T290" s="127">
        <f>T289</f>
        <v>250000</v>
      </c>
      <c r="U290" s="122">
        <f t="shared" si="304"/>
        <v>2758200</v>
      </c>
      <c r="V290" s="333"/>
      <c r="W290" s="338">
        <f t="shared" si="305"/>
        <v>229850</v>
      </c>
      <c r="X290" s="128">
        <f t="shared" si="297"/>
        <v>124120</v>
      </c>
      <c r="Y290" s="128">
        <f t="shared" si="298"/>
        <v>83720</v>
      </c>
      <c r="Z290" s="128">
        <f t="shared" si="299"/>
        <v>5490</v>
      </c>
      <c r="AA290" s="128">
        <f t="shared" si="300"/>
        <v>24820</v>
      </c>
      <c r="AB290" s="128">
        <f t="shared" si="301"/>
        <v>22070</v>
      </c>
      <c r="AC290" s="129">
        <f t="shared" si="302"/>
        <v>490070</v>
      </c>
      <c r="AD290" s="619">
        <f t="shared" si="294"/>
        <v>2268130</v>
      </c>
    </row>
    <row r="291" spans="1:30" s="24" customFormat="1" ht="16.5" hidden="1" customHeight="1">
      <c r="A291" s="1150"/>
      <c r="B291" s="119"/>
      <c r="C291" s="120"/>
      <c r="D291" s="120"/>
      <c r="E291" s="124" t="s">
        <v>332</v>
      </c>
      <c r="F291" s="126">
        <f>F290</f>
        <v>1893000</v>
      </c>
      <c r="G291" s="126"/>
      <c r="H291" s="126"/>
      <c r="I291" s="126"/>
      <c r="J291" s="126"/>
      <c r="K291" s="126"/>
      <c r="L291" s="126"/>
      <c r="M291" s="126"/>
      <c r="N291" s="126"/>
      <c r="O291" s="126"/>
      <c r="P291" s="126"/>
      <c r="Q291" s="126">
        <f t="shared" si="303"/>
        <v>15380</v>
      </c>
      <c r="R291" s="126">
        <f>Q291*40*2</f>
        <v>1230400</v>
      </c>
      <c r="S291" s="126"/>
      <c r="T291" s="127">
        <f>T290</f>
        <v>250000</v>
      </c>
      <c r="U291" s="122">
        <f t="shared" si="304"/>
        <v>3373400</v>
      </c>
      <c r="V291" s="333"/>
      <c r="W291" s="338">
        <f t="shared" si="305"/>
        <v>281120</v>
      </c>
      <c r="X291" s="128">
        <f t="shared" si="297"/>
        <v>151800</v>
      </c>
      <c r="Y291" s="128">
        <f t="shared" si="298"/>
        <v>102390</v>
      </c>
      <c r="Z291" s="128">
        <f t="shared" si="299"/>
        <v>6710</v>
      </c>
      <c r="AA291" s="128">
        <f t="shared" si="300"/>
        <v>30360</v>
      </c>
      <c r="AB291" s="128">
        <f t="shared" si="301"/>
        <v>26990</v>
      </c>
      <c r="AC291" s="129">
        <f t="shared" si="302"/>
        <v>599370</v>
      </c>
      <c r="AD291" s="619">
        <f t="shared" si="294"/>
        <v>2774030</v>
      </c>
    </row>
    <row r="292" spans="1:30" s="24" customFormat="1" ht="16.5" hidden="1" customHeight="1">
      <c r="A292" s="1150">
        <v>23</v>
      </c>
      <c r="B292" s="119" t="s">
        <v>95</v>
      </c>
      <c r="C292" s="120" t="s">
        <v>662</v>
      </c>
      <c r="D292" s="120">
        <v>1</v>
      </c>
      <c r="E292" s="121" t="s">
        <v>94</v>
      </c>
      <c r="F292" s="122">
        <f t="shared" ref="F292:L292" si="307">SUM(F293:F304)</f>
        <v>24416000</v>
      </c>
      <c r="G292" s="122">
        <f t="shared" si="307"/>
        <v>0</v>
      </c>
      <c r="H292" s="122">
        <f t="shared" si="307"/>
        <v>0</v>
      </c>
      <c r="I292" s="122">
        <f t="shared" si="307"/>
        <v>0</v>
      </c>
      <c r="J292" s="122">
        <f t="shared" si="307"/>
        <v>0</v>
      </c>
      <c r="K292" s="122">
        <f t="shared" si="307"/>
        <v>0</v>
      </c>
      <c r="L292" s="122">
        <f t="shared" si="307"/>
        <v>0</v>
      </c>
      <c r="M292" s="122">
        <f>SUM(M293:M304)</f>
        <v>2426400</v>
      </c>
      <c r="N292" s="122">
        <f>SUM(N293:N304)</f>
        <v>0</v>
      </c>
      <c r="O292" s="122">
        <f>SUM(O293:O304)</f>
        <v>0</v>
      </c>
      <c r="P292" s="122"/>
      <c r="Q292" s="122"/>
      <c r="R292" s="122">
        <f>SUM(R293:R304)</f>
        <v>3936000</v>
      </c>
      <c r="S292" s="122">
        <f>SUM(S293:S304)</f>
        <v>984000</v>
      </c>
      <c r="T292" s="122">
        <f>SUM(T293:T304)</f>
        <v>3000000</v>
      </c>
      <c r="U292" s="122">
        <f>SUM(U293:U304)</f>
        <v>33778400</v>
      </c>
      <c r="V292" s="333"/>
      <c r="W292" s="350">
        <f t="shared" ref="W292:AB292" si="308">SUM(W293:W304)</f>
        <v>2835740</v>
      </c>
      <c r="X292" s="122">
        <f t="shared" si="308"/>
        <v>1520030</v>
      </c>
      <c r="Y292" s="122">
        <f t="shared" si="308"/>
        <v>1025230</v>
      </c>
      <c r="Z292" s="122">
        <f t="shared" si="308"/>
        <v>67200</v>
      </c>
      <c r="AA292" s="122">
        <f t="shared" si="308"/>
        <v>303980</v>
      </c>
      <c r="AB292" s="122">
        <f t="shared" si="308"/>
        <v>270260</v>
      </c>
      <c r="AC292" s="123">
        <f>SUM(AC293:AC304)</f>
        <v>6022440</v>
      </c>
      <c r="AD292" s="618">
        <f t="shared" si="294"/>
        <v>27755960</v>
      </c>
    </row>
    <row r="293" spans="1:30" s="24" customFormat="1" ht="16.5" hidden="1" customHeight="1">
      <c r="A293" s="1150"/>
      <c r="B293" s="119" t="s">
        <v>550</v>
      </c>
      <c r="C293" s="120">
        <v>9</v>
      </c>
      <c r="D293" s="120"/>
      <c r="E293" s="124" t="s">
        <v>324</v>
      </c>
      <c r="F293" s="125">
        <v>2022000</v>
      </c>
      <c r="G293" s="126"/>
      <c r="H293" s="125"/>
      <c r="I293" s="125"/>
      <c r="J293" s="126"/>
      <c r="K293" s="126"/>
      <c r="L293" s="126"/>
      <c r="M293" s="126"/>
      <c r="N293" s="126"/>
      <c r="O293" s="126"/>
      <c r="P293" s="126"/>
      <c r="Q293" s="126"/>
      <c r="R293" s="126"/>
      <c r="S293" s="126"/>
      <c r="T293" s="127">
        <v>250000</v>
      </c>
      <c r="U293" s="122">
        <f>SUM(F293,M293,O293,R293,T293)</f>
        <v>2272000</v>
      </c>
      <c r="V293" s="333"/>
      <c r="W293" s="338">
        <f>ROUNDUP(U293*1/12,-1)</f>
        <v>189340</v>
      </c>
      <c r="X293" s="128">
        <f t="shared" ref="X293:X304" si="309">ROUND(U293*4.5%,-1)</f>
        <v>102240</v>
      </c>
      <c r="Y293" s="128">
        <f t="shared" ref="Y293:Y304" si="310">ROUNDUP((U293-L293)*3.035%,-1)</f>
        <v>68960</v>
      </c>
      <c r="Z293" s="128">
        <f>ROUNDUP(Y293*6.55%,-1)</f>
        <v>4520</v>
      </c>
      <c r="AA293" s="128">
        <f t="shared" ref="AA293:AA304" si="311">ROUND(U293*0.9%,-1)</f>
        <v>20450</v>
      </c>
      <c r="AB293" s="128">
        <f t="shared" ref="AB293:AB304" si="312">ROUND(U293*0.8%,-1)</f>
        <v>18180</v>
      </c>
      <c r="AC293" s="129">
        <f t="shared" ref="AC293:AC304" si="313">SUM(W293:AB293)</f>
        <v>403690</v>
      </c>
      <c r="AD293" s="619">
        <f t="shared" si="294"/>
        <v>1868310</v>
      </c>
    </row>
    <row r="294" spans="1:30" s="24" customFormat="1" ht="16.5" hidden="1" customHeight="1">
      <c r="A294" s="1150"/>
      <c r="B294" s="119"/>
      <c r="C294" s="120"/>
      <c r="D294" s="120"/>
      <c r="E294" s="124" t="s">
        <v>325</v>
      </c>
      <c r="F294" s="126">
        <f t="shared" ref="F294:F304" si="314">F293</f>
        <v>2022000</v>
      </c>
      <c r="G294" s="126"/>
      <c r="H294" s="126"/>
      <c r="I294" s="126"/>
      <c r="J294" s="126"/>
      <c r="K294" s="126"/>
      <c r="L294" s="126"/>
      <c r="M294" s="126">
        <f>F294*60%</f>
        <v>1213200</v>
      </c>
      <c r="N294" s="126"/>
      <c r="O294" s="126">
        <f>O293</f>
        <v>0</v>
      </c>
      <c r="P294" s="126"/>
      <c r="Q294" s="126">
        <f>ROUND((F293+T293)*1/209*1.5,-1)</f>
        <v>16310</v>
      </c>
      <c r="R294" s="126">
        <f>Q294*20</f>
        <v>326200</v>
      </c>
      <c r="S294" s="126">
        <f>Q294*5</f>
        <v>81550</v>
      </c>
      <c r="T294" s="127">
        <v>250000</v>
      </c>
      <c r="U294" s="122">
        <f t="shared" ref="U294:U304" si="315">SUM(F294,M294,O294,R294,T294)</f>
        <v>3811400</v>
      </c>
      <c r="V294" s="333"/>
      <c r="W294" s="338">
        <f>ROUNDUP((T294+U294)*1/12,-1)</f>
        <v>338450</v>
      </c>
      <c r="X294" s="128">
        <f t="shared" si="309"/>
        <v>171510</v>
      </c>
      <c r="Y294" s="128">
        <f t="shared" si="310"/>
        <v>115680</v>
      </c>
      <c r="Z294" s="128">
        <f t="shared" ref="Z294:Z304" si="316">ROUNDUP(Y294*6.55%,-1)</f>
        <v>7580</v>
      </c>
      <c r="AA294" s="128">
        <f t="shared" si="311"/>
        <v>34300</v>
      </c>
      <c r="AB294" s="128">
        <f t="shared" si="312"/>
        <v>30490</v>
      </c>
      <c r="AC294" s="129">
        <f t="shared" si="313"/>
        <v>698010</v>
      </c>
      <c r="AD294" s="619">
        <f t="shared" si="294"/>
        <v>3113390</v>
      </c>
    </row>
    <row r="295" spans="1:30" s="24" customFormat="1" ht="16.5" hidden="1" customHeight="1">
      <c r="A295" s="1150"/>
      <c r="B295" s="119"/>
      <c r="C295" s="120"/>
      <c r="D295" s="120"/>
      <c r="E295" s="124" t="s">
        <v>326</v>
      </c>
      <c r="F295" s="126">
        <f t="shared" si="314"/>
        <v>2022000</v>
      </c>
      <c r="G295" s="126"/>
      <c r="H295" s="126"/>
      <c r="I295" s="126"/>
      <c r="J295" s="126"/>
      <c r="K295" s="126"/>
      <c r="L295" s="126"/>
      <c r="M295" s="126"/>
      <c r="N295" s="126"/>
      <c r="O295" s="126">
        <f>O294</f>
        <v>0</v>
      </c>
      <c r="P295" s="126"/>
      <c r="Q295" s="126">
        <f t="shared" ref="Q295:Q304" si="317">ROUND((F294+T294)*1/209*1.5,-1)</f>
        <v>16310</v>
      </c>
      <c r="R295" s="126">
        <f>Q295*20</f>
        <v>326200</v>
      </c>
      <c r="S295" s="126">
        <f t="shared" ref="S295:S303" si="318">Q295*5</f>
        <v>81550</v>
      </c>
      <c r="T295" s="127">
        <f t="shared" ref="T295:T304" si="319">T294</f>
        <v>250000</v>
      </c>
      <c r="U295" s="122">
        <f t="shared" si="315"/>
        <v>2598200</v>
      </c>
      <c r="V295" s="333"/>
      <c r="W295" s="338">
        <f t="shared" ref="W295:W304" si="320">ROUNDUP(U295*1/12,-1)</f>
        <v>216520</v>
      </c>
      <c r="X295" s="128">
        <f t="shared" si="309"/>
        <v>116920</v>
      </c>
      <c r="Y295" s="128">
        <f t="shared" si="310"/>
        <v>78860</v>
      </c>
      <c r="Z295" s="128">
        <f t="shared" si="316"/>
        <v>5170</v>
      </c>
      <c r="AA295" s="128">
        <f t="shared" si="311"/>
        <v>23380</v>
      </c>
      <c r="AB295" s="128">
        <f t="shared" si="312"/>
        <v>20790</v>
      </c>
      <c r="AC295" s="129">
        <f t="shared" si="313"/>
        <v>461640</v>
      </c>
      <c r="AD295" s="619">
        <f t="shared" si="294"/>
        <v>2136560</v>
      </c>
    </row>
    <row r="296" spans="1:30" s="24" customFormat="1" ht="16.5" hidden="1" customHeight="1">
      <c r="A296" s="1150"/>
      <c r="B296" s="119"/>
      <c r="C296" s="120"/>
      <c r="D296" s="120"/>
      <c r="E296" s="124" t="s">
        <v>327</v>
      </c>
      <c r="F296" s="126">
        <f t="shared" si="314"/>
        <v>2022000</v>
      </c>
      <c r="G296" s="126"/>
      <c r="H296" s="126"/>
      <c r="I296" s="126"/>
      <c r="J296" s="126"/>
      <c r="K296" s="126"/>
      <c r="L296" s="126"/>
      <c r="M296" s="126"/>
      <c r="N296" s="126"/>
      <c r="O296" s="126">
        <f>O295</f>
        <v>0</v>
      </c>
      <c r="P296" s="126"/>
      <c r="Q296" s="126">
        <f t="shared" si="317"/>
        <v>16310</v>
      </c>
      <c r="R296" s="126">
        <f t="shared" ref="R296:R303" si="321">Q296*20</f>
        <v>326200</v>
      </c>
      <c r="S296" s="126">
        <f t="shared" si="318"/>
        <v>81550</v>
      </c>
      <c r="T296" s="127">
        <f t="shared" si="319"/>
        <v>250000</v>
      </c>
      <c r="U296" s="122">
        <f t="shared" si="315"/>
        <v>2598200</v>
      </c>
      <c r="V296" s="333"/>
      <c r="W296" s="338">
        <f t="shared" si="320"/>
        <v>216520</v>
      </c>
      <c r="X296" s="128">
        <f t="shared" si="309"/>
        <v>116920</v>
      </c>
      <c r="Y296" s="128">
        <f t="shared" si="310"/>
        <v>78860</v>
      </c>
      <c r="Z296" s="128">
        <f t="shared" si="316"/>
        <v>5170</v>
      </c>
      <c r="AA296" s="128">
        <f t="shared" si="311"/>
        <v>23380</v>
      </c>
      <c r="AB296" s="128">
        <f t="shared" si="312"/>
        <v>20790</v>
      </c>
      <c r="AC296" s="129">
        <f t="shared" si="313"/>
        <v>461640</v>
      </c>
      <c r="AD296" s="619">
        <f t="shared" si="294"/>
        <v>2136560</v>
      </c>
    </row>
    <row r="297" spans="1:30" s="24" customFormat="1" ht="16.5" hidden="1" customHeight="1">
      <c r="A297" s="1150"/>
      <c r="B297" s="119"/>
      <c r="C297" s="120"/>
      <c r="D297" s="120"/>
      <c r="E297" s="124" t="s">
        <v>328</v>
      </c>
      <c r="F297" s="126">
        <f t="shared" si="314"/>
        <v>2022000</v>
      </c>
      <c r="G297" s="126"/>
      <c r="H297" s="126"/>
      <c r="I297" s="126"/>
      <c r="J297" s="126"/>
      <c r="K297" s="126"/>
      <c r="L297" s="126"/>
      <c r="M297" s="126"/>
      <c r="N297" s="126"/>
      <c r="O297" s="126">
        <f>O296</f>
        <v>0</v>
      </c>
      <c r="P297" s="126"/>
      <c r="Q297" s="126">
        <f t="shared" si="317"/>
        <v>16310</v>
      </c>
      <c r="R297" s="126">
        <f t="shared" si="321"/>
        <v>326200</v>
      </c>
      <c r="S297" s="126">
        <f t="shared" si="318"/>
        <v>81550</v>
      </c>
      <c r="T297" s="127">
        <f t="shared" si="319"/>
        <v>250000</v>
      </c>
      <c r="U297" s="122">
        <f t="shared" si="315"/>
        <v>2598200</v>
      </c>
      <c r="V297" s="333"/>
      <c r="W297" s="338">
        <f t="shared" si="320"/>
        <v>216520</v>
      </c>
      <c r="X297" s="128">
        <f t="shared" si="309"/>
        <v>116920</v>
      </c>
      <c r="Y297" s="128">
        <f t="shared" si="310"/>
        <v>78860</v>
      </c>
      <c r="Z297" s="128">
        <f t="shared" si="316"/>
        <v>5170</v>
      </c>
      <c r="AA297" s="128">
        <f t="shared" si="311"/>
        <v>23380</v>
      </c>
      <c r="AB297" s="128">
        <f t="shared" si="312"/>
        <v>20790</v>
      </c>
      <c r="AC297" s="129">
        <f t="shared" si="313"/>
        <v>461640</v>
      </c>
      <c r="AD297" s="619">
        <f t="shared" si="294"/>
        <v>2136560</v>
      </c>
    </row>
    <row r="298" spans="1:30" s="24" customFormat="1" ht="16.5" hidden="1" customHeight="1">
      <c r="A298" s="1150"/>
      <c r="B298" s="119"/>
      <c r="C298" s="120"/>
      <c r="D298" s="120"/>
      <c r="E298" s="124" t="s">
        <v>329</v>
      </c>
      <c r="F298" s="126">
        <f t="shared" si="314"/>
        <v>2022000</v>
      </c>
      <c r="G298" s="126"/>
      <c r="H298" s="126"/>
      <c r="I298" s="126"/>
      <c r="J298" s="126"/>
      <c r="K298" s="126"/>
      <c r="L298" s="126"/>
      <c r="M298" s="126"/>
      <c r="N298" s="126"/>
      <c r="O298" s="126">
        <f>O297</f>
        <v>0</v>
      </c>
      <c r="P298" s="126"/>
      <c r="Q298" s="126">
        <f t="shared" si="317"/>
        <v>16310</v>
      </c>
      <c r="R298" s="126">
        <f t="shared" si="321"/>
        <v>326200</v>
      </c>
      <c r="S298" s="126">
        <f t="shared" si="318"/>
        <v>81550</v>
      </c>
      <c r="T298" s="127">
        <f t="shared" si="319"/>
        <v>250000</v>
      </c>
      <c r="U298" s="122">
        <f t="shared" si="315"/>
        <v>2598200</v>
      </c>
      <c r="V298" s="333"/>
      <c r="W298" s="338">
        <f t="shared" si="320"/>
        <v>216520</v>
      </c>
      <c r="X298" s="128">
        <f t="shared" si="309"/>
        <v>116920</v>
      </c>
      <c r="Y298" s="128">
        <f t="shared" si="310"/>
        <v>78860</v>
      </c>
      <c r="Z298" s="128">
        <f t="shared" si="316"/>
        <v>5170</v>
      </c>
      <c r="AA298" s="128">
        <f t="shared" si="311"/>
        <v>23380</v>
      </c>
      <c r="AB298" s="128">
        <f t="shared" si="312"/>
        <v>20790</v>
      </c>
      <c r="AC298" s="129">
        <f t="shared" si="313"/>
        <v>461640</v>
      </c>
      <c r="AD298" s="619">
        <f t="shared" si="294"/>
        <v>2136560</v>
      </c>
    </row>
    <row r="299" spans="1:30" s="24" customFormat="1" ht="16.5" hidden="1" customHeight="1">
      <c r="A299" s="1150"/>
      <c r="B299" s="119"/>
      <c r="C299" s="120"/>
      <c r="D299" s="120"/>
      <c r="E299" s="124" t="s">
        <v>330</v>
      </c>
      <c r="F299" s="126">
        <f t="shared" si="314"/>
        <v>2022000</v>
      </c>
      <c r="G299" s="126"/>
      <c r="H299" s="125"/>
      <c r="I299" s="127"/>
      <c r="J299" s="126"/>
      <c r="K299" s="126"/>
      <c r="L299" s="126"/>
      <c r="M299" s="126"/>
      <c r="N299" s="126"/>
      <c r="O299" s="126"/>
      <c r="P299" s="126"/>
      <c r="Q299" s="126">
        <f t="shared" si="317"/>
        <v>16310</v>
      </c>
      <c r="R299" s="126">
        <f t="shared" si="321"/>
        <v>326200</v>
      </c>
      <c r="S299" s="126">
        <f t="shared" si="318"/>
        <v>81550</v>
      </c>
      <c r="T299" s="127">
        <f t="shared" si="319"/>
        <v>250000</v>
      </c>
      <c r="U299" s="122">
        <f t="shared" si="315"/>
        <v>2598200</v>
      </c>
      <c r="V299" s="333"/>
      <c r="W299" s="338">
        <f t="shared" si="320"/>
        <v>216520</v>
      </c>
      <c r="X299" s="128">
        <f t="shared" si="309"/>
        <v>116920</v>
      </c>
      <c r="Y299" s="128">
        <f t="shared" si="310"/>
        <v>78860</v>
      </c>
      <c r="Z299" s="128">
        <f t="shared" si="316"/>
        <v>5170</v>
      </c>
      <c r="AA299" s="128">
        <f t="shared" si="311"/>
        <v>23380</v>
      </c>
      <c r="AB299" s="128">
        <f t="shared" si="312"/>
        <v>20790</v>
      </c>
      <c r="AC299" s="129">
        <f t="shared" si="313"/>
        <v>461640</v>
      </c>
      <c r="AD299" s="619">
        <f t="shared" si="294"/>
        <v>2136560</v>
      </c>
    </row>
    <row r="300" spans="1:30" s="24" customFormat="1" ht="16.5" hidden="1" customHeight="1">
      <c r="A300" s="1150"/>
      <c r="B300" s="119"/>
      <c r="C300" s="120"/>
      <c r="D300" s="120"/>
      <c r="E300" s="124" t="s">
        <v>331</v>
      </c>
      <c r="F300" s="126">
        <f t="shared" si="314"/>
        <v>2022000</v>
      </c>
      <c r="G300" s="126"/>
      <c r="H300" s="126"/>
      <c r="I300" s="126"/>
      <c r="J300" s="126"/>
      <c r="K300" s="126"/>
      <c r="L300" s="126"/>
      <c r="M300" s="126"/>
      <c r="N300" s="126"/>
      <c r="O300" s="126"/>
      <c r="P300" s="126"/>
      <c r="Q300" s="126">
        <f t="shared" si="317"/>
        <v>16310</v>
      </c>
      <c r="R300" s="126">
        <f t="shared" si="321"/>
        <v>326200</v>
      </c>
      <c r="S300" s="126">
        <f t="shared" si="318"/>
        <v>81550</v>
      </c>
      <c r="T300" s="127">
        <f t="shared" si="319"/>
        <v>250000</v>
      </c>
      <c r="U300" s="122">
        <f t="shared" si="315"/>
        <v>2598200</v>
      </c>
      <c r="V300" s="333"/>
      <c r="W300" s="338">
        <f t="shared" si="320"/>
        <v>216520</v>
      </c>
      <c r="X300" s="128">
        <f t="shared" si="309"/>
        <v>116920</v>
      </c>
      <c r="Y300" s="128">
        <f t="shared" si="310"/>
        <v>78860</v>
      </c>
      <c r="Z300" s="128">
        <f t="shared" si="316"/>
        <v>5170</v>
      </c>
      <c r="AA300" s="128">
        <f t="shared" si="311"/>
        <v>23380</v>
      </c>
      <c r="AB300" s="128">
        <f t="shared" si="312"/>
        <v>20790</v>
      </c>
      <c r="AC300" s="129">
        <f t="shared" si="313"/>
        <v>461640</v>
      </c>
      <c r="AD300" s="619">
        <f t="shared" si="294"/>
        <v>2136560</v>
      </c>
    </row>
    <row r="301" spans="1:30" s="24" customFormat="1" ht="16.5" hidden="1" customHeight="1">
      <c r="A301" s="1150"/>
      <c r="B301" s="119"/>
      <c r="C301" s="120"/>
      <c r="D301" s="120"/>
      <c r="E301" s="124" t="s">
        <v>62</v>
      </c>
      <c r="F301" s="126">
        <f t="shared" si="314"/>
        <v>2022000</v>
      </c>
      <c r="G301" s="126"/>
      <c r="H301" s="126"/>
      <c r="I301" s="126"/>
      <c r="J301" s="126"/>
      <c r="K301" s="126"/>
      <c r="L301" s="126"/>
      <c r="M301" s="126">
        <f>F301*60%</f>
        <v>1213200</v>
      </c>
      <c r="N301" s="126"/>
      <c r="O301" s="126"/>
      <c r="P301" s="126"/>
      <c r="Q301" s="126">
        <f t="shared" si="317"/>
        <v>16310</v>
      </c>
      <c r="R301" s="126">
        <f t="shared" si="321"/>
        <v>326200</v>
      </c>
      <c r="S301" s="126">
        <f t="shared" si="318"/>
        <v>81550</v>
      </c>
      <c r="T301" s="127">
        <f t="shared" si="319"/>
        <v>250000</v>
      </c>
      <c r="U301" s="122">
        <f t="shared" si="315"/>
        <v>3811400</v>
      </c>
      <c r="V301" s="333"/>
      <c r="W301" s="338">
        <f t="shared" si="320"/>
        <v>317620</v>
      </c>
      <c r="X301" s="128">
        <f t="shared" si="309"/>
        <v>171510</v>
      </c>
      <c r="Y301" s="128">
        <f t="shared" si="310"/>
        <v>115680</v>
      </c>
      <c r="Z301" s="128">
        <f t="shared" si="316"/>
        <v>7580</v>
      </c>
      <c r="AA301" s="128">
        <f t="shared" si="311"/>
        <v>34300</v>
      </c>
      <c r="AB301" s="128">
        <f t="shared" si="312"/>
        <v>30490</v>
      </c>
      <c r="AC301" s="129">
        <f t="shared" si="313"/>
        <v>677180</v>
      </c>
      <c r="AD301" s="619">
        <f t="shared" si="294"/>
        <v>3134220</v>
      </c>
    </row>
    <row r="302" spans="1:30" s="24" customFormat="1" ht="16.5" hidden="1" customHeight="1">
      <c r="A302" s="1150"/>
      <c r="B302" s="119"/>
      <c r="C302" s="120"/>
      <c r="D302" s="120"/>
      <c r="E302" s="124" t="s">
        <v>63</v>
      </c>
      <c r="F302" s="126">
        <f t="shared" si="314"/>
        <v>2022000</v>
      </c>
      <c r="G302" s="126"/>
      <c r="H302" s="126"/>
      <c r="I302" s="126"/>
      <c r="J302" s="126"/>
      <c r="K302" s="126"/>
      <c r="L302" s="126"/>
      <c r="M302" s="126"/>
      <c r="N302" s="126"/>
      <c r="O302" s="126"/>
      <c r="P302" s="126"/>
      <c r="Q302" s="126">
        <f t="shared" si="317"/>
        <v>16310</v>
      </c>
      <c r="R302" s="126">
        <f t="shared" si="321"/>
        <v>326200</v>
      </c>
      <c r="S302" s="126">
        <f t="shared" si="318"/>
        <v>81550</v>
      </c>
      <c r="T302" s="127">
        <f t="shared" si="319"/>
        <v>250000</v>
      </c>
      <c r="U302" s="122">
        <f t="shared" si="315"/>
        <v>2598200</v>
      </c>
      <c r="V302" s="333"/>
      <c r="W302" s="338">
        <f t="shared" si="320"/>
        <v>216520</v>
      </c>
      <c r="X302" s="128">
        <f t="shared" si="309"/>
        <v>116920</v>
      </c>
      <c r="Y302" s="128">
        <f t="shared" si="310"/>
        <v>78860</v>
      </c>
      <c r="Z302" s="128">
        <f t="shared" si="316"/>
        <v>5170</v>
      </c>
      <c r="AA302" s="128">
        <f t="shared" si="311"/>
        <v>23380</v>
      </c>
      <c r="AB302" s="128">
        <f t="shared" si="312"/>
        <v>20790</v>
      </c>
      <c r="AC302" s="129">
        <f t="shared" si="313"/>
        <v>461640</v>
      </c>
      <c r="AD302" s="619">
        <f t="shared" si="294"/>
        <v>2136560</v>
      </c>
    </row>
    <row r="303" spans="1:30" s="24" customFormat="1" ht="16.5" hidden="1" customHeight="1">
      <c r="A303" s="1150"/>
      <c r="B303" s="119"/>
      <c r="C303" s="120">
        <v>10</v>
      </c>
      <c r="D303" s="120"/>
      <c r="E303" s="124" t="s">
        <v>64</v>
      </c>
      <c r="F303" s="591">
        <v>2098000</v>
      </c>
      <c r="G303" s="126"/>
      <c r="H303" s="126"/>
      <c r="I303" s="126"/>
      <c r="J303" s="126"/>
      <c r="K303" s="126"/>
      <c r="L303" s="126"/>
      <c r="M303" s="126"/>
      <c r="N303" s="126"/>
      <c r="O303" s="126"/>
      <c r="P303" s="126"/>
      <c r="Q303" s="126">
        <f t="shared" si="317"/>
        <v>16310</v>
      </c>
      <c r="R303" s="126">
        <f t="shared" si="321"/>
        <v>326200</v>
      </c>
      <c r="S303" s="126">
        <f t="shared" si="318"/>
        <v>81550</v>
      </c>
      <c r="T303" s="127">
        <f t="shared" si="319"/>
        <v>250000</v>
      </c>
      <c r="U303" s="122">
        <f t="shared" si="315"/>
        <v>2674200</v>
      </c>
      <c r="V303" s="333"/>
      <c r="W303" s="338">
        <f t="shared" si="320"/>
        <v>222850</v>
      </c>
      <c r="X303" s="128">
        <f t="shared" si="309"/>
        <v>120340</v>
      </c>
      <c r="Y303" s="128">
        <f t="shared" si="310"/>
        <v>81170</v>
      </c>
      <c r="Z303" s="128">
        <f t="shared" si="316"/>
        <v>5320</v>
      </c>
      <c r="AA303" s="128">
        <f t="shared" si="311"/>
        <v>24070</v>
      </c>
      <c r="AB303" s="128">
        <f t="shared" si="312"/>
        <v>21390</v>
      </c>
      <c r="AC303" s="129">
        <f t="shared" si="313"/>
        <v>475140</v>
      </c>
      <c r="AD303" s="619">
        <f t="shared" si="294"/>
        <v>2199060</v>
      </c>
    </row>
    <row r="304" spans="1:30" s="24" customFormat="1" ht="16.5" hidden="1" customHeight="1">
      <c r="A304" s="1150"/>
      <c r="B304" s="119"/>
      <c r="C304" s="120"/>
      <c r="D304" s="120"/>
      <c r="E304" s="124" t="s">
        <v>332</v>
      </c>
      <c r="F304" s="126">
        <f t="shared" si="314"/>
        <v>2098000</v>
      </c>
      <c r="G304" s="126"/>
      <c r="H304" s="126"/>
      <c r="I304" s="126"/>
      <c r="J304" s="126"/>
      <c r="K304" s="126"/>
      <c r="L304" s="126"/>
      <c r="M304" s="126"/>
      <c r="N304" s="126"/>
      <c r="O304" s="126"/>
      <c r="P304" s="126"/>
      <c r="Q304" s="126">
        <f t="shared" si="317"/>
        <v>16850</v>
      </c>
      <c r="R304" s="126">
        <f>Q304*20*2</f>
        <v>674000</v>
      </c>
      <c r="S304" s="126">
        <f>(Q304*5)*2</f>
        <v>168500</v>
      </c>
      <c r="T304" s="127">
        <f t="shared" si="319"/>
        <v>250000</v>
      </c>
      <c r="U304" s="122">
        <f t="shared" si="315"/>
        <v>3022000</v>
      </c>
      <c r="V304" s="333"/>
      <c r="W304" s="338">
        <f t="shared" si="320"/>
        <v>251840</v>
      </c>
      <c r="X304" s="128">
        <f t="shared" si="309"/>
        <v>135990</v>
      </c>
      <c r="Y304" s="128">
        <f t="shared" si="310"/>
        <v>91720</v>
      </c>
      <c r="Z304" s="128">
        <f t="shared" si="316"/>
        <v>6010</v>
      </c>
      <c r="AA304" s="128">
        <f t="shared" si="311"/>
        <v>27200</v>
      </c>
      <c r="AB304" s="128">
        <f t="shared" si="312"/>
        <v>24180</v>
      </c>
      <c r="AC304" s="129">
        <f t="shared" si="313"/>
        <v>536940</v>
      </c>
      <c r="AD304" s="619">
        <f t="shared" si="294"/>
        <v>2485060</v>
      </c>
    </row>
    <row r="305" spans="1:31" s="24" customFormat="1" ht="16.5" hidden="1" customHeight="1">
      <c r="A305" s="1150">
        <v>24</v>
      </c>
      <c r="B305" s="119" t="s">
        <v>95</v>
      </c>
      <c r="C305" s="120" t="s">
        <v>663</v>
      </c>
      <c r="D305" s="120">
        <v>1</v>
      </c>
      <c r="E305" s="121" t="s">
        <v>94</v>
      </c>
      <c r="F305" s="122">
        <f t="shared" ref="F305:L305" si="322">SUM(F306:F317)</f>
        <v>21852000</v>
      </c>
      <c r="G305" s="122">
        <f t="shared" si="322"/>
        <v>0</v>
      </c>
      <c r="H305" s="122">
        <f t="shared" si="322"/>
        <v>0</v>
      </c>
      <c r="I305" s="122">
        <f t="shared" si="322"/>
        <v>0</v>
      </c>
      <c r="J305" s="122">
        <f t="shared" si="322"/>
        <v>0</v>
      </c>
      <c r="K305" s="122">
        <f t="shared" si="322"/>
        <v>0</v>
      </c>
      <c r="L305" s="122">
        <f t="shared" si="322"/>
        <v>0</v>
      </c>
      <c r="M305" s="122">
        <f>SUM(M306:M317)</f>
        <v>2206800</v>
      </c>
      <c r="N305" s="122">
        <f>SUM(N306:N317)</f>
        <v>0</v>
      </c>
      <c r="O305" s="122">
        <f>SUM(O306:O317)</f>
        <v>240000</v>
      </c>
      <c r="P305" s="122"/>
      <c r="Q305" s="122"/>
      <c r="R305" s="122">
        <f>SUM(R306:R317)</f>
        <v>7020800</v>
      </c>
      <c r="S305" s="122">
        <f>SUM(S306:S317)</f>
        <v>0</v>
      </c>
      <c r="T305" s="122">
        <f>SUM(T306:T317)</f>
        <v>2600000</v>
      </c>
      <c r="U305" s="122">
        <f>SUM(U306:U317)</f>
        <v>33919600</v>
      </c>
      <c r="V305" s="333"/>
      <c r="W305" s="350">
        <f t="shared" ref="W305:AB305" si="323">SUM(W306:W317)</f>
        <v>2843360</v>
      </c>
      <c r="X305" s="122">
        <f t="shared" si="323"/>
        <v>1526420</v>
      </c>
      <c r="Y305" s="122">
        <f t="shared" si="323"/>
        <v>1029530</v>
      </c>
      <c r="Z305" s="122">
        <f t="shared" si="323"/>
        <v>67470</v>
      </c>
      <c r="AA305" s="122">
        <f t="shared" si="323"/>
        <v>305300</v>
      </c>
      <c r="AB305" s="122">
        <f t="shared" si="323"/>
        <v>271370</v>
      </c>
      <c r="AC305" s="123">
        <f>SUM(AC306:AC317)</f>
        <v>6043450</v>
      </c>
      <c r="AD305" s="618">
        <f t="shared" si="294"/>
        <v>27876150</v>
      </c>
    </row>
    <row r="306" spans="1:31" s="24" customFormat="1" ht="16.5" hidden="1" customHeight="1">
      <c r="A306" s="1150"/>
      <c r="B306" s="119" t="s">
        <v>551</v>
      </c>
      <c r="C306" s="120">
        <v>5</v>
      </c>
      <c r="D306" s="120"/>
      <c r="E306" s="124" t="s">
        <v>324</v>
      </c>
      <c r="F306" s="125">
        <v>1785000</v>
      </c>
      <c r="G306" s="126"/>
      <c r="H306" s="125"/>
      <c r="I306" s="125"/>
      <c r="J306" s="126"/>
      <c r="K306" s="126"/>
      <c r="L306" s="126"/>
      <c r="M306" s="126"/>
      <c r="N306" s="126"/>
      <c r="O306" s="126">
        <v>20000</v>
      </c>
      <c r="P306" s="126"/>
      <c r="Q306" s="126"/>
      <c r="R306" s="126"/>
      <c r="S306" s="126"/>
      <c r="T306" s="127">
        <v>200000</v>
      </c>
      <c r="U306" s="122">
        <f>SUM(F306,M306,O306,R306,T306)</f>
        <v>2005000</v>
      </c>
      <c r="V306" s="333"/>
      <c r="W306" s="338">
        <f>ROUNDUP(U306*1/12,-1)</f>
        <v>167090</v>
      </c>
      <c r="X306" s="128">
        <f t="shared" ref="X306:X317" si="324">ROUND(U306*4.5%,-1)</f>
        <v>90230</v>
      </c>
      <c r="Y306" s="128">
        <f t="shared" ref="Y306:Y317" si="325">ROUNDUP((U306-L306)*3.035%,-1)</f>
        <v>60860</v>
      </c>
      <c r="Z306" s="128">
        <f>ROUNDUP(Y306*6.55%,-1)</f>
        <v>3990</v>
      </c>
      <c r="AA306" s="128">
        <f t="shared" ref="AA306:AA317" si="326">ROUND(U306*0.9%,-1)</f>
        <v>18050</v>
      </c>
      <c r="AB306" s="128">
        <f t="shared" ref="AB306:AB317" si="327">ROUND(U306*0.8%,-1)</f>
        <v>16040</v>
      </c>
      <c r="AC306" s="129">
        <f t="shared" ref="AC306:AC317" si="328">SUM(W306:AB306)</f>
        <v>356260</v>
      </c>
      <c r="AD306" s="619">
        <f t="shared" si="294"/>
        <v>1648740</v>
      </c>
    </row>
    <row r="307" spans="1:31" s="24" customFormat="1" ht="16.5" hidden="1" customHeight="1">
      <c r="A307" s="1150"/>
      <c r="B307" s="119"/>
      <c r="C307" s="120"/>
      <c r="D307" s="120"/>
      <c r="E307" s="124" t="s">
        <v>325</v>
      </c>
      <c r="F307" s="126">
        <f t="shared" ref="F307:F313" si="329">F306</f>
        <v>1785000</v>
      </c>
      <c r="G307" s="126"/>
      <c r="H307" s="126"/>
      <c r="I307" s="126"/>
      <c r="J307" s="126"/>
      <c r="K307" s="126"/>
      <c r="L307" s="126"/>
      <c r="M307" s="126">
        <f>F307*60%</f>
        <v>1071000</v>
      </c>
      <c r="N307" s="126"/>
      <c r="O307" s="126">
        <f t="shared" ref="O307:O317" si="330">O306</f>
        <v>20000</v>
      </c>
      <c r="P307" s="126"/>
      <c r="Q307" s="126">
        <f>ROUND((F306+T306)*1/209*1.5,-1)</f>
        <v>14250</v>
      </c>
      <c r="R307" s="126">
        <f t="shared" ref="R307:R316" si="331">Q307*40</f>
        <v>570000</v>
      </c>
      <c r="S307" s="126"/>
      <c r="T307" s="127">
        <f t="shared" ref="T307:T317" si="332">T306</f>
        <v>200000</v>
      </c>
      <c r="U307" s="122">
        <f t="shared" ref="U307:U317" si="333">SUM(F307,M307,O307,R307,T307)</f>
        <v>3646000</v>
      </c>
      <c r="V307" s="333"/>
      <c r="W307" s="338">
        <f>ROUNDUP((T307+U307)*1/12,-1)</f>
        <v>320500</v>
      </c>
      <c r="X307" s="128">
        <f t="shared" si="324"/>
        <v>164070</v>
      </c>
      <c r="Y307" s="128">
        <f t="shared" si="325"/>
        <v>110660</v>
      </c>
      <c r="Z307" s="128">
        <f t="shared" ref="Z307:Z317" si="334">ROUNDUP(Y307*6.55%,-1)</f>
        <v>7250</v>
      </c>
      <c r="AA307" s="128">
        <f t="shared" si="326"/>
        <v>32810</v>
      </c>
      <c r="AB307" s="128">
        <f t="shared" si="327"/>
        <v>29170</v>
      </c>
      <c r="AC307" s="129">
        <f t="shared" si="328"/>
        <v>664460</v>
      </c>
      <c r="AD307" s="619">
        <f t="shared" si="294"/>
        <v>2981540</v>
      </c>
    </row>
    <row r="308" spans="1:31" s="24" customFormat="1" ht="16.5" hidden="1" customHeight="1">
      <c r="A308" s="1150"/>
      <c r="B308" s="119"/>
      <c r="C308" s="120"/>
      <c r="D308" s="120"/>
      <c r="E308" s="124" t="s">
        <v>326</v>
      </c>
      <c r="F308" s="126">
        <f t="shared" si="329"/>
        <v>1785000</v>
      </c>
      <c r="G308" s="126"/>
      <c r="H308" s="126"/>
      <c r="I308" s="126"/>
      <c r="J308" s="126"/>
      <c r="K308" s="126"/>
      <c r="L308" s="126"/>
      <c r="M308" s="126"/>
      <c r="N308" s="126"/>
      <c r="O308" s="126">
        <f t="shared" si="330"/>
        <v>20000</v>
      </c>
      <c r="P308" s="126"/>
      <c r="Q308" s="126">
        <f t="shared" ref="Q308:Q317" si="335">ROUND((F307+T307)*1/209*1.5,-1)</f>
        <v>14250</v>
      </c>
      <c r="R308" s="126">
        <f t="shared" si="331"/>
        <v>570000</v>
      </c>
      <c r="S308" s="126"/>
      <c r="T308" s="127">
        <f t="shared" si="332"/>
        <v>200000</v>
      </c>
      <c r="U308" s="122">
        <f t="shared" si="333"/>
        <v>2575000</v>
      </c>
      <c r="V308" s="333"/>
      <c r="W308" s="338">
        <f t="shared" ref="W308:W317" si="336">ROUNDUP(U308*1/12,-1)</f>
        <v>214590</v>
      </c>
      <c r="X308" s="128">
        <f t="shared" si="324"/>
        <v>115880</v>
      </c>
      <c r="Y308" s="128">
        <f t="shared" si="325"/>
        <v>78160</v>
      </c>
      <c r="Z308" s="128">
        <f t="shared" si="334"/>
        <v>5120</v>
      </c>
      <c r="AA308" s="128">
        <f t="shared" si="326"/>
        <v>23180</v>
      </c>
      <c r="AB308" s="128">
        <f t="shared" si="327"/>
        <v>20600</v>
      </c>
      <c r="AC308" s="129">
        <f t="shared" si="328"/>
        <v>457530</v>
      </c>
      <c r="AD308" s="619">
        <f t="shared" si="294"/>
        <v>2117470</v>
      </c>
    </row>
    <row r="309" spans="1:31" s="24" customFormat="1" ht="16.5" hidden="1" customHeight="1">
      <c r="A309" s="1150"/>
      <c r="B309" s="119"/>
      <c r="C309" s="120"/>
      <c r="D309" s="120"/>
      <c r="E309" s="124" t="s">
        <v>327</v>
      </c>
      <c r="F309" s="126">
        <f t="shared" si="329"/>
        <v>1785000</v>
      </c>
      <c r="G309" s="126"/>
      <c r="H309" s="126"/>
      <c r="I309" s="126"/>
      <c r="J309" s="126"/>
      <c r="K309" s="126"/>
      <c r="L309" s="126"/>
      <c r="M309" s="126"/>
      <c r="N309" s="126"/>
      <c r="O309" s="126">
        <f t="shared" si="330"/>
        <v>20000</v>
      </c>
      <c r="P309" s="126"/>
      <c r="Q309" s="126">
        <f t="shared" si="335"/>
        <v>14250</v>
      </c>
      <c r="R309" s="126">
        <f t="shared" si="331"/>
        <v>570000</v>
      </c>
      <c r="S309" s="126"/>
      <c r="T309" s="127">
        <f t="shared" si="332"/>
        <v>200000</v>
      </c>
      <c r="U309" s="122">
        <f t="shared" si="333"/>
        <v>2575000</v>
      </c>
      <c r="V309" s="333"/>
      <c r="W309" s="338">
        <f t="shared" si="336"/>
        <v>214590</v>
      </c>
      <c r="X309" s="128">
        <f t="shared" si="324"/>
        <v>115880</v>
      </c>
      <c r="Y309" s="128">
        <f t="shared" si="325"/>
        <v>78160</v>
      </c>
      <c r="Z309" s="128">
        <f t="shared" si="334"/>
        <v>5120</v>
      </c>
      <c r="AA309" s="128">
        <f t="shared" si="326"/>
        <v>23180</v>
      </c>
      <c r="AB309" s="128">
        <f t="shared" si="327"/>
        <v>20600</v>
      </c>
      <c r="AC309" s="129">
        <f t="shared" si="328"/>
        <v>457530</v>
      </c>
      <c r="AD309" s="619">
        <f t="shared" si="294"/>
        <v>2117470</v>
      </c>
    </row>
    <row r="310" spans="1:31" s="24" customFormat="1" ht="16.5" hidden="1" customHeight="1">
      <c r="A310" s="1150"/>
      <c r="B310" s="119"/>
      <c r="C310" s="120"/>
      <c r="D310" s="120"/>
      <c r="E310" s="124" t="s">
        <v>328</v>
      </c>
      <c r="F310" s="126">
        <f t="shared" si="329"/>
        <v>1785000</v>
      </c>
      <c r="G310" s="126"/>
      <c r="H310" s="126"/>
      <c r="I310" s="126"/>
      <c r="J310" s="126"/>
      <c r="K310" s="126"/>
      <c r="L310" s="126"/>
      <c r="M310" s="126"/>
      <c r="N310" s="126"/>
      <c r="O310" s="126">
        <f t="shared" si="330"/>
        <v>20000</v>
      </c>
      <c r="P310" s="126"/>
      <c r="Q310" s="126">
        <f t="shared" si="335"/>
        <v>14250</v>
      </c>
      <c r="R310" s="126">
        <f t="shared" si="331"/>
        <v>570000</v>
      </c>
      <c r="S310" s="126"/>
      <c r="T310" s="127">
        <f t="shared" si="332"/>
        <v>200000</v>
      </c>
      <c r="U310" s="122">
        <f t="shared" si="333"/>
        <v>2575000</v>
      </c>
      <c r="V310" s="333"/>
      <c r="W310" s="338">
        <f t="shared" si="336"/>
        <v>214590</v>
      </c>
      <c r="X310" s="128">
        <f t="shared" si="324"/>
        <v>115880</v>
      </c>
      <c r="Y310" s="128">
        <f t="shared" si="325"/>
        <v>78160</v>
      </c>
      <c r="Z310" s="128">
        <f t="shared" si="334"/>
        <v>5120</v>
      </c>
      <c r="AA310" s="128">
        <f t="shared" si="326"/>
        <v>23180</v>
      </c>
      <c r="AB310" s="128">
        <f t="shared" si="327"/>
        <v>20600</v>
      </c>
      <c r="AC310" s="129">
        <f t="shared" si="328"/>
        <v>457530</v>
      </c>
      <c r="AD310" s="619">
        <f t="shared" si="294"/>
        <v>2117470</v>
      </c>
    </row>
    <row r="311" spans="1:31" s="24" customFormat="1" ht="16.5" hidden="1" customHeight="1">
      <c r="A311" s="1150"/>
      <c r="B311" s="119"/>
      <c r="C311" s="120"/>
      <c r="D311" s="120"/>
      <c r="E311" s="124" t="s">
        <v>329</v>
      </c>
      <c r="F311" s="126">
        <f t="shared" si="329"/>
        <v>1785000</v>
      </c>
      <c r="G311" s="126"/>
      <c r="H311" s="126"/>
      <c r="I311" s="126"/>
      <c r="J311" s="126"/>
      <c r="K311" s="126"/>
      <c r="L311" s="126"/>
      <c r="M311" s="126"/>
      <c r="N311" s="126"/>
      <c r="O311" s="126">
        <f t="shared" si="330"/>
        <v>20000</v>
      </c>
      <c r="P311" s="126"/>
      <c r="Q311" s="126">
        <f t="shared" si="335"/>
        <v>14250</v>
      </c>
      <c r="R311" s="126">
        <f t="shared" si="331"/>
        <v>570000</v>
      </c>
      <c r="S311" s="126"/>
      <c r="T311" s="127">
        <f t="shared" si="332"/>
        <v>200000</v>
      </c>
      <c r="U311" s="122">
        <f t="shared" si="333"/>
        <v>2575000</v>
      </c>
      <c r="V311" s="333"/>
      <c r="W311" s="338">
        <f t="shared" si="336"/>
        <v>214590</v>
      </c>
      <c r="X311" s="128">
        <f t="shared" si="324"/>
        <v>115880</v>
      </c>
      <c r="Y311" s="128">
        <f t="shared" si="325"/>
        <v>78160</v>
      </c>
      <c r="Z311" s="128">
        <f t="shared" si="334"/>
        <v>5120</v>
      </c>
      <c r="AA311" s="128">
        <f t="shared" si="326"/>
        <v>23180</v>
      </c>
      <c r="AB311" s="128">
        <f t="shared" si="327"/>
        <v>20600</v>
      </c>
      <c r="AC311" s="129">
        <f t="shared" si="328"/>
        <v>457530</v>
      </c>
      <c r="AD311" s="619">
        <f t="shared" si="294"/>
        <v>2117470</v>
      </c>
    </row>
    <row r="312" spans="1:31" s="24" customFormat="1" ht="16.5" hidden="1" customHeight="1">
      <c r="A312" s="1150"/>
      <c r="B312" s="119"/>
      <c r="C312" s="120"/>
      <c r="D312" s="120"/>
      <c r="E312" s="124" t="s">
        <v>330</v>
      </c>
      <c r="F312" s="127">
        <f t="shared" si="329"/>
        <v>1785000</v>
      </c>
      <c r="G312" s="126"/>
      <c r="H312" s="125"/>
      <c r="I312" s="127"/>
      <c r="J312" s="126"/>
      <c r="K312" s="126"/>
      <c r="L312" s="126"/>
      <c r="M312" s="126"/>
      <c r="N312" s="126"/>
      <c r="O312" s="126">
        <f t="shared" si="330"/>
        <v>20000</v>
      </c>
      <c r="P312" s="126"/>
      <c r="Q312" s="126">
        <f t="shared" si="335"/>
        <v>14250</v>
      </c>
      <c r="R312" s="126">
        <f t="shared" si="331"/>
        <v>570000</v>
      </c>
      <c r="S312" s="126"/>
      <c r="T312" s="127">
        <f t="shared" si="332"/>
        <v>200000</v>
      </c>
      <c r="U312" s="122">
        <f t="shared" si="333"/>
        <v>2575000</v>
      </c>
      <c r="V312" s="333"/>
      <c r="W312" s="338">
        <f t="shared" si="336"/>
        <v>214590</v>
      </c>
      <c r="X312" s="128">
        <f t="shared" si="324"/>
        <v>115880</v>
      </c>
      <c r="Y312" s="128">
        <f t="shared" si="325"/>
        <v>78160</v>
      </c>
      <c r="Z312" s="128">
        <f t="shared" si="334"/>
        <v>5120</v>
      </c>
      <c r="AA312" s="128">
        <f t="shared" si="326"/>
        <v>23180</v>
      </c>
      <c r="AB312" s="128">
        <f t="shared" si="327"/>
        <v>20600</v>
      </c>
      <c r="AC312" s="129">
        <f t="shared" si="328"/>
        <v>457530</v>
      </c>
      <c r="AD312" s="619">
        <f t="shared" si="294"/>
        <v>2117470</v>
      </c>
    </row>
    <row r="313" spans="1:31" s="24" customFormat="1" ht="16.5" hidden="1" customHeight="1">
      <c r="A313" s="1150"/>
      <c r="B313" s="119"/>
      <c r="C313" s="120"/>
      <c r="D313" s="120"/>
      <c r="E313" s="124" t="s">
        <v>331</v>
      </c>
      <c r="F313" s="126">
        <f t="shared" si="329"/>
        <v>1785000</v>
      </c>
      <c r="G313" s="126"/>
      <c r="H313" s="126"/>
      <c r="I313" s="126"/>
      <c r="J313" s="126"/>
      <c r="K313" s="126"/>
      <c r="L313" s="126"/>
      <c r="M313" s="126"/>
      <c r="N313" s="126"/>
      <c r="O313" s="126">
        <f t="shared" si="330"/>
        <v>20000</v>
      </c>
      <c r="P313" s="126"/>
      <c r="Q313" s="126">
        <f t="shared" si="335"/>
        <v>14250</v>
      </c>
      <c r="R313" s="126">
        <f t="shared" si="331"/>
        <v>570000</v>
      </c>
      <c r="S313" s="126"/>
      <c r="T313" s="127">
        <f t="shared" si="332"/>
        <v>200000</v>
      </c>
      <c r="U313" s="122">
        <f t="shared" si="333"/>
        <v>2575000</v>
      </c>
      <c r="V313" s="333"/>
      <c r="W313" s="338">
        <f t="shared" si="336"/>
        <v>214590</v>
      </c>
      <c r="X313" s="128">
        <f t="shared" si="324"/>
        <v>115880</v>
      </c>
      <c r="Y313" s="128">
        <f t="shared" si="325"/>
        <v>78160</v>
      </c>
      <c r="Z313" s="128">
        <f t="shared" si="334"/>
        <v>5120</v>
      </c>
      <c r="AA313" s="128">
        <f t="shared" si="326"/>
        <v>23180</v>
      </c>
      <c r="AB313" s="128">
        <f t="shared" si="327"/>
        <v>20600</v>
      </c>
      <c r="AC313" s="129">
        <f t="shared" si="328"/>
        <v>457530</v>
      </c>
      <c r="AD313" s="619">
        <f t="shared" si="294"/>
        <v>2117470</v>
      </c>
    </row>
    <row r="314" spans="1:31" s="24" customFormat="1" ht="16.5" hidden="1" customHeight="1">
      <c r="A314" s="1150"/>
      <c r="B314" s="119"/>
      <c r="C314" s="120">
        <v>6</v>
      </c>
      <c r="D314" s="120"/>
      <c r="E314" s="124" t="s">
        <v>62</v>
      </c>
      <c r="F314" s="591">
        <v>1893000</v>
      </c>
      <c r="G314" s="126"/>
      <c r="H314" s="126"/>
      <c r="I314" s="126"/>
      <c r="J314" s="126"/>
      <c r="K314" s="126"/>
      <c r="L314" s="126"/>
      <c r="M314" s="126">
        <f>F314*60%</f>
        <v>1135800</v>
      </c>
      <c r="N314" s="126"/>
      <c r="O314" s="126">
        <f t="shared" si="330"/>
        <v>20000</v>
      </c>
      <c r="P314" s="126"/>
      <c r="Q314" s="126">
        <f t="shared" si="335"/>
        <v>14250</v>
      </c>
      <c r="R314" s="126">
        <f t="shared" si="331"/>
        <v>570000</v>
      </c>
      <c r="S314" s="126"/>
      <c r="T314" s="127">
        <v>250000</v>
      </c>
      <c r="U314" s="122">
        <f t="shared" si="333"/>
        <v>3868800</v>
      </c>
      <c r="V314" s="333"/>
      <c r="W314" s="338">
        <f t="shared" si="336"/>
        <v>322400</v>
      </c>
      <c r="X314" s="128">
        <f t="shared" si="324"/>
        <v>174100</v>
      </c>
      <c r="Y314" s="128">
        <f t="shared" si="325"/>
        <v>117420</v>
      </c>
      <c r="Z314" s="128">
        <f t="shared" si="334"/>
        <v>7700</v>
      </c>
      <c r="AA314" s="128">
        <f t="shared" si="326"/>
        <v>34820</v>
      </c>
      <c r="AB314" s="128">
        <f t="shared" si="327"/>
        <v>30950</v>
      </c>
      <c r="AC314" s="129">
        <f t="shared" si="328"/>
        <v>687390</v>
      </c>
      <c r="AD314" s="619">
        <f t="shared" si="294"/>
        <v>3181410</v>
      </c>
    </row>
    <row r="315" spans="1:31" s="24" customFormat="1" ht="16.5" hidden="1" customHeight="1">
      <c r="A315" s="1150"/>
      <c r="B315" s="119"/>
      <c r="C315" s="120"/>
      <c r="D315" s="120"/>
      <c r="E315" s="124" t="s">
        <v>63</v>
      </c>
      <c r="F315" s="126">
        <f>F314</f>
        <v>1893000</v>
      </c>
      <c r="G315" s="126"/>
      <c r="H315" s="126"/>
      <c r="I315" s="126"/>
      <c r="J315" s="126"/>
      <c r="K315" s="126"/>
      <c r="L315" s="126"/>
      <c r="M315" s="126"/>
      <c r="N315" s="126"/>
      <c r="O315" s="126">
        <f t="shared" si="330"/>
        <v>20000</v>
      </c>
      <c r="P315" s="126"/>
      <c r="Q315" s="126">
        <f t="shared" si="335"/>
        <v>15380</v>
      </c>
      <c r="R315" s="126">
        <f t="shared" si="331"/>
        <v>615200</v>
      </c>
      <c r="S315" s="126"/>
      <c r="T315" s="127">
        <f t="shared" si="332"/>
        <v>250000</v>
      </c>
      <c r="U315" s="122">
        <f t="shared" si="333"/>
        <v>2778200</v>
      </c>
      <c r="V315" s="333"/>
      <c r="W315" s="338">
        <f t="shared" si="336"/>
        <v>231520</v>
      </c>
      <c r="X315" s="128">
        <f t="shared" si="324"/>
        <v>125020</v>
      </c>
      <c r="Y315" s="128">
        <f t="shared" si="325"/>
        <v>84320</v>
      </c>
      <c r="Z315" s="128">
        <f t="shared" si="334"/>
        <v>5530</v>
      </c>
      <c r="AA315" s="128">
        <f t="shared" si="326"/>
        <v>25000</v>
      </c>
      <c r="AB315" s="128">
        <f t="shared" si="327"/>
        <v>22230</v>
      </c>
      <c r="AC315" s="129">
        <f t="shared" si="328"/>
        <v>493620</v>
      </c>
      <c r="AD315" s="619">
        <f t="shared" si="294"/>
        <v>2284580</v>
      </c>
    </row>
    <row r="316" spans="1:31" s="24" customFormat="1" ht="16.5" hidden="1" customHeight="1">
      <c r="A316" s="1150"/>
      <c r="B316" s="119"/>
      <c r="C316" s="120"/>
      <c r="D316" s="120"/>
      <c r="E316" s="124" t="s">
        <v>64</v>
      </c>
      <c r="F316" s="126">
        <f>F315</f>
        <v>1893000</v>
      </c>
      <c r="G316" s="126"/>
      <c r="H316" s="126"/>
      <c r="I316" s="126"/>
      <c r="J316" s="126"/>
      <c r="K316" s="126"/>
      <c r="L316" s="126"/>
      <c r="M316" s="126"/>
      <c r="N316" s="126"/>
      <c r="O316" s="126">
        <f t="shared" si="330"/>
        <v>20000</v>
      </c>
      <c r="P316" s="126"/>
      <c r="Q316" s="126">
        <f t="shared" si="335"/>
        <v>15380</v>
      </c>
      <c r="R316" s="126">
        <f t="shared" si="331"/>
        <v>615200</v>
      </c>
      <c r="S316" s="126"/>
      <c r="T316" s="127">
        <f t="shared" si="332"/>
        <v>250000</v>
      </c>
      <c r="U316" s="122">
        <f t="shared" si="333"/>
        <v>2778200</v>
      </c>
      <c r="V316" s="333"/>
      <c r="W316" s="338">
        <f t="shared" si="336"/>
        <v>231520</v>
      </c>
      <c r="X316" s="128">
        <f t="shared" si="324"/>
        <v>125020</v>
      </c>
      <c r="Y316" s="128">
        <f t="shared" si="325"/>
        <v>84320</v>
      </c>
      <c r="Z316" s="128">
        <f t="shared" si="334"/>
        <v>5530</v>
      </c>
      <c r="AA316" s="128">
        <f t="shared" si="326"/>
        <v>25000</v>
      </c>
      <c r="AB316" s="128">
        <f t="shared" si="327"/>
        <v>22230</v>
      </c>
      <c r="AC316" s="129">
        <f t="shared" si="328"/>
        <v>493620</v>
      </c>
      <c r="AD316" s="619">
        <f t="shared" si="294"/>
        <v>2284580</v>
      </c>
    </row>
    <row r="317" spans="1:31" s="24" customFormat="1" ht="16.5" hidden="1" customHeight="1">
      <c r="A317" s="1150"/>
      <c r="B317" s="119"/>
      <c r="C317" s="120"/>
      <c r="D317" s="120"/>
      <c r="E317" s="124" t="s">
        <v>332</v>
      </c>
      <c r="F317" s="126">
        <f>F316</f>
        <v>1893000</v>
      </c>
      <c r="G317" s="126"/>
      <c r="H317" s="126"/>
      <c r="I317" s="126"/>
      <c r="J317" s="126"/>
      <c r="K317" s="126"/>
      <c r="L317" s="126"/>
      <c r="M317" s="126"/>
      <c r="N317" s="126"/>
      <c r="O317" s="126">
        <f t="shared" si="330"/>
        <v>20000</v>
      </c>
      <c r="P317" s="126"/>
      <c r="Q317" s="126">
        <f t="shared" si="335"/>
        <v>15380</v>
      </c>
      <c r="R317" s="126">
        <f>Q317*40*2</f>
        <v>1230400</v>
      </c>
      <c r="S317" s="126"/>
      <c r="T317" s="127">
        <f t="shared" si="332"/>
        <v>250000</v>
      </c>
      <c r="U317" s="122">
        <f t="shared" si="333"/>
        <v>3393400</v>
      </c>
      <c r="V317" s="333"/>
      <c r="W317" s="338">
        <f t="shared" si="336"/>
        <v>282790</v>
      </c>
      <c r="X317" s="128">
        <f t="shared" si="324"/>
        <v>152700</v>
      </c>
      <c r="Y317" s="128">
        <f t="shared" si="325"/>
        <v>102990</v>
      </c>
      <c r="Z317" s="128">
        <f t="shared" si="334"/>
        <v>6750</v>
      </c>
      <c r="AA317" s="128">
        <f t="shared" si="326"/>
        <v>30540</v>
      </c>
      <c r="AB317" s="128">
        <f t="shared" si="327"/>
        <v>27150</v>
      </c>
      <c r="AC317" s="129">
        <f t="shared" si="328"/>
        <v>602920</v>
      </c>
      <c r="AD317" s="619">
        <f t="shared" si="294"/>
        <v>2790480</v>
      </c>
    </row>
    <row r="318" spans="1:31" s="24" customFormat="1" ht="18" hidden="1" customHeight="1">
      <c r="A318" s="1150">
        <v>25</v>
      </c>
      <c r="B318" s="119" t="s">
        <v>95</v>
      </c>
      <c r="C318" s="120" t="s">
        <v>661</v>
      </c>
      <c r="D318" s="120">
        <v>1</v>
      </c>
      <c r="E318" s="121" t="s">
        <v>94</v>
      </c>
      <c r="F318" s="122">
        <f t="shared" ref="F318:L318" si="337">SUM(F319:F330)</f>
        <v>23233000</v>
      </c>
      <c r="G318" s="122">
        <f t="shared" si="337"/>
        <v>0</v>
      </c>
      <c r="H318" s="122">
        <f t="shared" si="337"/>
        <v>0</v>
      </c>
      <c r="I318" s="122">
        <f t="shared" si="337"/>
        <v>0</v>
      </c>
      <c r="J318" s="122">
        <f t="shared" si="337"/>
        <v>0</v>
      </c>
      <c r="K318" s="122">
        <f t="shared" si="337"/>
        <v>0</v>
      </c>
      <c r="L318" s="122">
        <f t="shared" si="337"/>
        <v>0</v>
      </c>
      <c r="M318" s="122">
        <f>SUM(M319:M330)</f>
        <v>2328000</v>
      </c>
      <c r="N318" s="122">
        <f>SUM(N319:N330)</f>
        <v>0</v>
      </c>
      <c r="O318" s="122">
        <f>SUM(O319:O330)</f>
        <v>0</v>
      </c>
      <c r="P318" s="122"/>
      <c r="Q318" s="122"/>
      <c r="R318" s="122">
        <f>SUM(R319:R330)</f>
        <v>7532000</v>
      </c>
      <c r="S318" s="122">
        <f>SUM(S319:S330)</f>
        <v>0</v>
      </c>
      <c r="T318" s="122">
        <f>SUM(T319:T330)</f>
        <v>3000000</v>
      </c>
      <c r="U318" s="122">
        <f>SUM(U319:U330)</f>
        <v>36093000</v>
      </c>
      <c r="V318" s="333"/>
      <c r="W318" s="350">
        <f t="shared" ref="W318:AB318" si="338">SUM(W319:W330)</f>
        <v>3028590</v>
      </c>
      <c r="X318" s="122">
        <f t="shared" si="338"/>
        <v>1624220</v>
      </c>
      <c r="Y318" s="122">
        <f t="shared" si="338"/>
        <v>1095520</v>
      </c>
      <c r="Z318" s="122">
        <f t="shared" si="338"/>
        <v>71830</v>
      </c>
      <c r="AA318" s="122">
        <f t="shared" si="338"/>
        <v>324850</v>
      </c>
      <c r="AB318" s="122">
        <f t="shared" si="338"/>
        <v>288730</v>
      </c>
      <c r="AC318" s="123">
        <f>SUM(AC319:AC330)</f>
        <v>6433740</v>
      </c>
      <c r="AD318" s="618">
        <f t="shared" si="294"/>
        <v>29659260</v>
      </c>
      <c r="AE318" s="24" t="s">
        <v>552</v>
      </c>
    </row>
    <row r="319" spans="1:31" s="24" customFormat="1" ht="18" hidden="1" customHeight="1">
      <c r="A319" s="1150"/>
      <c r="B319" s="119" t="s">
        <v>553</v>
      </c>
      <c r="C319" s="120">
        <v>6</v>
      </c>
      <c r="D319" s="120"/>
      <c r="E319" s="124" t="s">
        <v>324</v>
      </c>
      <c r="F319" s="125">
        <v>1893000</v>
      </c>
      <c r="G319" s="126"/>
      <c r="H319" s="125"/>
      <c r="I319" s="125"/>
      <c r="J319" s="126"/>
      <c r="K319" s="126"/>
      <c r="L319" s="126"/>
      <c r="M319" s="126"/>
      <c r="N319" s="126"/>
      <c r="O319" s="126"/>
      <c r="P319" s="126"/>
      <c r="Q319" s="126"/>
      <c r="R319" s="126"/>
      <c r="S319" s="126"/>
      <c r="T319" s="127">
        <v>250000</v>
      </c>
      <c r="U319" s="122">
        <f>SUM(F319,M319,O319,R319,T319)</f>
        <v>2143000</v>
      </c>
      <c r="V319" s="333"/>
      <c r="W319" s="338">
        <f>ROUNDUP(U319*1/12,-1)</f>
        <v>178590</v>
      </c>
      <c r="X319" s="128">
        <f t="shared" ref="X319:X330" si="339">ROUND(U319*4.5%,-1)</f>
        <v>96440</v>
      </c>
      <c r="Y319" s="128">
        <f t="shared" ref="Y319:Y330" si="340">ROUNDUP((U319-L319)*3.035%,-1)</f>
        <v>65050</v>
      </c>
      <c r="Z319" s="128">
        <f>ROUNDUP(Y319*6.55%,-1)</f>
        <v>4270</v>
      </c>
      <c r="AA319" s="128">
        <f t="shared" ref="AA319:AA330" si="341">ROUND(U319*0.9%,-1)</f>
        <v>19290</v>
      </c>
      <c r="AB319" s="128">
        <f t="shared" ref="AB319:AB330" si="342">ROUND(U319*0.8%,-1)</f>
        <v>17140</v>
      </c>
      <c r="AC319" s="129">
        <f t="shared" ref="AC319:AC330" si="343">SUM(W319:AB319)</f>
        <v>380780</v>
      </c>
      <c r="AD319" s="619">
        <f t="shared" si="294"/>
        <v>1762220</v>
      </c>
    </row>
    <row r="320" spans="1:31" s="24" customFormat="1" ht="18" hidden="1" customHeight="1">
      <c r="A320" s="1150"/>
      <c r="B320" s="119"/>
      <c r="C320" s="120">
        <v>7</v>
      </c>
      <c r="D320" s="120"/>
      <c r="E320" s="124" t="s">
        <v>325</v>
      </c>
      <c r="F320" s="591">
        <v>1940000</v>
      </c>
      <c r="G320" s="126"/>
      <c r="H320" s="126"/>
      <c r="I320" s="126"/>
      <c r="J320" s="126"/>
      <c r="K320" s="126"/>
      <c r="L320" s="126"/>
      <c r="M320" s="126">
        <f>F320*60%</f>
        <v>1164000</v>
      </c>
      <c r="N320" s="126"/>
      <c r="O320" s="126"/>
      <c r="P320" s="126"/>
      <c r="Q320" s="126">
        <f>ROUND((F319+T319)*1/209*1.5,-1)</f>
        <v>15380</v>
      </c>
      <c r="R320" s="126">
        <f t="shared" ref="R320:R329" si="344">Q320*40</f>
        <v>615200</v>
      </c>
      <c r="S320" s="126"/>
      <c r="T320" s="127">
        <v>250000</v>
      </c>
      <c r="U320" s="122">
        <f t="shared" ref="U320:U330" si="345">SUM(F320,M320,O320,R320,T320)</f>
        <v>3969200</v>
      </c>
      <c r="V320" s="333"/>
      <c r="W320" s="338">
        <f>ROUNDUP((T320+U320)*1/12,-1)</f>
        <v>351600</v>
      </c>
      <c r="X320" s="128">
        <f t="shared" si="339"/>
        <v>178610</v>
      </c>
      <c r="Y320" s="128">
        <f t="shared" si="340"/>
        <v>120470</v>
      </c>
      <c r="Z320" s="128">
        <f t="shared" ref="Z320:Z330" si="346">ROUNDUP(Y320*6.55%,-1)</f>
        <v>7900</v>
      </c>
      <c r="AA320" s="128">
        <f t="shared" si="341"/>
        <v>35720</v>
      </c>
      <c r="AB320" s="128">
        <f t="shared" si="342"/>
        <v>31750</v>
      </c>
      <c r="AC320" s="129">
        <f t="shared" si="343"/>
        <v>726050</v>
      </c>
      <c r="AD320" s="619">
        <f t="shared" si="294"/>
        <v>3243150</v>
      </c>
    </row>
    <row r="321" spans="1:31" s="24" customFormat="1" ht="18" hidden="1" customHeight="1">
      <c r="A321" s="1150"/>
      <c r="B321" s="119"/>
      <c r="C321" s="120"/>
      <c r="D321" s="120"/>
      <c r="E321" s="124" t="s">
        <v>326</v>
      </c>
      <c r="F321" s="126">
        <f>F320</f>
        <v>1940000</v>
      </c>
      <c r="G321" s="126"/>
      <c r="H321" s="126"/>
      <c r="I321" s="126"/>
      <c r="J321" s="126"/>
      <c r="K321" s="126"/>
      <c r="L321" s="126"/>
      <c r="M321" s="126"/>
      <c r="N321" s="126"/>
      <c r="O321" s="126"/>
      <c r="P321" s="126"/>
      <c r="Q321" s="126">
        <f t="shared" ref="Q321:Q330" si="347">ROUND((F320+T320)*1/209*1.5,-1)</f>
        <v>15720</v>
      </c>
      <c r="R321" s="126">
        <f t="shared" si="344"/>
        <v>628800</v>
      </c>
      <c r="S321" s="126"/>
      <c r="T321" s="127">
        <f t="shared" ref="T321:T330" si="348">T320</f>
        <v>250000</v>
      </c>
      <c r="U321" s="122">
        <f t="shared" si="345"/>
        <v>2818800</v>
      </c>
      <c r="V321" s="333"/>
      <c r="W321" s="338">
        <f t="shared" ref="W321:W330" si="349">ROUNDUP(U321*1/12,-1)</f>
        <v>234900</v>
      </c>
      <c r="X321" s="128">
        <f t="shared" si="339"/>
        <v>126850</v>
      </c>
      <c r="Y321" s="128">
        <f t="shared" si="340"/>
        <v>85560</v>
      </c>
      <c r="Z321" s="128">
        <f t="shared" si="346"/>
        <v>5610</v>
      </c>
      <c r="AA321" s="128">
        <f t="shared" si="341"/>
        <v>25370</v>
      </c>
      <c r="AB321" s="128">
        <f t="shared" si="342"/>
        <v>22550</v>
      </c>
      <c r="AC321" s="129">
        <f t="shared" si="343"/>
        <v>500840</v>
      </c>
      <c r="AD321" s="619">
        <f t="shared" si="294"/>
        <v>2317960</v>
      </c>
    </row>
    <row r="322" spans="1:31" s="24" customFormat="1" ht="18" hidden="1" customHeight="1">
      <c r="A322" s="1150"/>
      <c r="B322" s="119"/>
      <c r="C322" s="120"/>
      <c r="D322" s="120"/>
      <c r="E322" s="124" t="s">
        <v>327</v>
      </c>
      <c r="F322" s="126">
        <f>F321</f>
        <v>1940000</v>
      </c>
      <c r="G322" s="126"/>
      <c r="H322" s="126"/>
      <c r="I322" s="126"/>
      <c r="J322" s="126"/>
      <c r="K322" s="126"/>
      <c r="L322" s="126"/>
      <c r="M322" s="126"/>
      <c r="N322" s="126"/>
      <c r="O322" s="126"/>
      <c r="P322" s="126"/>
      <c r="Q322" s="126">
        <f t="shared" si="347"/>
        <v>15720</v>
      </c>
      <c r="R322" s="126">
        <f t="shared" si="344"/>
        <v>628800</v>
      </c>
      <c r="S322" s="126"/>
      <c r="T322" s="127">
        <f t="shared" si="348"/>
        <v>250000</v>
      </c>
      <c r="U322" s="122">
        <f t="shared" si="345"/>
        <v>2818800</v>
      </c>
      <c r="V322" s="333"/>
      <c r="W322" s="338">
        <f t="shared" si="349"/>
        <v>234900</v>
      </c>
      <c r="X322" s="128">
        <f t="shared" si="339"/>
        <v>126850</v>
      </c>
      <c r="Y322" s="128">
        <f t="shared" si="340"/>
        <v>85560</v>
      </c>
      <c r="Z322" s="128">
        <f t="shared" si="346"/>
        <v>5610</v>
      </c>
      <c r="AA322" s="128">
        <f t="shared" si="341"/>
        <v>25370</v>
      </c>
      <c r="AB322" s="128">
        <f t="shared" si="342"/>
        <v>22550</v>
      </c>
      <c r="AC322" s="129">
        <f t="shared" si="343"/>
        <v>500840</v>
      </c>
      <c r="AD322" s="619">
        <f t="shared" si="294"/>
        <v>2317960</v>
      </c>
    </row>
    <row r="323" spans="1:31" s="24" customFormat="1" ht="18" hidden="1" customHeight="1">
      <c r="A323" s="1150"/>
      <c r="B323" s="119"/>
      <c r="C323" s="120"/>
      <c r="D323" s="120"/>
      <c r="E323" s="124" t="s">
        <v>328</v>
      </c>
      <c r="F323" s="126">
        <f t="shared" ref="F323:F330" si="350">F322</f>
        <v>1940000</v>
      </c>
      <c r="G323" s="126"/>
      <c r="H323" s="126"/>
      <c r="I323" s="126"/>
      <c r="J323" s="126"/>
      <c r="K323" s="126"/>
      <c r="L323" s="126"/>
      <c r="M323" s="126"/>
      <c r="N323" s="126"/>
      <c r="O323" s="126"/>
      <c r="P323" s="126"/>
      <c r="Q323" s="126">
        <f t="shared" si="347"/>
        <v>15720</v>
      </c>
      <c r="R323" s="126">
        <f t="shared" si="344"/>
        <v>628800</v>
      </c>
      <c r="S323" s="126"/>
      <c r="T323" s="127">
        <f t="shared" si="348"/>
        <v>250000</v>
      </c>
      <c r="U323" s="122">
        <f t="shared" si="345"/>
        <v>2818800</v>
      </c>
      <c r="V323" s="333"/>
      <c r="W323" s="338">
        <f t="shared" si="349"/>
        <v>234900</v>
      </c>
      <c r="X323" s="128">
        <f t="shared" si="339"/>
        <v>126850</v>
      </c>
      <c r="Y323" s="128">
        <f t="shared" si="340"/>
        <v>85560</v>
      </c>
      <c r="Z323" s="128">
        <f t="shared" si="346"/>
        <v>5610</v>
      </c>
      <c r="AA323" s="128">
        <f t="shared" si="341"/>
        <v>25370</v>
      </c>
      <c r="AB323" s="128">
        <f t="shared" si="342"/>
        <v>22550</v>
      </c>
      <c r="AC323" s="129">
        <f t="shared" si="343"/>
        <v>500840</v>
      </c>
      <c r="AD323" s="619">
        <f t="shared" si="294"/>
        <v>2317960</v>
      </c>
    </row>
    <row r="324" spans="1:31" s="24" customFormat="1" ht="18" hidden="1" customHeight="1">
      <c r="A324" s="1150"/>
      <c r="B324" s="119"/>
      <c r="C324" s="120"/>
      <c r="D324" s="120"/>
      <c r="E324" s="124" t="s">
        <v>329</v>
      </c>
      <c r="F324" s="126">
        <f t="shared" si="350"/>
        <v>1940000</v>
      </c>
      <c r="G324" s="126"/>
      <c r="H324" s="126"/>
      <c r="I324" s="126"/>
      <c r="J324" s="126"/>
      <c r="K324" s="126"/>
      <c r="L324" s="126"/>
      <c r="M324" s="126"/>
      <c r="N324" s="126"/>
      <c r="O324" s="126"/>
      <c r="P324" s="126"/>
      <c r="Q324" s="126">
        <f t="shared" si="347"/>
        <v>15720</v>
      </c>
      <c r="R324" s="126">
        <f t="shared" si="344"/>
        <v>628800</v>
      </c>
      <c r="S324" s="126"/>
      <c r="T324" s="127">
        <f t="shared" si="348"/>
        <v>250000</v>
      </c>
      <c r="U324" s="122">
        <f t="shared" si="345"/>
        <v>2818800</v>
      </c>
      <c r="V324" s="333"/>
      <c r="W324" s="338">
        <f t="shared" si="349"/>
        <v>234900</v>
      </c>
      <c r="X324" s="128">
        <f t="shared" si="339"/>
        <v>126850</v>
      </c>
      <c r="Y324" s="128">
        <f t="shared" si="340"/>
        <v>85560</v>
      </c>
      <c r="Z324" s="128">
        <f t="shared" si="346"/>
        <v>5610</v>
      </c>
      <c r="AA324" s="128">
        <f t="shared" si="341"/>
        <v>25370</v>
      </c>
      <c r="AB324" s="128">
        <f t="shared" si="342"/>
        <v>22550</v>
      </c>
      <c r="AC324" s="129">
        <f t="shared" si="343"/>
        <v>500840</v>
      </c>
      <c r="AD324" s="619">
        <f t="shared" si="294"/>
        <v>2317960</v>
      </c>
    </row>
    <row r="325" spans="1:31" s="24" customFormat="1" ht="18" hidden="1" customHeight="1">
      <c r="A325" s="1150"/>
      <c r="B325" s="119"/>
      <c r="C325" s="120"/>
      <c r="D325" s="120"/>
      <c r="E325" s="124" t="s">
        <v>330</v>
      </c>
      <c r="F325" s="126">
        <f t="shared" si="350"/>
        <v>1940000</v>
      </c>
      <c r="G325" s="126"/>
      <c r="H325" s="125"/>
      <c r="I325" s="127"/>
      <c r="J325" s="126"/>
      <c r="K325" s="126"/>
      <c r="L325" s="126"/>
      <c r="M325" s="126"/>
      <c r="N325" s="126"/>
      <c r="O325" s="126"/>
      <c r="P325" s="126"/>
      <c r="Q325" s="126">
        <f t="shared" si="347"/>
        <v>15720</v>
      </c>
      <c r="R325" s="126">
        <f t="shared" si="344"/>
        <v>628800</v>
      </c>
      <c r="S325" s="126"/>
      <c r="T325" s="127">
        <f t="shared" si="348"/>
        <v>250000</v>
      </c>
      <c r="U325" s="122">
        <f t="shared" si="345"/>
        <v>2818800</v>
      </c>
      <c r="V325" s="333"/>
      <c r="W325" s="338">
        <f t="shared" si="349"/>
        <v>234900</v>
      </c>
      <c r="X325" s="128">
        <f t="shared" si="339"/>
        <v>126850</v>
      </c>
      <c r="Y325" s="128">
        <f t="shared" si="340"/>
        <v>85560</v>
      </c>
      <c r="Z325" s="128">
        <f t="shared" si="346"/>
        <v>5610</v>
      </c>
      <c r="AA325" s="128">
        <f t="shared" si="341"/>
        <v>25370</v>
      </c>
      <c r="AB325" s="128">
        <f t="shared" si="342"/>
        <v>22550</v>
      </c>
      <c r="AC325" s="129">
        <f t="shared" si="343"/>
        <v>500840</v>
      </c>
      <c r="AD325" s="619">
        <f t="shared" si="294"/>
        <v>2317960</v>
      </c>
    </row>
    <row r="326" spans="1:31" s="24" customFormat="1" ht="16.5" hidden="1" customHeight="1">
      <c r="A326" s="1150"/>
      <c r="B326" s="119"/>
      <c r="C326" s="120"/>
      <c r="D326" s="120"/>
      <c r="E326" s="124" t="s">
        <v>331</v>
      </c>
      <c r="F326" s="126">
        <f t="shared" si="350"/>
        <v>1940000</v>
      </c>
      <c r="G326" s="126"/>
      <c r="H326" s="126"/>
      <c r="I326" s="126"/>
      <c r="J326" s="126"/>
      <c r="K326" s="126"/>
      <c r="L326" s="126"/>
      <c r="M326" s="126"/>
      <c r="N326" s="126"/>
      <c r="O326" s="126"/>
      <c r="P326" s="126"/>
      <c r="Q326" s="126">
        <f t="shared" si="347"/>
        <v>15720</v>
      </c>
      <c r="R326" s="126">
        <f t="shared" si="344"/>
        <v>628800</v>
      </c>
      <c r="S326" s="126"/>
      <c r="T326" s="127">
        <f t="shared" si="348"/>
        <v>250000</v>
      </c>
      <c r="U326" s="122">
        <f t="shared" si="345"/>
        <v>2818800</v>
      </c>
      <c r="V326" s="333"/>
      <c r="W326" s="338">
        <f t="shared" si="349"/>
        <v>234900</v>
      </c>
      <c r="X326" s="128">
        <f t="shared" si="339"/>
        <v>126850</v>
      </c>
      <c r="Y326" s="128">
        <f t="shared" si="340"/>
        <v>85560</v>
      </c>
      <c r="Z326" s="128">
        <f t="shared" si="346"/>
        <v>5610</v>
      </c>
      <c r="AA326" s="128">
        <f t="shared" si="341"/>
        <v>25370</v>
      </c>
      <c r="AB326" s="128">
        <f t="shared" si="342"/>
        <v>22550</v>
      </c>
      <c r="AC326" s="129">
        <f t="shared" si="343"/>
        <v>500840</v>
      </c>
      <c r="AD326" s="619">
        <f t="shared" si="294"/>
        <v>2317960</v>
      </c>
    </row>
    <row r="327" spans="1:31" s="24" customFormat="1" ht="16.5" hidden="1" customHeight="1">
      <c r="A327" s="1150"/>
      <c r="B327" s="119"/>
      <c r="C327" s="120"/>
      <c r="D327" s="120"/>
      <c r="E327" s="124" t="s">
        <v>62</v>
      </c>
      <c r="F327" s="126">
        <f t="shared" si="350"/>
        <v>1940000</v>
      </c>
      <c r="G327" s="126"/>
      <c r="H327" s="126"/>
      <c r="I327" s="126"/>
      <c r="J327" s="126"/>
      <c r="K327" s="126"/>
      <c r="L327" s="126"/>
      <c r="M327" s="126">
        <f>F327*60%</f>
        <v>1164000</v>
      </c>
      <c r="N327" s="126"/>
      <c r="O327" s="126"/>
      <c r="P327" s="126"/>
      <c r="Q327" s="126">
        <f t="shared" si="347"/>
        <v>15720</v>
      </c>
      <c r="R327" s="126">
        <f t="shared" si="344"/>
        <v>628800</v>
      </c>
      <c r="S327" s="126"/>
      <c r="T327" s="127">
        <f t="shared" si="348"/>
        <v>250000</v>
      </c>
      <c r="U327" s="122">
        <f t="shared" si="345"/>
        <v>3982800</v>
      </c>
      <c r="V327" s="333"/>
      <c r="W327" s="338">
        <f t="shared" si="349"/>
        <v>331900</v>
      </c>
      <c r="X327" s="128">
        <f t="shared" si="339"/>
        <v>179230</v>
      </c>
      <c r="Y327" s="128">
        <f t="shared" si="340"/>
        <v>120880</v>
      </c>
      <c r="Z327" s="128">
        <f t="shared" si="346"/>
        <v>7920</v>
      </c>
      <c r="AA327" s="128">
        <f t="shared" si="341"/>
        <v>35850</v>
      </c>
      <c r="AB327" s="128">
        <f t="shared" si="342"/>
        <v>31860</v>
      </c>
      <c r="AC327" s="129">
        <f t="shared" si="343"/>
        <v>707640</v>
      </c>
      <c r="AD327" s="619">
        <f t="shared" si="294"/>
        <v>3275160</v>
      </c>
    </row>
    <row r="328" spans="1:31" s="24" customFormat="1" ht="16.5" hidden="1" customHeight="1">
      <c r="A328" s="1150"/>
      <c r="B328" s="119"/>
      <c r="C328" s="120"/>
      <c r="D328" s="120"/>
      <c r="E328" s="124" t="s">
        <v>63</v>
      </c>
      <c r="F328" s="126">
        <f t="shared" si="350"/>
        <v>1940000</v>
      </c>
      <c r="G328" s="126"/>
      <c r="H328" s="126"/>
      <c r="I328" s="126"/>
      <c r="J328" s="126"/>
      <c r="K328" s="126"/>
      <c r="L328" s="126"/>
      <c r="M328" s="126"/>
      <c r="N328" s="126"/>
      <c r="O328" s="126"/>
      <c r="P328" s="126"/>
      <c r="Q328" s="126">
        <f t="shared" si="347"/>
        <v>15720</v>
      </c>
      <c r="R328" s="126">
        <f t="shared" si="344"/>
        <v>628800</v>
      </c>
      <c r="S328" s="126"/>
      <c r="T328" s="127">
        <f t="shared" si="348"/>
        <v>250000</v>
      </c>
      <c r="U328" s="122">
        <f t="shared" si="345"/>
        <v>2818800</v>
      </c>
      <c r="V328" s="333"/>
      <c r="W328" s="338">
        <f t="shared" si="349"/>
        <v>234900</v>
      </c>
      <c r="X328" s="128">
        <f t="shared" si="339"/>
        <v>126850</v>
      </c>
      <c r="Y328" s="128">
        <f t="shared" si="340"/>
        <v>85560</v>
      </c>
      <c r="Z328" s="128">
        <f t="shared" si="346"/>
        <v>5610</v>
      </c>
      <c r="AA328" s="128">
        <f t="shared" si="341"/>
        <v>25370</v>
      </c>
      <c r="AB328" s="128">
        <f t="shared" si="342"/>
        <v>22550</v>
      </c>
      <c r="AC328" s="129">
        <f t="shared" si="343"/>
        <v>500840</v>
      </c>
      <c r="AD328" s="619">
        <f t="shared" si="294"/>
        <v>2317960</v>
      </c>
    </row>
    <row r="329" spans="1:31" s="24" customFormat="1" ht="16.5" hidden="1" customHeight="1">
      <c r="A329" s="1150"/>
      <c r="B329" s="119"/>
      <c r="C329" s="120"/>
      <c r="D329" s="120"/>
      <c r="E329" s="124" t="s">
        <v>64</v>
      </c>
      <c r="F329" s="126">
        <f t="shared" si="350"/>
        <v>1940000</v>
      </c>
      <c r="G329" s="126"/>
      <c r="H329" s="126"/>
      <c r="I329" s="126"/>
      <c r="J329" s="126"/>
      <c r="K329" s="126"/>
      <c r="L329" s="126"/>
      <c r="M329" s="126"/>
      <c r="N329" s="126"/>
      <c r="O329" s="126"/>
      <c r="P329" s="126"/>
      <c r="Q329" s="126">
        <f t="shared" si="347"/>
        <v>15720</v>
      </c>
      <c r="R329" s="126">
        <f t="shared" si="344"/>
        <v>628800</v>
      </c>
      <c r="S329" s="126"/>
      <c r="T329" s="127">
        <f t="shared" si="348"/>
        <v>250000</v>
      </c>
      <c r="U329" s="122">
        <f t="shared" si="345"/>
        <v>2818800</v>
      </c>
      <c r="V329" s="333"/>
      <c r="W329" s="338">
        <f t="shared" si="349"/>
        <v>234900</v>
      </c>
      <c r="X329" s="128">
        <f t="shared" si="339"/>
        <v>126850</v>
      </c>
      <c r="Y329" s="128">
        <f t="shared" si="340"/>
        <v>85560</v>
      </c>
      <c r="Z329" s="128">
        <f t="shared" si="346"/>
        <v>5610</v>
      </c>
      <c r="AA329" s="128">
        <f t="shared" si="341"/>
        <v>25370</v>
      </c>
      <c r="AB329" s="128">
        <f t="shared" si="342"/>
        <v>22550</v>
      </c>
      <c r="AC329" s="129">
        <f t="shared" si="343"/>
        <v>500840</v>
      </c>
      <c r="AD329" s="619">
        <f t="shared" si="294"/>
        <v>2317960</v>
      </c>
    </row>
    <row r="330" spans="1:31" s="24" customFormat="1" ht="16.5" hidden="1" customHeight="1">
      <c r="A330" s="1150"/>
      <c r="B330" s="119"/>
      <c r="C330" s="120"/>
      <c r="D330" s="120"/>
      <c r="E330" s="124" t="s">
        <v>332</v>
      </c>
      <c r="F330" s="126">
        <f t="shared" si="350"/>
        <v>1940000</v>
      </c>
      <c r="G330" s="126"/>
      <c r="H330" s="126"/>
      <c r="I330" s="126"/>
      <c r="J330" s="126"/>
      <c r="K330" s="126"/>
      <c r="L330" s="126"/>
      <c r="M330" s="126"/>
      <c r="N330" s="126"/>
      <c r="O330" s="126"/>
      <c r="P330" s="126"/>
      <c r="Q330" s="126">
        <f t="shared" si="347"/>
        <v>15720</v>
      </c>
      <c r="R330" s="126">
        <f>Q330*40*2</f>
        <v>1257600</v>
      </c>
      <c r="S330" s="126"/>
      <c r="T330" s="127">
        <f t="shared" si="348"/>
        <v>250000</v>
      </c>
      <c r="U330" s="122">
        <f t="shared" si="345"/>
        <v>3447600</v>
      </c>
      <c r="V330" s="333"/>
      <c r="W330" s="338">
        <f t="shared" si="349"/>
        <v>287300</v>
      </c>
      <c r="X330" s="128">
        <f t="shared" si="339"/>
        <v>155140</v>
      </c>
      <c r="Y330" s="128">
        <f t="shared" si="340"/>
        <v>104640</v>
      </c>
      <c r="Z330" s="128">
        <f t="shared" si="346"/>
        <v>6860</v>
      </c>
      <c r="AA330" s="128">
        <f t="shared" si="341"/>
        <v>31030</v>
      </c>
      <c r="AB330" s="128">
        <f t="shared" si="342"/>
        <v>27580</v>
      </c>
      <c r="AC330" s="129">
        <f t="shared" si="343"/>
        <v>612550</v>
      </c>
      <c r="AD330" s="619">
        <f t="shared" si="294"/>
        <v>2835050</v>
      </c>
    </row>
    <row r="331" spans="1:31" s="24" customFormat="1" ht="16.5" hidden="1" customHeight="1">
      <c r="A331" s="1150">
        <v>26</v>
      </c>
      <c r="B331" s="119" t="s">
        <v>95</v>
      </c>
      <c r="C331" s="120">
        <v>5</v>
      </c>
      <c r="D331" s="120">
        <v>1</v>
      </c>
      <c r="E331" s="121" t="s">
        <v>94</v>
      </c>
      <c r="F331" s="122">
        <f>SUM(F332:F343)</f>
        <v>21420000</v>
      </c>
      <c r="G331" s="122">
        <f t="shared" ref="G331:L331" si="351">SUM(G332:G343)</f>
        <v>0</v>
      </c>
      <c r="H331" s="122">
        <f t="shared" si="351"/>
        <v>0</v>
      </c>
      <c r="I331" s="122">
        <f t="shared" si="351"/>
        <v>0</v>
      </c>
      <c r="J331" s="122">
        <f t="shared" si="351"/>
        <v>0</v>
      </c>
      <c r="K331" s="122">
        <f t="shared" si="351"/>
        <v>0</v>
      </c>
      <c r="L331" s="122">
        <f t="shared" si="351"/>
        <v>0</v>
      </c>
      <c r="M331" s="122">
        <f>SUM(M332:M343)</f>
        <v>2142000</v>
      </c>
      <c r="N331" s="122">
        <f>SUM(N332:N343)</f>
        <v>0</v>
      </c>
      <c r="O331" s="122">
        <f>SUM(O332:O343)</f>
        <v>0</v>
      </c>
      <c r="P331" s="122"/>
      <c r="Q331" s="122"/>
      <c r="R331" s="122">
        <f>SUM(R332:R343)</f>
        <v>6840000</v>
      </c>
      <c r="S331" s="122">
        <f>SUM(S332:S343)</f>
        <v>0</v>
      </c>
      <c r="T331" s="122">
        <f>SUM(T332:T343)</f>
        <v>2400000</v>
      </c>
      <c r="U331" s="122">
        <f>SUM(U332:U343)</f>
        <v>32802000</v>
      </c>
      <c r="V331" s="333"/>
      <c r="W331" s="350">
        <f t="shared" ref="W331:AB331" si="352">SUM(W332:W343)</f>
        <v>2750210</v>
      </c>
      <c r="X331" s="122">
        <f t="shared" si="352"/>
        <v>1476140</v>
      </c>
      <c r="Y331" s="122">
        <f t="shared" si="352"/>
        <v>995600</v>
      </c>
      <c r="Z331" s="122">
        <f t="shared" si="352"/>
        <v>65230</v>
      </c>
      <c r="AA331" s="122">
        <f t="shared" si="352"/>
        <v>295260</v>
      </c>
      <c r="AB331" s="122">
        <f t="shared" si="352"/>
        <v>262420</v>
      </c>
      <c r="AC331" s="123">
        <f>SUM(AC332:AC343)</f>
        <v>5844860</v>
      </c>
      <c r="AD331" s="618">
        <f t="shared" si="294"/>
        <v>26957140</v>
      </c>
      <c r="AE331" s="24" t="s">
        <v>552</v>
      </c>
    </row>
    <row r="332" spans="1:31" s="24" customFormat="1" ht="16.5" hidden="1" customHeight="1">
      <c r="A332" s="1150"/>
      <c r="B332" s="119" t="s">
        <v>554</v>
      </c>
      <c r="C332" s="120">
        <v>5</v>
      </c>
      <c r="D332" s="120"/>
      <c r="E332" s="124" t="s">
        <v>457</v>
      </c>
      <c r="F332" s="125">
        <v>1785000</v>
      </c>
      <c r="G332" s="126"/>
      <c r="H332" s="125"/>
      <c r="I332" s="125"/>
      <c r="J332" s="126"/>
      <c r="K332" s="126"/>
      <c r="L332" s="126"/>
      <c r="M332" s="126"/>
      <c r="N332" s="126"/>
      <c r="O332" s="126"/>
      <c r="P332" s="126"/>
      <c r="Q332" s="126"/>
      <c r="R332" s="126"/>
      <c r="S332" s="126"/>
      <c r="T332" s="127">
        <v>200000</v>
      </c>
      <c r="U332" s="122">
        <f t="shared" ref="U332:U343" si="353">SUM(F332,M332,O332,R332,T332)</f>
        <v>1985000</v>
      </c>
      <c r="V332" s="333"/>
      <c r="W332" s="338">
        <f>ROUNDUP(U332*1/12,-1)</f>
        <v>165420</v>
      </c>
      <c r="X332" s="128">
        <f t="shared" ref="X332:X343" si="354">ROUND(U332*4.5%,-1)</f>
        <v>89330</v>
      </c>
      <c r="Y332" s="128">
        <f t="shared" ref="Y332:Y343" si="355">ROUNDUP((U332-L332)*3.035%,-1)</f>
        <v>60250</v>
      </c>
      <c r="Z332" s="128">
        <f>ROUNDUP(Y332*6.55%,-1)</f>
        <v>3950</v>
      </c>
      <c r="AA332" s="128">
        <f t="shared" ref="AA332:AA343" si="356">ROUND(U332*0.9%,-1)</f>
        <v>17870</v>
      </c>
      <c r="AB332" s="128">
        <f t="shared" ref="AB332:AB343" si="357">ROUND(U332*0.8%,-1)</f>
        <v>15880</v>
      </c>
      <c r="AC332" s="129">
        <f t="shared" ref="AC332:AC343" si="358">SUM(W332:AB332)</f>
        <v>352700</v>
      </c>
      <c r="AD332" s="619">
        <f t="shared" si="294"/>
        <v>1632300</v>
      </c>
    </row>
    <row r="333" spans="1:31" s="24" customFormat="1" ht="16.5" hidden="1" customHeight="1">
      <c r="A333" s="1150"/>
      <c r="B333" s="119"/>
      <c r="C333" s="120"/>
      <c r="D333" s="120"/>
      <c r="E333" s="124" t="s">
        <v>458</v>
      </c>
      <c r="F333" s="126">
        <f t="shared" ref="F333:F343" si="359">F332</f>
        <v>1785000</v>
      </c>
      <c r="G333" s="126"/>
      <c r="H333" s="126"/>
      <c r="I333" s="126"/>
      <c r="J333" s="126"/>
      <c r="K333" s="126"/>
      <c r="L333" s="126"/>
      <c r="M333" s="126">
        <f>F333*60%</f>
        <v>1071000</v>
      </c>
      <c r="N333" s="126"/>
      <c r="O333" s="126"/>
      <c r="P333" s="126"/>
      <c r="Q333" s="126">
        <f t="shared" ref="Q333:Q343" si="360">ROUND((F332+T332)*1/209*1.5,-1)</f>
        <v>14250</v>
      </c>
      <c r="R333" s="126">
        <f t="shared" ref="R333:R342" si="361">Q333*40</f>
        <v>570000</v>
      </c>
      <c r="S333" s="126"/>
      <c r="T333" s="127">
        <f t="shared" ref="T333:T343" si="362">T332</f>
        <v>200000</v>
      </c>
      <c r="U333" s="122">
        <f t="shared" si="353"/>
        <v>3626000</v>
      </c>
      <c r="V333" s="333"/>
      <c r="W333" s="338">
        <f>ROUNDUP((T333+U333)*1/12,-1)</f>
        <v>318840</v>
      </c>
      <c r="X333" s="128">
        <f t="shared" si="354"/>
        <v>163170</v>
      </c>
      <c r="Y333" s="128">
        <f t="shared" si="355"/>
        <v>110050</v>
      </c>
      <c r="Z333" s="128">
        <f t="shared" ref="Z333:Z343" si="363">ROUNDUP(Y333*6.55%,-1)</f>
        <v>7210</v>
      </c>
      <c r="AA333" s="128">
        <f t="shared" si="356"/>
        <v>32630</v>
      </c>
      <c r="AB333" s="128">
        <f t="shared" si="357"/>
        <v>29010</v>
      </c>
      <c r="AC333" s="129">
        <f t="shared" si="358"/>
        <v>660910</v>
      </c>
      <c r="AD333" s="619">
        <f t="shared" si="294"/>
        <v>2965090</v>
      </c>
    </row>
    <row r="334" spans="1:31" s="24" customFormat="1" ht="16.5" hidden="1" customHeight="1">
      <c r="A334" s="1150"/>
      <c r="B334" s="119"/>
      <c r="C334" s="120"/>
      <c r="D334" s="120"/>
      <c r="E334" s="124" t="s">
        <v>459</v>
      </c>
      <c r="F334" s="126">
        <f t="shared" si="359"/>
        <v>1785000</v>
      </c>
      <c r="G334" s="126"/>
      <c r="H334" s="126"/>
      <c r="I334" s="126"/>
      <c r="J334" s="126"/>
      <c r="K334" s="126"/>
      <c r="L334" s="126"/>
      <c r="M334" s="126"/>
      <c r="N334" s="126"/>
      <c r="O334" s="126"/>
      <c r="P334" s="126"/>
      <c r="Q334" s="126">
        <f t="shared" si="360"/>
        <v>14250</v>
      </c>
      <c r="R334" s="126">
        <f t="shared" si="361"/>
        <v>570000</v>
      </c>
      <c r="S334" s="126"/>
      <c r="T334" s="127">
        <f t="shared" si="362"/>
        <v>200000</v>
      </c>
      <c r="U334" s="122">
        <f t="shared" si="353"/>
        <v>2555000</v>
      </c>
      <c r="V334" s="333"/>
      <c r="W334" s="338">
        <f t="shared" ref="W334:W343" si="364">ROUNDUP(U334*1/12,-1)</f>
        <v>212920</v>
      </c>
      <c r="X334" s="128">
        <f t="shared" si="354"/>
        <v>114980</v>
      </c>
      <c r="Y334" s="128">
        <f t="shared" si="355"/>
        <v>77550</v>
      </c>
      <c r="Z334" s="128">
        <f t="shared" si="363"/>
        <v>5080</v>
      </c>
      <c r="AA334" s="128">
        <f t="shared" si="356"/>
        <v>23000</v>
      </c>
      <c r="AB334" s="128">
        <f t="shared" si="357"/>
        <v>20440</v>
      </c>
      <c r="AC334" s="129">
        <f t="shared" si="358"/>
        <v>453970</v>
      </c>
      <c r="AD334" s="619">
        <f t="shared" si="294"/>
        <v>2101030</v>
      </c>
    </row>
    <row r="335" spans="1:31" s="24" customFormat="1" ht="16.5" hidden="1" customHeight="1">
      <c r="A335" s="1150"/>
      <c r="B335" s="119"/>
      <c r="C335" s="120"/>
      <c r="D335" s="120"/>
      <c r="E335" s="124" t="s">
        <v>460</v>
      </c>
      <c r="F335" s="126">
        <f t="shared" si="359"/>
        <v>1785000</v>
      </c>
      <c r="G335" s="126"/>
      <c r="H335" s="126"/>
      <c r="I335" s="126"/>
      <c r="J335" s="126"/>
      <c r="K335" s="126"/>
      <c r="L335" s="126"/>
      <c r="M335" s="126"/>
      <c r="N335" s="126"/>
      <c r="O335" s="126"/>
      <c r="P335" s="126"/>
      <c r="Q335" s="126">
        <f t="shared" si="360"/>
        <v>14250</v>
      </c>
      <c r="R335" s="126">
        <f t="shared" si="361"/>
        <v>570000</v>
      </c>
      <c r="S335" s="126"/>
      <c r="T335" s="127">
        <f t="shared" si="362"/>
        <v>200000</v>
      </c>
      <c r="U335" s="122">
        <f t="shared" si="353"/>
        <v>2555000</v>
      </c>
      <c r="V335" s="333"/>
      <c r="W335" s="338">
        <f t="shared" si="364"/>
        <v>212920</v>
      </c>
      <c r="X335" s="128">
        <f t="shared" si="354"/>
        <v>114980</v>
      </c>
      <c r="Y335" s="128">
        <f t="shared" si="355"/>
        <v>77550</v>
      </c>
      <c r="Z335" s="128">
        <f t="shared" si="363"/>
        <v>5080</v>
      </c>
      <c r="AA335" s="128">
        <f t="shared" si="356"/>
        <v>23000</v>
      </c>
      <c r="AB335" s="128">
        <f t="shared" si="357"/>
        <v>20440</v>
      </c>
      <c r="AC335" s="129">
        <f t="shared" si="358"/>
        <v>453970</v>
      </c>
      <c r="AD335" s="619">
        <f t="shared" si="294"/>
        <v>2101030</v>
      </c>
    </row>
    <row r="336" spans="1:31" s="24" customFormat="1" ht="16.5" hidden="1" customHeight="1">
      <c r="A336" s="1150"/>
      <c r="B336" s="119"/>
      <c r="C336" s="120"/>
      <c r="D336" s="120"/>
      <c r="E336" s="124" t="s">
        <v>461</v>
      </c>
      <c r="F336" s="126">
        <f t="shared" si="359"/>
        <v>1785000</v>
      </c>
      <c r="G336" s="126"/>
      <c r="H336" s="126"/>
      <c r="I336" s="126"/>
      <c r="J336" s="126"/>
      <c r="K336" s="126"/>
      <c r="L336" s="126"/>
      <c r="M336" s="126"/>
      <c r="N336" s="126"/>
      <c r="O336" s="126"/>
      <c r="P336" s="126"/>
      <c r="Q336" s="126">
        <f t="shared" si="360"/>
        <v>14250</v>
      </c>
      <c r="R336" s="126">
        <f t="shared" si="361"/>
        <v>570000</v>
      </c>
      <c r="S336" s="126"/>
      <c r="T336" s="127">
        <f t="shared" si="362"/>
        <v>200000</v>
      </c>
      <c r="U336" s="122">
        <f t="shared" si="353"/>
        <v>2555000</v>
      </c>
      <c r="V336" s="333"/>
      <c r="W336" s="338">
        <f t="shared" si="364"/>
        <v>212920</v>
      </c>
      <c r="X336" s="128">
        <f t="shared" si="354"/>
        <v>114980</v>
      </c>
      <c r="Y336" s="128">
        <f t="shared" si="355"/>
        <v>77550</v>
      </c>
      <c r="Z336" s="128">
        <f t="shared" si="363"/>
        <v>5080</v>
      </c>
      <c r="AA336" s="128">
        <f t="shared" si="356"/>
        <v>23000</v>
      </c>
      <c r="AB336" s="128">
        <f t="shared" si="357"/>
        <v>20440</v>
      </c>
      <c r="AC336" s="129">
        <f t="shared" si="358"/>
        <v>453970</v>
      </c>
      <c r="AD336" s="619">
        <f t="shared" si="294"/>
        <v>2101030</v>
      </c>
    </row>
    <row r="337" spans="1:30" s="24" customFormat="1" ht="16.5" hidden="1" customHeight="1">
      <c r="A337" s="1150"/>
      <c r="B337" s="119"/>
      <c r="C337" s="120"/>
      <c r="D337" s="120"/>
      <c r="E337" s="124" t="s">
        <v>462</v>
      </c>
      <c r="F337" s="126">
        <f t="shared" si="359"/>
        <v>1785000</v>
      </c>
      <c r="G337" s="126"/>
      <c r="H337" s="126"/>
      <c r="I337" s="126"/>
      <c r="J337" s="126"/>
      <c r="K337" s="126"/>
      <c r="L337" s="126"/>
      <c r="M337" s="126"/>
      <c r="N337" s="126"/>
      <c r="O337" s="126"/>
      <c r="P337" s="126"/>
      <c r="Q337" s="126">
        <f t="shared" si="360"/>
        <v>14250</v>
      </c>
      <c r="R337" s="126">
        <f t="shared" si="361"/>
        <v>570000</v>
      </c>
      <c r="S337" s="126"/>
      <c r="T337" s="127">
        <f t="shared" si="362"/>
        <v>200000</v>
      </c>
      <c r="U337" s="122">
        <f t="shared" si="353"/>
        <v>2555000</v>
      </c>
      <c r="V337" s="333"/>
      <c r="W337" s="338">
        <f t="shared" si="364"/>
        <v>212920</v>
      </c>
      <c r="X337" s="128">
        <f t="shared" si="354"/>
        <v>114980</v>
      </c>
      <c r="Y337" s="128">
        <f t="shared" si="355"/>
        <v>77550</v>
      </c>
      <c r="Z337" s="128">
        <f t="shared" si="363"/>
        <v>5080</v>
      </c>
      <c r="AA337" s="128">
        <f t="shared" si="356"/>
        <v>23000</v>
      </c>
      <c r="AB337" s="128">
        <f t="shared" si="357"/>
        <v>20440</v>
      </c>
      <c r="AC337" s="129">
        <f t="shared" si="358"/>
        <v>453970</v>
      </c>
      <c r="AD337" s="619">
        <f t="shared" si="294"/>
        <v>2101030</v>
      </c>
    </row>
    <row r="338" spans="1:30" s="24" customFormat="1" ht="16.5" hidden="1" customHeight="1">
      <c r="A338" s="1150"/>
      <c r="B338" s="119"/>
      <c r="C338" s="120"/>
      <c r="D338" s="120"/>
      <c r="E338" s="124" t="s">
        <v>330</v>
      </c>
      <c r="F338" s="126">
        <f t="shared" si="359"/>
        <v>1785000</v>
      </c>
      <c r="G338" s="126"/>
      <c r="H338" s="125"/>
      <c r="I338" s="127"/>
      <c r="J338" s="126"/>
      <c r="K338" s="126"/>
      <c r="L338" s="126"/>
      <c r="M338" s="126"/>
      <c r="N338" s="126"/>
      <c r="O338" s="126"/>
      <c r="P338" s="126"/>
      <c r="Q338" s="126">
        <f t="shared" si="360"/>
        <v>14250</v>
      </c>
      <c r="R338" s="126">
        <f t="shared" si="361"/>
        <v>570000</v>
      </c>
      <c r="S338" s="126"/>
      <c r="T338" s="127">
        <f t="shared" si="362"/>
        <v>200000</v>
      </c>
      <c r="U338" s="122">
        <f t="shared" si="353"/>
        <v>2555000</v>
      </c>
      <c r="V338" s="333"/>
      <c r="W338" s="338">
        <f t="shared" si="364"/>
        <v>212920</v>
      </c>
      <c r="X338" s="128">
        <f t="shared" si="354"/>
        <v>114980</v>
      </c>
      <c r="Y338" s="128">
        <f t="shared" si="355"/>
        <v>77550</v>
      </c>
      <c r="Z338" s="128">
        <f t="shared" si="363"/>
        <v>5080</v>
      </c>
      <c r="AA338" s="128">
        <f t="shared" si="356"/>
        <v>23000</v>
      </c>
      <c r="AB338" s="128">
        <f t="shared" si="357"/>
        <v>20440</v>
      </c>
      <c r="AC338" s="129">
        <f t="shared" si="358"/>
        <v>453970</v>
      </c>
      <c r="AD338" s="619">
        <f t="shared" si="294"/>
        <v>2101030</v>
      </c>
    </row>
    <row r="339" spans="1:30" s="24" customFormat="1" ht="16.5" hidden="1" customHeight="1">
      <c r="A339" s="1150"/>
      <c r="B339" s="119"/>
      <c r="C339" s="120"/>
      <c r="D339" s="120"/>
      <c r="E339" s="124" t="s">
        <v>331</v>
      </c>
      <c r="F339" s="126">
        <f t="shared" si="359"/>
        <v>1785000</v>
      </c>
      <c r="G339" s="126"/>
      <c r="H339" s="126"/>
      <c r="I339" s="126"/>
      <c r="J339" s="126"/>
      <c r="K339" s="126"/>
      <c r="L339" s="126"/>
      <c r="M339" s="126"/>
      <c r="N339" s="126"/>
      <c r="O339" s="126"/>
      <c r="P339" s="126"/>
      <c r="Q339" s="126">
        <f t="shared" si="360"/>
        <v>14250</v>
      </c>
      <c r="R339" s="126">
        <f t="shared" si="361"/>
        <v>570000</v>
      </c>
      <c r="S339" s="126"/>
      <c r="T339" s="127">
        <f t="shared" si="362"/>
        <v>200000</v>
      </c>
      <c r="U339" s="122">
        <f t="shared" si="353"/>
        <v>2555000</v>
      </c>
      <c r="V339" s="333"/>
      <c r="W339" s="338">
        <f t="shared" si="364"/>
        <v>212920</v>
      </c>
      <c r="X339" s="128">
        <f t="shared" si="354"/>
        <v>114980</v>
      </c>
      <c r="Y339" s="128">
        <f t="shared" si="355"/>
        <v>77550</v>
      </c>
      <c r="Z339" s="128">
        <f t="shared" si="363"/>
        <v>5080</v>
      </c>
      <c r="AA339" s="128">
        <f t="shared" si="356"/>
        <v>23000</v>
      </c>
      <c r="AB339" s="128">
        <f t="shared" si="357"/>
        <v>20440</v>
      </c>
      <c r="AC339" s="129">
        <f t="shared" si="358"/>
        <v>453970</v>
      </c>
      <c r="AD339" s="619">
        <f t="shared" si="294"/>
        <v>2101030</v>
      </c>
    </row>
    <row r="340" spans="1:30" s="24" customFormat="1" ht="16.5" hidden="1" customHeight="1">
      <c r="A340" s="1150"/>
      <c r="B340" s="119"/>
      <c r="C340" s="120"/>
      <c r="D340" s="120"/>
      <c r="E340" s="124" t="s">
        <v>62</v>
      </c>
      <c r="F340" s="126">
        <f t="shared" si="359"/>
        <v>1785000</v>
      </c>
      <c r="G340" s="126"/>
      <c r="H340" s="126"/>
      <c r="I340" s="126"/>
      <c r="J340" s="126"/>
      <c r="K340" s="126"/>
      <c r="L340" s="126"/>
      <c r="M340" s="126">
        <f>F340*60%</f>
        <v>1071000</v>
      </c>
      <c r="N340" s="126"/>
      <c r="O340" s="126"/>
      <c r="P340" s="126"/>
      <c r="Q340" s="126">
        <f t="shared" si="360"/>
        <v>14250</v>
      </c>
      <c r="R340" s="126">
        <f t="shared" si="361"/>
        <v>570000</v>
      </c>
      <c r="S340" s="126"/>
      <c r="T340" s="127">
        <f t="shared" si="362"/>
        <v>200000</v>
      </c>
      <c r="U340" s="122">
        <f t="shared" si="353"/>
        <v>3626000</v>
      </c>
      <c r="V340" s="333"/>
      <c r="W340" s="338">
        <f t="shared" si="364"/>
        <v>302170</v>
      </c>
      <c r="X340" s="128">
        <f t="shared" si="354"/>
        <v>163170</v>
      </c>
      <c r="Y340" s="128">
        <f t="shared" si="355"/>
        <v>110050</v>
      </c>
      <c r="Z340" s="128">
        <f t="shared" si="363"/>
        <v>7210</v>
      </c>
      <c r="AA340" s="128">
        <f t="shared" si="356"/>
        <v>32630</v>
      </c>
      <c r="AB340" s="128">
        <f t="shared" si="357"/>
        <v>29010</v>
      </c>
      <c r="AC340" s="129">
        <f t="shared" si="358"/>
        <v>644240</v>
      </c>
      <c r="AD340" s="619">
        <f t="shared" si="294"/>
        <v>2981760</v>
      </c>
    </row>
    <row r="341" spans="1:30" s="24" customFormat="1" ht="16.5" hidden="1" customHeight="1">
      <c r="A341" s="1150"/>
      <c r="B341" s="119"/>
      <c r="C341" s="120"/>
      <c r="D341" s="120"/>
      <c r="E341" s="124" t="s">
        <v>63</v>
      </c>
      <c r="F341" s="126">
        <f t="shared" si="359"/>
        <v>1785000</v>
      </c>
      <c r="G341" s="126"/>
      <c r="H341" s="126"/>
      <c r="I341" s="126"/>
      <c r="J341" s="126"/>
      <c r="K341" s="126"/>
      <c r="L341" s="126"/>
      <c r="M341" s="126"/>
      <c r="N341" s="126"/>
      <c r="O341" s="126"/>
      <c r="P341" s="126"/>
      <c r="Q341" s="126">
        <f t="shared" si="360"/>
        <v>14250</v>
      </c>
      <c r="R341" s="126">
        <f t="shared" si="361"/>
        <v>570000</v>
      </c>
      <c r="S341" s="126"/>
      <c r="T341" s="127">
        <f t="shared" si="362"/>
        <v>200000</v>
      </c>
      <c r="U341" s="122">
        <f t="shared" si="353"/>
        <v>2555000</v>
      </c>
      <c r="V341" s="333"/>
      <c r="W341" s="338">
        <f t="shared" si="364"/>
        <v>212920</v>
      </c>
      <c r="X341" s="128">
        <f t="shared" si="354"/>
        <v>114980</v>
      </c>
      <c r="Y341" s="128">
        <f t="shared" si="355"/>
        <v>77550</v>
      </c>
      <c r="Z341" s="128">
        <f t="shared" si="363"/>
        <v>5080</v>
      </c>
      <c r="AA341" s="128">
        <f t="shared" si="356"/>
        <v>23000</v>
      </c>
      <c r="AB341" s="128">
        <f t="shared" si="357"/>
        <v>20440</v>
      </c>
      <c r="AC341" s="129">
        <f t="shared" si="358"/>
        <v>453970</v>
      </c>
      <c r="AD341" s="619">
        <f t="shared" ref="AD341:AD404" si="365">U341-AC341</f>
        <v>2101030</v>
      </c>
    </row>
    <row r="342" spans="1:30" s="24" customFormat="1" ht="16.5" hidden="1" customHeight="1">
      <c r="A342" s="1150"/>
      <c r="B342" s="119"/>
      <c r="C342" s="120"/>
      <c r="D342" s="120"/>
      <c r="E342" s="124" t="s">
        <v>64</v>
      </c>
      <c r="F342" s="126">
        <f t="shared" si="359"/>
        <v>1785000</v>
      </c>
      <c r="G342" s="126"/>
      <c r="H342" s="126"/>
      <c r="I342" s="126"/>
      <c r="J342" s="126"/>
      <c r="K342" s="126"/>
      <c r="L342" s="126"/>
      <c r="M342" s="126"/>
      <c r="N342" s="126"/>
      <c r="O342" s="126"/>
      <c r="P342" s="126"/>
      <c r="Q342" s="126">
        <f t="shared" si="360"/>
        <v>14250</v>
      </c>
      <c r="R342" s="126">
        <f t="shared" si="361"/>
        <v>570000</v>
      </c>
      <c r="S342" s="126"/>
      <c r="T342" s="127">
        <f t="shared" si="362"/>
        <v>200000</v>
      </c>
      <c r="U342" s="122">
        <f t="shared" si="353"/>
        <v>2555000</v>
      </c>
      <c r="V342" s="333"/>
      <c r="W342" s="338">
        <f t="shared" si="364"/>
        <v>212920</v>
      </c>
      <c r="X342" s="128">
        <f t="shared" si="354"/>
        <v>114980</v>
      </c>
      <c r="Y342" s="128">
        <f t="shared" si="355"/>
        <v>77550</v>
      </c>
      <c r="Z342" s="128">
        <f t="shared" si="363"/>
        <v>5080</v>
      </c>
      <c r="AA342" s="128">
        <f t="shared" si="356"/>
        <v>23000</v>
      </c>
      <c r="AB342" s="128">
        <f t="shared" si="357"/>
        <v>20440</v>
      </c>
      <c r="AC342" s="129">
        <f t="shared" si="358"/>
        <v>453970</v>
      </c>
      <c r="AD342" s="619">
        <f t="shared" si="365"/>
        <v>2101030</v>
      </c>
    </row>
    <row r="343" spans="1:30" s="24" customFormat="1" ht="16.5" hidden="1" customHeight="1">
      <c r="A343" s="1150"/>
      <c r="B343" s="119"/>
      <c r="C343" s="120"/>
      <c r="D343" s="120"/>
      <c r="E343" s="124" t="s">
        <v>463</v>
      </c>
      <c r="F343" s="126">
        <f t="shared" si="359"/>
        <v>1785000</v>
      </c>
      <c r="G343" s="126"/>
      <c r="H343" s="126"/>
      <c r="I343" s="126"/>
      <c r="J343" s="126"/>
      <c r="K343" s="126"/>
      <c r="L343" s="126"/>
      <c r="M343" s="126"/>
      <c r="N343" s="126"/>
      <c r="O343" s="126"/>
      <c r="P343" s="126"/>
      <c r="Q343" s="126">
        <f t="shared" si="360"/>
        <v>14250</v>
      </c>
      <c r="R343" s="126">
        <f>Q343*40*2</f>
        <v>1140000</v>
      </c>
      <c r="S343" s="126"/>
      <c r="T343" s="127">
        <f t="shared" si="362"/>
        <v>200000</v>
      </c>
      <c r="U343" s="122">
        <f t="shared" si="353"/>
        <v>3125000</v>
      </c>
      <c r="V343" s="333"/>
      <c r="W343" s="338">
        <f t="shared" si="364"/>
        <v>260420</v>
      </c>
      <c r="X343" s="128">
        <f t="shared" si="354"/>
        <v>140630</v>
      </c>
      <c r="Y343" s="128">
        <f t="shared" si="355"/>
        <v>94850</v>
      </c>
      <c r="Z343" s="128">
        <f t="shared" si="363"/>
        <v>6220</v>
      </c>
      <c r="AA343" s="128">
        <f t="shared" si="356"/>
        <v>28130</v>
      </c>
      <c r="AB343" s="128">
        <f t="shared" si="357"/>
        <v>25000</v>
      </c>
      <c r="AC343" s="129">
        <f t="shared" si="358"/>
        <v>555250</v>
      </c>
      <c r="AD343" s="619">
        <f t="shared" si="365"/>
        <v>2569750</v>
      </c>
    </row>
    <row r="344" spans="1:30" s="24" customFormat="1" ht="18" hidden="1" customHeight="1">
      <c r="A344" s="1150">
        <v>27</v>
      </c>
      <c r="B344" s="119" t="s">
        <v>95</v>
      </c>
      <c r="C344" s="572" t="s">
        <v>661</v>
      </c>
      <c r="D344" s="120">
        <v>1</v>
      </c>
      <c r="E344" s="121" t="s">
        <v>94</v>
      </c>
      <c r="F344" s="122">
        <f t="shared" ref="F344:L344" si="366">SUM(F345:F356)</f>
        <v>23092000</v>
      </c>
      <c r="G344" s="122">
        <f t="shared" si="366"/>
        <v>0</v>
      </c>
      <c r="H344" s="122">
        <f t="shared" si="366"/>
        <v>0</v>
      </c>
      <c r="I344" s="122">
        <f t="shared" si="366"/>
        <v>0</v>
      </c>
      <c r="J344" s="122">
        <f t="shared" si="366"/>
        <v>0</v>
      </c>
      <c r="K344" s="122">
        <f t="shared" si="366"/>
        <v>0</v>
      </c>
      <c r="L344" s="122">
        <f t="shared" si="366"/>
        <v>0</v>
      </c>
      <c r="M344" s="122">
        <f>SUM(M345:M356)</f>
        <v>2299800</v>
      </c>
      <c r="N344" s="122">
        <f>SUM(N345:N356)</f>
        <v>0</v>
      </c>
      <c r="O344" s="122">
        <f>SUM(O345:O356)</f>
        <v>580000</v>
      </c>
      <c r="P344" s="122"/>
      <c r="Q344" s="122"/>
      <c r="R344" s="122">
        <f>SUM(R345:R356)</f>
        <v>7491200</v>
      </c>
      <c r="S344" s="122">
        <f>SUM(S345:S356)</f>
        <v>0</v>
      </c>
      <c r="T344" s="122">
        <f>SUM(T345:T356)</f>
        <v>3000000</v>
      </c>
      <c r="U344" s="122">
        <f>SUM(U345:U356)</f>
        <v>36463000</v>
      </c>
      <c r="V344" s="333"/>
      <c r="W344" s="350">
        <f t="shared" ref="W344:AB344" si="367">SUM(W345:W356)</f>
        <v>3059450</v>
      </c>
      <c r="X344" s="122">
        <f t="shared" si="367"/>
        <v>1640860</v>
      </c>
      <c r="Y344" s="122">
        <f t="shared" si="367"/>
        <v>1106720</v>
      </c>
      <c r="Z344" s="122">
        <f t="shared" si="367"/>
        <v>72570</v>
      </c>
      <c r="AA344" s="122">
        <f t="shared" si="367"/>
        <v>328180</v>
      </c>
      <c r="AB344" s="122">
        <f t="shared" si="367"/>
        <v>291700</v>
      </c>
      <c r="AC344" s="123">
        <f>SUM(AC345:AC356)</f>
        <v>6499480</v>
      </c>
      <c r="AD344" s="618">
        <f t="shared" si="365"/>
        <v>29963520</v>
      </c>
    </row>
    <row r="345" spans="1:30" s="24" customFormat="1" ht="18" hidden="1" customHeight="1">
      <c r="A345" s="1150"/>
      <c r="B345" s="119" t="s">
        <v>555</v>
      </c>
      <c r="C345" s="120">
        <v>6</v>
      </c>
      <c r="D345" s="120"/>
      <c r="E345" s="124" t="s">
        <v>324</v>
      </c>
      <c r="F345" s="125">
        <v>1893000</v>
      </c>
      <c r="G345" s="126"/>
      <c r="H345" s="125"/>
      <c r="I345" s="125"/>
      <c r="J345" s="126"/>
      <c r="K345" s="126"/>
      <c r="L345" s="126"/>
      <c r="M345" s="126"/>
      <c r="N345" s="126"/>
      <c r="O345" s="126">
        <v>40000</v>
      </c>
      <c r="P345" s="126"/>
      <c r="Q345" s="126"/>
      <c r="R345" s="126"/>
      <c r="S345" s="126"/>
      <c r="T345" s="127">
        <v>250000</v>
      </c>
      <c r="U345" s="122">
        <f>SUM(F345,M345,O345,R345,T345)</f>
        <v>2183000</v>
      </c>
      <c r="V345" s="333"/>
      <c r="W345" s="338">
        <f>ROUNDUP(U345*1/12,-1)</f>
        <v>181920</v>
      </c>
      <c r="X345" s="128">
        <f t="shared" ref="X345:X356" si="368">ROUND(U345*4.5%,-1)</f>
        <v>98240</v>
      </c>
      <c r="Y345" s="128">
        <f t="shared" ref="Y345:Y356" si="369">ROUNDUP((U345-L345)*3.035%,-1)</f>
        <v>66260</v>
      </c>
      <c r="Z345" s="128">
        <f t="shared" ref="Z345:Z356" si="370">ROUNDUP(Y345*6.55%,-1)</f>
        <v>4350</v>
      </c>
      <c r="AA345" s="128">
        <f t="shared" ref="AA345:AA356" si="371">ROUND(U345*0.9%,-1)</f>
        <v>19650</v>
      </c>
      <c r="AB345" s="128">
        <f t="shared" ref="AB345:AB356" si="372">ROUND(U345*0.8%,-1)</f>
        <v>17460</v>
      </c>
      <c r="AC345" s="129">
        <f t="shared" ref="AC345:AC356" si="373">SUM(W345:AB345)</f>
        <v>387880</v>
      </c>
      <c r="AD345" s="619">
        <f t="shared" si="365"/>
        <v>1795120</v>
      </c>
    </row>
    <row r="346" spans="1:30" s="24" customFormat="1" ht="18" hidden="1" customHeight="1">
      <c r="A346" s="1150"/>
      <c r="B346" s="119"/>
      <c r="C346" s="120"/>
      <c r="D346" s="120"/>
      <c r="E346" s="124" t="s">
        <v>325</v>
      </c>
      <c r="F346" s="126">
        <f>F345</f>
        <v>1893000</v>
      </c>
      <c r="G346" s="126"/>
      <c r="H346" s="126"/>
      <c r="I346" s="126"/>
      <c r="J346" s="126"/>
      <c r="K346" s="126"/>
      <c r="L346" s="126"/>
      <c r="M346" s="126">
        <f>F346*60%</f>
        <v>1135800</v>
      </c>
      <c r="N346" s="126"/>
      <c r="O346" s="126">
        <f>O345</f>
        <v>40000</v>
      </c>
      <c r="P346" s="126"/>
      <c r="Q346" s="126">
        <f t="shared" ref="Q346:Q356" si="374">ROUND((F345+T345)*1/209*1.5,-1)</f>
        <v>15380</v>
      </c>
      <c r="R346" s="126">
        <f>Q346*40</f>
        <v>615200</v>
      </c>
      <c r="S346" s="126"/>
      <c r="T346" s="127">
        <f t="shared" ref="T346:T356" si="375">T345</f>
        <v>250000</v>
      </c>
      <c r="U346" s="122">
        <f t="shared" ref="U346:U356" si="376">SUM(F346,M346,O346,R346,T346)</f>
        <v>3934000</v>
      </c>
      <c r="V346" s="333"/>
      <c r="W346" s="338">
        <f>ROUNDUP((T346+U346)*1/12,-1)</f>
        <v>348670</v>
      </c>
      <c r="X346" s="128">
        <f t="shared" si="368"/>
        <v>177030</v>
      </c>
      <c r="Y346" s="128">
        <f t="shared" si="369"/>
        <v>119400</v>
      </c>
      <c r="Z346" s="128">
        <f t="shared" si="370"/>
        <v>7830</v>
      </c>
      <c r="AA346" s="128">
        <f t="shared" si="371"/>
        <v>35410</v>
      </c>
      <c r="AB346" s="128">
        <f t="shared" si="372"/>
        <v>31470</v>
      </c>
      <c r="AC346" s="129">
        <f t="shared" si="373"/>
        <v>719810</v>
      </c>
      <c r="AD346" s="619">
        <f t="shared" si="365"/>
        <v>3214190</v>
      </c>
    </row>
    <row r="347" spans="1:30" s="24" customFormat="1" ht="18" hidden="1" customHeight="1">
      <c r="A347" s="1150"/>
      <c r="B347" s="119"/>
      <c r="C347" s="120"/>
      <c r="D347" s="120"/>
      <c r="E347" s="124" t="s">
        <v>326</v>
      </c>
      <c r="F347" s="126">
        <f>F346</f>
        <v>1893000</v>
      </c>
      <c r="G347" s="126"/>
      <c r="H347" s="126"/>
      <c r="I347" s="126"/>
      <c r="J347" s="126"/>
      <c r="K347" s="126"/>
      <c r="L347" s="126"/>
      <c r="M347" s="126"/>
      <c r="N347" s="126"/>
      <c r="O347" s="126">
        <f t="shared" ref="O347:O356" si="377">O346</f>
        <v>40000</v>
      </c>
      <c r="P347" s="126"/>
      <c r="Q347" s="126">
        <f t="shared" si="374"/>
        <v>15380</v>
      </c>
      <c r="R347" s="126">
        <f>Q347*40</f>
        <v>615200</v>
      </c>
      <c r="S347" s="126"/>
      <c r="T347" s="127">
        <f t="shared" si="375"/>
        <v>250000</v>
      </c>
      <c r="U347" s="122">
        <f t="shared" si="376"/>
        <v>2798200</v>
      </c>
      <c r="V347" s="333"/>
      <c r="W347" s="338">
        <f t="shared" ref="W347:W356" si="378">ROUNDUP(U347*1/12,-1)</f>
        <v>233190</v>
      </c>
      <c r="X347" s="128">
        <f t="shared" si="368"/>
        <v>125920</v>
      </c>
      <c r="Y347" s="128">
        <f t="shared" si="369"/>
        <v>84930</v>
      </c>
      <c r="Z347" s="128">
        <f t="shared" si="370"/>
        <v>5570</v>
      </c>
      <c r="AA347" s="128">
        <f t="shared" si="371"/>
        <v>25180</v>
      </c>
      <c r="AB347" s="128">
        <f t="shared" si="372"/>
        <v>22390</v>
      </c>
      <c r="AC347" s="129">
        <f t="shared" si="373"/>
        <v>497180</v>
      </c>
      <c r="AD347" s="619">
        <f t="shared" si="365"/>
        <v>2301020</v>
      </c>
    </row>
    <row r="348" spans="1:30" s="24" customFormat="1" ht="17.25" hidden="1" customHeight="1">
      <c r="A348" s="1150"/>
      <c r="B348" s="119"/>
      <c r="C348" s="120"/>
      <c r="D348" s="120"/>
      <c r="E348" s="124" t="s">
        <v>327</v>
      </c>
      <c r="F348" s="126">
        <f>F347</f>
        <v>1893000</v>
      </c>
      <c r="G348" s="126"/>
      <c r="H348" s="126"/>
      <c r="I348" s="126"/>
      <c r="J348" s="126"/>
      <c r="K348" s="126"/>
      <c r="L348" s="126"/>
      <c r="M348" s="126"/>
      <c r="N348" s="126"/>
      <c r="O348" s="126">
        <f t="shared" si="377"/>
        <v>40000</v>
      </c>
      <c r="P348" s="126"/>
      <c r="Q348" s="126">
        <f t="shared" si="374"/>
        <v>15380</v>
      </c>
      <c r="R348" s="126">
        <f t="shared" ref="R348:R355" si="379">Q348*40</f>
        <v>615200</v>
      </c>
      <c r="S348" s="126"/>
      <c r="T348" s="127">
        <f t="shared" si="375"/>
        <v>250000</v>
      </c>
      <c r="U348" s="122">
        <f t="shared" si="376"/>
        <v>2798200</v>
      </c>
      <c r="V348" s="333"/>
      <c r="W348" s="338">
        <f t="shared" si="378"/>
        <v>233190</v>
      </c>
      <c r="X348" s="128">
        <f t="shared" si="368"/>
        <v>125920</v>
      </c>
      <c r="Y348" s="128">
        <f t="shared" si="369"/>
        <v>84930</v>
      </c>
      <c r="Z348" s="128">
        <f t="shared" si="370"/>
        <v>5570</v>
      </c>
      <c r="AA348" s="128">
        <f t="shared" si="371"/>
        <v>25180</v>
      </c>
      <c r="AB348" s="128">
        <f t="shared" si="372"/>
        <v>22390</v>
      </c>
      <c r="AC348" s="129">
        <f t="shared" si="373"/>
        <v>497180</v>
      </c>
      <c r="AD348" s="619">
        <f t="shared" si="365"/>
        <v>2301020</v>
      </c>
    </row>
    <row r="349" spans="1:30" s="24" customFormat="1" ht="17.25" hidden="1" customHeight="1">
      <c r="A349" s="1150"/>
      <c r="B349" s="119"/>
      <c r="C349" s="120">
        <v>7</v>
      </c>
      <c r="D349" s="120"/>
      <c r="E349" s="124" t="s">
        <v>328</v>
      </c>
      <c r="F349" s="591">
        <v>1940000</v>
      </c>
      <c r="G349" s="126"/>
      <c r="H349" s="126"/>
      <c r="I349" s="126"/>
      <c r="J349" s="126"/>
      <c r="K349" s="126"/>
      <c r="L349" s="126"/>
      <c r="M349" s="126"/>
      <c r="N349" s="126"/>
      <c r="O349" s="126">
        <f t="shared" si="377"/>
        <v>40000</v>
      </c>
      <c r="P349" s="126"/>
      <c r="Q349" s="126">
        <f t="shared" si="374"/>
        <v>15380</v>
      </c>
      <c r="R349" s="126">
        <f t="shared" si="379"/>
        <v>615200</v>
      </c>
      <c r="S349" s="126"/>
      <c r="T349" s="127">
        <v>250000</v>
      </c>
      <c r="U349" s="122">
        <f t="shared" si="376"/>
        <v>2845200</v>
      </c>
      <c r="V349" s="333"/>
      <c r="W349" s="338">
        <f t="shared" si="378"/>
        <v>237100</v>
      </c>
      <c r="X349" s="128">
        <f t="shared" si="368"/>
        <v>128030</v>
      </c>
      <c r="Y349" s="128">
        <f t="shared" si="369"/>
        <v>86360</v>
      </c>
      <c r="Z349" s="128">
        <f t="shared" si="370"/>
        <v>5660</v>
      </c>
      <c r="AA349" s="128">
        <f t="shared" si="371"/>
        <v>25610</v>
      </c>
      <c r="AB349" s="128">
        <f t="shared" si="372"/>
        <v>22760</v>
      </c>
      <c r="AC349" s="129">
        <f t="shared" si="373"/>
        <v>505520</v>
      </c>
      <c r="AD349" s="619">
        <f t="shared" si="365"/>
        <v>2339680</v>
      </c>
    </row>
    <row r="350" spans="1:30" s="24" customFormat="1" ht="17.25" hidden="1" customHeight="1">
      <c r="A350" s="1150"/>
      <c r="B350" s="119"/>
      <c r="C350" s="120"/>
      <c r="D350" s="120"/>
      <c r="E350" s="124" t="s">
        <v>329</v>
      </c>
      <c r="F350" s="126">
        <f t="shared" ref="F350:F356" si="380">F349</f>
        <v>1940000</v>
      </c>
      <c r="G350" s="126"/>
      <c r="H350" s="126"/>
      <c r="I350" s="126"/>
      <c r="J350" s="126"/>
      <c r="K350" s="126"/>
      <c r="L350" s="126"/>
      <c r="M350" s="126"/>
      <c r="N350" s="126"/>
      <c r="O350" s="126">
        <f t="shared" si="377"/>
        <v>40000</v>
      </c>
      <c r="P350" s="126"/>
      <c r="Q350" s="126">
        <f t="shared" si="374"/>
        <v>15720</v>
      </c>
      <c r="R350" s="126">
        <f t="shared" si="379"/>
        <v>628800</v>
      </c>
      <c r="S350" s="126"/>
      <c r="T350" s="127">
        <f t="shared" si="375"/>
        <v>250000</v>
      </c>
      <c r="U350" s="122">
        <f t="shared" si="376"/>
        <v>2858800</v>
      </c>
      <c r="V350" s="333"/>
      <c r="W350" s="338">
        <f t="shared" si="378"/>
        <v>238240</v>
      </c>
      <c r="X350" s="128">
        <f t="shared" si="368"/>
        <v>128650</v>
      </c>
      <c r="Y350" s="128">
        <f t="shared" si="369"/>
        <v>86770</v>
      </c>
      <c r="Z350" s="128">
        <f t="shared" si="370"/>
        <v>5690</v>
      </c>
      <c r="AA350" s="128">
        <f t="shared" si="371"/>
        <v>25730</v>
      </c>
      <c r="AB350" s="128">
        <f t="shared" si="372"/>
        <v>22870</v>
      </c>
      <c r="AC350" s="129">
        <f t="shared" si="373"/>
        <v>507950</v>
      </c>
      <c r="AD350" s="619">
        <f t="shared" si="365"/>
        <v>2350850</v>
      </c>
    </row>
    <row r="351" spans="1:30" s="24" customFormat="1" ht="17.25" hidden="1" customHeight="1">
      <c r="A351" s="1150"/>
      <c r="B351" s="119"/>
      <c r="C351" s="120"/>
      <c r="D351" s="120"/>
      <c r="E351" s="124" t="s">
        <v>330</v>
      </c>
      <c r="F351" s="126">
        <f t="shared" si="380"/>
        <v>1940000</v>
      </c>
      <c r="G351" s="126"/>
      <c r="H351" s="125"/>
      <c r="I351" s="127"/>
      <c r="J351" s="126"/>
      <c r="K351" s="126"/>
      <c r="L351" s="126"/>
      <c r="M351" s="126"/>
      <c r="N351" s="126"/>
      <c r="O351" s="126">
        <f t="shared" si="377"/>
        <v>40000</v>
      </c>
      <c r="P351" s="126"/>
      <c r="Q351" s="126">
        <f t="shared" si="374"/>
        <v>15720</v>
      </c>
      <c r="R351" s="126">
        <f t="shared" si="379"/>
        <v>628800</v>
      </c>
      <c r="S351" s="126"/>
      <c r="T351" s="127">
        <f t="shared" si="375"/>
        <v>250000</v>
      </c>
      <c r="U351" s="122">
        <f t="shared" si="376"/>
        <v>2858800</v>
      </c>
      <c r="V351" s="333"/>
      <c r="W351" s="338">
        <f t="shared" si="378"/>
        <v>238240</v>
      </c>
      <c r="X351" s="128">
        <f t="shared" si="368"/>
        <v>128650</v>
      </c>
      <c r="Y351" s="128">
        <f t="shared" si="369"/>
        <v>86770</v>
      </c>
      <c r="Z351" s="128">
        <f t="shared" si="370"/>
        <v>5690</v>
      </c>
      <c r="AA351" s="128">
        <f t="shared" si="371"/>
        <v>25730</v>
      </c>
      <c r="AB351" s="128">
        <f t="shared" si="372"/>
        <v>22870</v>
      </c>
      <c r="AC351" s="129">
        <f t="shared" si="373"/>
        <v>507950</v>
      </c>
      <c r="AD351" s="619">
        <f t="shared" si="365"/>
        <v>2350850</v>
      </c>
    </row>
    <row r="352" spans="1:30" s="24" customFormat="1" ht="17.25" hidden="1" customHeight="1">
      <c r="A352" s="1150"/>
      <c r="B352" s="119"/>
      <c r="C352" s="120"/>
      <c r="D352" s="120"/>
      <c r="E352" s="124" t="s">
        <v>331</v>
      </c>
      <c r="F352" s="126">
        <f t="shared" si="380"/>
        <v>1940000</v>
      </c>
      <c r="G352" s="126"/>
      <c r="H352" s="126"/>
      <c r="I352" s="126"/>
      <c r="J352" s="126"/>
      <c r="K352" s="126"/>
      <c r="L352" s="126"/>
      <c r="M352" s="126"/>
      <c r="N352" s="126"/>
      <c r="O352" s="126">
        <v>60000</v>
      </c>
      <c r="P352" s="126"/>
      <c r="Q352" s="126">
        <f t="shared" si="374"/>
        <v>15720</v>
      </c>
      <c r="R352" s="126">
        <f t="shared" si="379"/>
        <v>628800</v>
      </c>
      <c r="S352" s="126"/>
      <c r="T352" s="127">
        <f t="shared" si="375"/>
        <v>250000</v>
      </c>
      <c r="U352" s="122">
        <f t="shared" si="376"/>
        <v>2878800</v>
      </c>
      <c r="V352" s="333"/>
      <c r="W352" s="338">
        <f t="shared" si="378"/>
        <v>239900</v>
      </c>
      <c r="X352" s="128">
        <f t="shared" si="368"/>
        <v>129550</v>
      </c>
      <c r="Y352" s="128">
        <f t="shared" si="369"/>
        <v>87380</v>
      </c>
      <c r="Z352" s="128">
        <f t="shared" si="370"/>
        <v>5730</v>
      </c>
      <c r="AA352" s="128">
        <f t="shared" si="371"/>
        <v>25910</v>
      </c>
      <c r="AB352" s="128">
        <f t="shared" si="372"/>
        <v>23030</v>
      </c>
      <c r="AC352" s="129">
        <f t="shared" si="373"/>
        <v>511500</v>
      </c>
      <c r="AD352" s="619">
        <f t="shared" si="365"/>
        <v>2367300</v>
      </c>
    </row>
    <row r="353" spans="1:30" s="24" customFormat="1" ht="17.25" hidden="1" customHeight="1">
      <c r="A353" s="1150"/>
      <c r="B353" s="119"/>
      <c r="C353" s="120"/>
      <c r="D353" s="120"/>
      <c r="E353" s="124" t="s">
        <v>62</v>
      </c>
      <c r="F353" s="126">
        <f t="shared" si="380"/>
        <v>1940000</v>
      </c>
      <c r="G353" s="126"/>
      <c r="H353" s="126"/>
      <c r="I353" s="126"/>
      <c r="J353" s="126"/>
      <c r="K353" s="126"/>
      <c r="L353" s="126"/>
      <c r="M353" s="126">
        <f>F353*60%</f>
        <v>1164000</v>
      </c>
      <c r="N353" s="126"/>
      <c r="O353" s="126">
        <f t="shared" si="377"/>
        <v>60000</v>
      </c>
      <c r="P353" s="126"/>
      <c r="Q353" s="126">
        <f t="shared" si="374"/>
        <v>15720</v>
      </c>
      <c r="R353" s="126">
        <f t="shared" si="379"/>
        <v>628800</v>
      </c>
      <c r="S353" s="126"/>
      <c r="T353" s="127">
        <f t="shared" si="375"/>
        <v>250000</v>
      </c>
      <c r="U353" s="122">
        <f t="shared" si="376"/>
        <v>4042800</v>
      </c>
      <c r="V353" s="333"/>
      <c r="W353" s="338">
        <f t="shared" si="378"/>
        <v>336900</v>
      </c>
      <c r="X353" s="128">
        <f t="shared" si="368"/>
        <v>181930</v>
      </c>
      <c r="Y353" s="128">
        <f t="shared" si="369"/>
        <v>122700</v>
      </c>
      <c r="Z353" s="128">
        <f t="shared" si="370"/>
        <v>8040</v>
      </c>
      <c r="AA353" s="128">
        <f t="shared" si="371"/>
        <v>36390</v>
      </c>
      <c r="AB353" s="128">
        <f t="shared" si="372"/>
        <v>32340</v>
      </c>
      <c r="AC353" s="129">
        <f t="shared" si="373"/>
        <v>718300</v>
      </c>
      <c r="AD353" s="619">
        <f t="shared" si="365"/>
        <v>3324500</v>
      </c>
    </row>
    <row r="354" spans="1:30" s="24" customFormat="1" ht="17.25" hidden="1" customHeight="1">
      <c r="A354" s="1150"/>
      <c r="B354" s="119"/>
      <c r="C354" s="120"/>
      <c r="D354" s="120"/>
      <c r="E354" s="124" t="s">
        <v>63</v>
      </c>
      <c r="F354" s="126">
        <f t="shared" si="380"/>
        <v>1940000</v>
      </c>
      <c r="G354" s="126"/>
      <c r="H354" s="126"/>
      <c r="I354" s="126"/>
      <c r="J354" s="126"/>
      <c r="K354" s="126"/>
      <c r="L354" s="126"/>
      <c r="M354" s="126"/>
      <c r="N354" s="126"/>
      <c r="O354" s="126">
        <f t="shared" si="377"/>
        <v>60000</v>
      </c>
      <c r="P354" s="126"/>
      <c r="Q354" s="126">
        <f t="shared" si="374"/>
        <v>15720</v>
      </c>
      <c r="R354" s="126">
        <f t="shared" si="379"/>
        <v>628800</v>
      </c>
      <c r="S354" s="126"/>
      <c r="T354" s="127">
        <f t="shared" si="375"/>
        <v>250000</v>
      </c>
      <c r="U354" s="122">
        <f t="shared" si="376"/>
        <v>2878800</v>
      </c>
      <c r="V354" s="333"/>
      <c r="W354" s="338">
        <f t="shared" si="378"/>
        <v>239900</v>
      </c>
      <c r="X354" s="128">
        <f t="shared" si="368"/>
        <v>129550</v>
      </c>
      <c r="Y354" s="128">
        <f t="shared" si="369"/>
        <v>87380</v>
      </c>
      <c r="Z354" s="128">
        <f t="shared" si="370"/>
        <v>5730</v>
      </c>
      <c r="AA354" s="128">
        <f t="shared" si="371"/>
        <v>25910</v>
      </c>
      <c r="AB354" s="128">
        <f t="shared" si="372"/>
        <v>23030</v>
      </c>
      <c r="AC354" s="129">
        <f t="shared" si="373"/>
        <v>511500</v>
      </c>
      <c r="AD354" s="619">
        <f t="shared" si="365"/>
        <v>2367300</v>
      </c>
    </row>
    <row r="355" spans="1:30" s="24" customFormat="1" ht="16.5" hidden="1" customHeight="1">
      <c r="A355" s="1150"/>
      <c r="B355" s="119"/>
      <c r="C355" s="120"/>
      <c r="D355" s="120"/>
      <c r="E355" s="124" t="s">
        <v>64</v>
      </c>
      <c r="F355" s="126">
        <f t="shared" si="380"/>
        <v>1940000</v>
      </c>
      <c r="G355" s="126"/>
      <c r="H355" s="126"/>
      <c r="I355" s="126"/>
      <c r="J355" s="126"/>
      <c r="K355" s="126"/>
      <c r="L355" s="126"/>
      <c r="M355" s="126"/>
      <c r="N355" s="126"/>
      <c r="O355" s="126">
        <f t="shared" si="377"/>
        <v>60000</v>
      </c>
      <c r="P355" s="126"/>
      <c r="Q355" s="126">
        <f t="shared" si="374"/>
        <v>15720</v>
      </c>
      <c r="R355" s="126">
        <f t="shared" si="379"/>
        <v>628800</v>
      </c>
      <c r="S355" s="126"/>
      <c r="T355" s="127">
        <f t="shared" si="375"/>
        <v>250000</v>
      </c>
      <c r="U355" s="122">
        <f t="shared" si="376"/>
        <v>2878800</v>
      </c>
      <c r="V355" s="333"/>
      <c r="W355" s="338">
        <f t="shared" si="378"/>
        <v>239900</v>
      </c>
      <c r="X355" s="128">
        <f t="shared" si="368"/>
        <v>129550</v>
      </c>
      <c r="Y355" s="128">
        <f t="shared" si="369"/>
        <v>87380</v>
      </c>
      <c r="Z355" s="128">
        <f t="shared" si="370"/>
        <v>5730</v>
      </c>
      <c r="AA355" s="128">
        <f t="shared" si="371"/>
        <v>25910</v>
      </c>
      <c r="AB355" s="128">
        <f t="shared" si="372"/>
        <v>23030</v>
      </c>
      <c r="AC355" s="129">
        <f t="shared" si="373"/>
        <v>511500</v>
      </c>
      <c r="AD355" s="619">
        <f t="shared" si="365"/>
        <v>2367300</v>
      </c>
    </row>
    <row r="356" spans="1:30" s="24" customFormat="1" ht="16.5" hidden="1" customHeight="1">
      <c r="A356" s="1150"/>
      <c r="B356" s="119"/>
      <c r="C356" s="120"/>
      <c r="D356" s="120"/>
      <c r="E356" s="124" t="s">
        <v>332</v>
      </c>
      <c r="F356" s="126">
        <f t="shared" si="380"/>
        <v>1940000</v>
      </c>
      <c r="G356" s="126"/>
      <c r="H356" s="126"/>
      <c r="I356" s="126"/>
      <c r="J356" s="126"/>
      <c r="K356" s="126"/>
      <c r="L356" s="126"/>
      <c r="M356" s="126"/>
      <c r="N356" s="126"/>
      <c r="O356" s="126">
        <f t="shared" si="377"/>
        <v>60000</v>
      </c>
      <c r="P356" s="126"/>
      <c r="Q356" s="126">
        <f t="shared" si="374"/>
        <v>15720</v>
      </c>
      <c r="R356" s="126">
        <f>Q356*40*2</f>
        <v>1257600</v>
      </c>
      <c r="S356" s="126"/>
      <c r="T356" s="127">
        <f t="shared" si="375"/>
        <v>250000</v>
      </c>
      <c r="U356" s="122">
        <f t="shared" si="376"/>
        <v>3507600</v>
      </c>
      <c r="V356" s="333"/>
      <c r="W356" s="338">
        <f t="shared" si="378"/>
        <v>292300</v>
      </c>
      <c r="X356" s="128">
        <f t="shared" si="368"/>
        <v>157840</v>
      </c>
      <c r="Y356" s="128">
        <f t="shared" si="369"/>
        <v>106460</v>
      </c>
      <c r="Z356" s="128">
        <f t="shared" si="370"/>
        <v>6980</v>
      </c>
      <c r="AA356" s="128">
        <f t="shared" si="371"/>
        <v>31570</v>
      </c>
      <c r="AB356" s="128">
        <f t="shared" si="372"/>
        <v>28060</v>
      </c>
      <c r="AC356" s="129">
        <f t="shared" si="373"/>
        <v>623210</v>
      </c>
      <c r="AD356" s="619">
        <f t="shared" si="365"/>
        <v>2884390</v>
      </c>
    </row>
    <row r="357" spans="1:30" s="24" customFormat="1" ht="16.5" hidden="1" customHeight="1">
      <c r="A357" s="1150">
        <v>28</v>
      </c>
      <c r="B357" s="119" t="s">
        <v>95</v>
      </c>
      <c r="C357" s="120" t="s">
        <v>664</v>
      </c>
      <c r="D357" s="120">
        <v>1</v>
      </c>
      <c r="E357" s="121" t="s">
        <v>94</v>
      </c>
      <c r="F357" s="122">
        <f>SUM(F358:F369)</f>
        <v>21267000</v>
      </c>
      <c r="G357" s="122">
        <f t="shared" ref="G357:L357" si="381">SUM(G358:G369)</f>
        <v>0</v>
      </c>
      <c r="H357" s="122">
        <f t="shared" si="381"/>
        <v>0</v>
      </c>
      <c r="I357" s="122">
        <f t="shared" si="381"/>
        <v>0</v>
      </c>
      <c r="J357" s="122">
        <f t="shared" si="381"/>
        <v>0</v>
      </c>
      <c r="K357" s="122">
        <f t="shared" si="381"/>
        <v>0</v>
      </c>
      <c r="L357" s="122">
        <f t="shared" si="381"/>
        <v>0</v>
      </c>
      <c r="M357" s="122">
        <f>SUM(M358:M369)</f>
        <v>2111400</v>
      </c>
      <c r="N357" s="122">
        <f>SUM(N358:N369)</f>
        <v>0</v>
      </c>
      <c r="O357" s="122">
        <f>SUM(O358:O369)</f>
        <v>0</v>
      </c>
      <c r="P357" s="122"/>
      <c r="Q357" s="122"/>
      <c r="R357" s="122">
        <f>SUM(R358:R369)</f>
        <v>3397800</v>
      </c>
      <c r="S357" s="122">
        <f>SUM(S358:S369)</f>
        <v>849450</v>
      </c>
      <c r="T357" s="122">
        <f>SUM(T358:T369)</f>
        <v>2400000</v>
      </c>
      <c r="U357" s="122">
        <f>SUM(U358:U369)</f>
        <v>29176200</v>
      </c>
      <c r="V357" s="333"/>
      <c r="W357" s="350">
        <f t="shared" ref="W357:AB357" si="382">SUM(W358:W369)</f>
        <v>2448050</v>
      </c>
      <c r="X357" s="122">
        <f t="shared" si="382"/>
        <v>1312940</v>
      </c>
      <c r="Y357" s="122">
        <f t="shared" si="382"/>
        <v>885550</v>
      </c>
      <c r="Z357" s="122">
        <f t="shared" si="382"/>
        <v>58070</v>
      </c>
      <c r="AA357" s="122">
        <f t="shared" si="382"/>
        <v>262590</v>
      </c>
      <c r="AB357" s="122">
        <f t="shared" si="382"/>
        <v>233410</v>
      </c>
      <c r="AC357" s="123">
        <f>SUM(AC358:AC369)</f>
        <v>5200610</v>
      </c>
      <c r="AD357" s="618">
        <f t="shared" si="365"/>
        <v>23975590</v>
      </c>
    </row>
    <row r="358" spans="1:30" s="24" customFormat="1" ht="16.5" hidden="1" customHeight="1">
      <c r="A358" s="1150"/>
      <c r="B358" s="119" t="s">
        <v>556</v>
      </c>
      <c r="C358" s="120">
        <v>4</v>
      </c>
      <c r="D358" s="120"/>
      <c r="E358" s="124" t="s">
        <v>324</v>
      </c>
      <c r="F358" s="125">
        <v>1734000</v>
      </c>
      <c r="G358" s="126"/>
      <c r="H358" s="125"/>
      <c r="I358" s="125"/>
      <c r="J358" s="126"/>
      <c r="K358" s="126"/>
      <c r="L358" s="126"/>
      <c r="M358" s="126"/>
      <c r="N358" s="126"/>
      <c r="O358" s="126"/>
      <c r="P358" s="126"/>
      <c r="Q358" s="126"/>
      <c r="R358" s="126"/>
      <c r="S358" s="126"/>
      <c r="T358" s="127">
        <v>200000</v>
      </c>
      <c r="U358" s="122">
        <f>SUM(F358,M358,O358,R358,T358)</f>
        <v>1934000</v>
      </c>
      <c r="V358" s="333"/>
      <c r="W358" s="338">
        <f>ROUNDUP(U358*1/12,-1)</f>
        <v>161170</v>
      </c>
      <c r="X358" s="128">
        <f t="shared" ref="X358:X369" si="383">ROUND(U358*4.5%,-1)</f>
        <v>87030</v>
      </c>
      <c r="Y358" s="128">
        <f t="shared" ref="Y358:Y369" si="384">ROUNDUP((U358-L358)*3.035%,-1)</f>
        <v>58700</v>
      </c>
      <c r="Z358" s="128">
        <f>ROUNDUP(Y358*6.55%,-1)</f>
        <v>3850</v>
      </c>
      <c r="AA358" s="128">
        <f t="shared" ref="AA358:AA369" si="385">ROUND(U358*0.9%,-1)</f>
        <v>17410</v>
      </c>
      <c r="AB358" s="128">
        <f t="shared" ref="AB358:AB369" si="386">ROUND(U358*0.8%,-1)</f>
        <v>15470</v>
      </c>
      <c r="AC358" s="129">
        <f t="shared" ref="AC358:AC369" si="387">SUM(W358:AB358)</f>
        <v>343630</v>
      </c>
      <c r="AD358" s="619">
        <f t="shared" si="365"/>
        <v>1590370</v>
      </c>
    </row>
    <row r="359" spans="1:30" s="24" customFormat="1" ht="16.5" hidden="1" customHeight="1">
      <c r="A359" s="1150"/>
      <c r="B359" s="119"/>
      <c r="C359" s="120"/>
      <c r="D359" s="120"/>
      <c r="E359" s="124" t="s">
        <v>325</v>
      </c>
      <c r="F359" s="126">
        <f>F358</f>
        <v>1734000</v>
      </c>
      <c r="G359" s="126"/>
      <c r="H359" s="126"/>
      <c r="I359" s="126"/>
      <c r="J359" s="126"/>
      <c r="K359" s="126"/>
      <c r="L359" s="126"/>
      <c r="M359" s="126">
        <f>F359*60%</f>
        <v>1040400</v>
      </c>
      <c r="N359" s="126"/>
      <c r="O359" s="126"/>
      <c r="P359" s="126"/>
      <c r="Q359" s="126">
        <f t="shared" ref="Q359:Q369" si="388">ROUND((F358+T358)*1/209*1.5,-1)</f>
        <v>13880</v>
      </c>
      <c r="R359" s="126">
        <f>Q359*20</f>
        <v>277600</v>
      </c>
      <c r="S359" s="126">
        <f>Q359*5</f>
        <v>69400</v>
      </c>
      <c r="T359" s="127">
        <v>200000</v>
      </c>
      <c r="U359" s="122">
        <f t="shared" ref="U359:U369" si="389">SUM(F359,M359,O359,R359,T359)</f>
        <v>3252000</v>
      </c>
      <c r="V359" s="333"/>
      <c r="W359" s="338">
        <f>ROUNDUP((T359+U359)*1/12,-1)</f>
        <v>287670</v>
      </c>
      <c r="X359" s="128">
        <f t="shared" si="383"/>
        <v>146340</v>
      </c>
      <c r="Y359" s="128">
        <f t="shared" si="384"/>
        <v>98700</v>
      </c>
      <c r="Z359" s="128">
        <f t="shared" ref="Z359:Z369" si="390">ROUNDUP(Y359*6.55%,-1)</f>
        <v>6470</v>
      </c>
      <c r="AA359" s="128">
        <f t="shared" si="385"/>
        <v>29270</v>
      </c>
      <c r="AB359" s="128">
        <f t="shared" si="386"/>
        <v>26020</v>
      </c>
      <c r="AC359" s="129">
        <f t="shared" si="387"/>
        <v>594470</v>
      </c>
      <c r="AD359" s="619">
        <f t="shared" si="365"/>
        <v>2657530</v>
      </c>
    </row>
    <row r="360" spans="1:30" s="24" customFormat="1" ht="16.5" hidden="1" customHeight="1">
      <c r="A360" s="1150"/>
      <c r="B360" s="119"/>
      <c r="C360" s="120"/>
      <c r="D360" s="120"/>
      <c r="E360" s="124" t="s">
        <v>326</v>
      </c>
      <c r="F360" s="126">
        <f>F359</f>
        <v>1734000</v>
      </c>
      <c r="G360" s="126"/>
      <c r="H360" s="126"/>
      <c r="I360" s="126"/>
      <c r="J360" s="126"/>
      <c r="K360" s="126"/>
      <c r="L360" s="126"/>
      <c r="M360" s="126"/>
      <c r="N360" s="126"/>
      <c r="O360" s="126"/>
      <c r="P360" s="126"/>
      <c r="Q360" s="126">
        <f t="shared" si="388"/>
        <v>13880</v>
      </c>
      <c r="R360" s="126">
        <f>Q360*20</f>
        <v>277600</v>
      </c>
      <c r="S360" s="126">
        <f t="shared" ref="S360:S368" si="391">Q360*5</f>
        <v>69400</v>
      </c>
      <c r="T360" s="127">
        <v>200000</v>
      </c>
      <c r="U360" s="122">
        <f t="shared" si="389"/>
        <v>2211600</v>
      </c>
      <c r="V360" s="333"/>
      <c r="W360" s="338">
        <f t="shared" ref="W360:W369" si="392">ROUNDUP(U360*1/12,-1)</f>
        <v>184300</v>
      </c>
      <c r="X360" s="128">
        <f t="shared" si="383"/>
        <v>99520</v>
      </c>
      <c r="Y360" s="128">
        <f t="shared" si="384"/>
        <v>67130</v>
      </c>
      <c r="Z360" s="128">
        <f t="shared" si="390"/>
        <v>4400</v>
      </c>
      <c r="AA360" s="128">
        <f t="shared" si="385"/>
        <v>19900</v>
      </c>
      <c r="AB360" s="128">
        <f t="shared" si="386"/>
        <v>17690</v>
      </c>
      <c r="AC360" s="129">
        <f t="shared" si="387"/>
        <v>392940</v>
      </c>
      <c r="AD360" s="619">
        <f t="shared" si="365"/>
        <v>1818660</v>
      </c>
    </row>
    <row r="361" spans="1:30" s="24" customFormat="1" ht="16.5" hidden="1" customHeight="1">
      <c r="A361" s="1150"/>
      <c r="B361" s="119"/>
      <c r="C361" s="120">
        <v>5</v>
      </c>
      <c r="D361" s="120"/>
      <c r="E361" s="124" t="s">
        <v>327</v>
      </c>
      <c r="F361" s="125">
        <v>1785000</v>
      </c>
      <c r="G361" s="126"/>
      <c r="H361" s="126"/>
      <c r="I361" s="126"/>
      <c r="J361" s="126"/>
      <c r="K361" s="126"/>
      <c r="L361" s="126"/>
      <c r="M361" s="126"/>
      <c r="N361" s="126"/>
      <c r="O361" s="126"/>
      <c r="P361" s="126"/>
      <c r="Q361" s="126">
        <f t="shared" si="388"/>
        <v>13880</v>
      </c>
      <c r="R361" s="126">
        <f t="shared" ref="R361:R368" si="393">Q361*20</f>
        <v>277600</v>
      </c>
      <c r="S361" s="126">
        <f t="shared" si="391"/>
        <v>69400</v>
      </c>
      <c r="T361" s="127">
        <v>200000</v>
      </c>
      <c r="U361" s="122">
        <f t="shared" si="389"/>
        <v>2262600</v>
      </c>
      <c r="V361" s="333"/>
      <c r="W361" s="338">
        <f t="shared" si="392"/>
        <v>188550</v>
      </c>
      <c r="X361" s="128">
        <f t="shared" si="383"/>
        <v>101820</v>
      </c>
      <c r="Y361" s="128">
        <f t="shared" si="384"/>
        <v>68670</v>
      </c>
      <c r="Z361" s="128">
        <f t="shared" si="390"/>
        <v>4500</v>
      </c>
      <c r="AA361" s="128">
        <f t="shared" si="385"/>
        <v>20360</v>
      </c>
      <c r="AB361" s="128">
        <f t="shared" si="386"/>
        <v>18100</v>
      </c>
      <c r="AC361" s="129">
        <f t="shared" si="387"/>
        <v>402000</v>
      </c>
      <c r="AD361" s="619">
        <f t="shared" si="365"/>
        <v>1860600</v>
      </c>
    </row>
    <row r="362" spans="1:30" s="24" customFormat="1" ht="16.5" hidden="1" customHeight="1">
      <c r="A362" s="1150"/>
      <c r="B362" s="119"/>
      <c r="C362" s="120"/>
      <c r="D362" s="120"/>
      <c r="E362" s="124" t="s">
        <v>328</v>
      </c>
      <c r="F362" s="126">
        <f t="shared" ref="F362:F369" si="394">F361</f>
        <v>1785000</v>
      </c>
      <c r="G362" s="126"/>
      <c r="H362" s="126"/>
      <c r="I362" s="126"/>
      <c r="J362" s="126"/>
      <c r="K362" s="126"/>
      <c r="L362" s="126"/>
      <c r="M362" s="126"/>
      <c r="N362" s="126"/>
      <c r="O362" s="126"/>
      <c r="P362" s="126"/>
      <c r="Q362" s="126">
        <f t="shared" si="388"/>
        <v>14250</v>
      </c>
      <c r="R362" s="126">
        <f t="shared" si="393"/>
        <v>285000</v>
      </c>
      <c r="S362" s="126">
        <f t="shared" si="391"/>
        <v>71250</v>
      </c>
      <c r="T362" s="127">
        <f t="shared" ref="T362:T369" si="395">T361</f>
        <v>200000</v>
      </c>
      <c r="U362" s="122">
        <f t="shared" si="389"/>
        <v>2270000</v>
      </c>
      <c r="V362" s="333"/>
      <c r="W362" s="338">
        <f t="shared" si="392"/>
        <v>189170</v>
      </c>
      <c r="X362" s="128">
        <f t="shared" si="383"/>
        <v>102150</v>
      </c>
      <c r="Y362" s="128">
        <f t="shared" si="384"/>
        <v>68900</v>
      </c>
      <c r="Z362" s="128">
        <f t="shared" si="390"/>
        <v>4520</v>
      </c>
      <c r="AA362" s="128">
        <f t="shared" si="385"/>
        <v>20430</v>
      </c>
      <c r="AB362" s="128">
        <f t="shared" si="386"/>
        <v>18160</v>
      </c>
      <c r="AC362" s="129">
        <f t="shared" si="387"/>
        <v>403330</v>
      </c>
      <c r="AD362" s="619">
        <f t="shared" si="365"/>
        <v>1866670</v>
      </c>
    </row>
    <row r="363" spans="1:30" s="24" customFormat="1" ht="16.5" hidden="1" customHeight="1">
      <c r="A363" s="1150"/>
      <c r="B363" s="119"/>
      <c r="C363" s="120"/>
      <c r="D363" s="120"/>
      <c r="E363" s="124" t="s">
        <v>329</v>
      </c>
      <c r="F363" s="126">
        <f t="shared" si="394"/>
        <v>1785000</v>
      </c>
      <c r="G363" s="126"/>
      <c r="H363" s="126"/>
      <c r="I363" s="126"/>
      <c r="J363" s="126"/>
      <c r="K363" s="126"/>
      <c r="L363" s="126"/>
      <c r="M363" s="126"/>
      <c r="N363" s="126"/>
      <c r="O363" s="126"/>
      <c r="P363" s="126"/>
      <c r="Q363" s="126">
        <f t="shared" si="388"/>
        <v>14250</v>
      </c>
      <c r="R363" s="126">
        <f t="shared" si="393"/>
        <v>285000</v>
      </c>
      <c r="S363" s="126">
        <f t="shared" si="391"/>
        <v>71250</v>
      </c>
      <c r="T363" s="127">
        <f t="shared" si="395"/>
        <v>200000</v>
      </c>
      <c r="U363" s="122">
        <f t="shared" si="389"/>
        <v>2270000</v>
      </c>
      <c r="V363" s="333"/>
      <c r="W363" s="338">
        <f t="shared" si="392"/>
        <v>189170</v>
      </c>
      <c r="X363" s="128">
        <f t="shared" si="383"/>
        <v>102150</v>
      </c>
      <c r="Y363" s="128">
        <f t="shared" si="384"/>
        <v>68900</v>
      </c>
      <c r="Z363" s="128">
        <f t="shared" si="390"/>
        <v>4520</v>
      </c>
      <c r="AA363" s="128">
        <f t="shared" si="385"/>
        <v>20430</v>
      </c>
      <c r="AB363" s="128">
        <f t="shared" si="386"/>
        <v>18160</v>
      </c>
      <c r="AC363" s="129">
        <f t="shared" si="387"/>
        <v>403330</v>
      </c>
      <c r="AD363" s="619">
        <f t="shared" si="365"/>
        <v>1866670</v>
      </c>
    </row>
    <row r="364" spans="1:30" s="24" customFormat="1" ht="16.5" hidden="1" customHeight="1">
      <c r="A364" s="1150"/>
      <c r="B364" s="119"/>
      <c r="C364" s="120"/>
      <c r="D364" s="120"/>
      <c r="E364" s="124" t="s">
        <v>330</v>
      </c>
      <c r="F364" s="126">
        <f t="shared" si="394"/>
        <v>1785000</v>
      </c>
      <c r="G364" s="126"/>
      <c r="H364" s="125"/>
      <c r="I364" s="127"/>
      <c r="J364" s="126"/>
      <c r="K364" s="126"/>
      <c r="L364" s="126"/>
      <c r="M364" s="126"/>
      <c r="N364" s="126"/>
      <c r="O364" s="126"/>
      <c r="P364" s="126"/>
      <c r="Q364" s="126">
        <f t="shared" si="388"/>
        <v>14250</v>
      </c>
      <c r="R364" s="126">
        <f t="shared" si="393"/>
        <v>285000</v>
      </c>
      <c r="S364" s="126">
        <f t="shared" si="391"/>
        <v>71250</v>
      </c>
      <c r="T364" s="127">
        <f t="shared" si="395"/>
        <v>200000</v>
      </c>
      <c r="U364" s="122">
        <f t="shared" si="389"/>
        <v>2270000</v>
      </c>
      <c r="V364" s="333"/>
      <c r="W364" s="338">
        <f t="shared" si="392"/>
        <v>189170</v>
      </c>
      <c r="X364" s="128">
        <f t="shared" si="383"/>
        <v>102150</v>
      </c>
      <c r="Y364" s="128">
        <f t="shared" si="384"/>
        <v>68900</v>
      </c>
      <c r="Z364" s="128">
        <f t="shared" si="390"/>
        <v>4520</v>
      </c>
      <c r="AA364" s="128">
        <f t="shared" si="385"/>
        <v>20430</v>
      </c>
      <c r="AB364" s="128">
        <f t="shared" si="386"/>
        <v>18160</v>
      </c>
      <c r="AC364" s="129">
        <f t="shared" si="387"/>
        <v>403330</v>
      </c>
      <c r="AD364" s="619">
        <f t="shared" si="365"/>
        <v>1866670</v>
      </c>
    </row>
    <row r="365" spans="1:30" s="24" customFormat="1" ht="16.5" hidden="1" customHeight="1">
      <c r="A365" s="1150"/>
      <c r="B365" s="119"/>
      <c r="C365" s="120"/>
      <c r="D365" s="120"/>
      <c r="E365" s="124" t="s">
        <v>331</v>
      </c>
      <c r="F365" s="126">
        <f t="shared" si="394"/>
        <v>1785000</v>
      </c>
      <c r="G365" s="126"/>
      <c r="H365" s="126"/>
      <c r="I365" s="126"/>
      <c r="J365" s="126"/>
      <c r="K365" s="126"/>
      <c r="L365" s="126"/>
      <c r="M365" s="126"/>
      <c r="N365" s="126"/>
      <c r="O365" s="126"/>
      <c r="P365" s="126"/>
      <c r="Q365" s="126">
        <f t="shared" si="388"/>
        <v>14250</v>
      </c>
      <c r="R365" s="126">
        <f t="shared" si="393"/>
        <v>285000</v>
      </c>
      <c r="S365" s="126">
        <f t="shared" si="391"/>
        <v>71250</v>
      </c>
      <c r="T365" s="127">
        <f t="shared" si="395"/>
        <v>200000</v>
      </c>
      <c r="U365" s="122">
        <f t="shared" si="389"/>
        <v>2270000</v>
      </c>
      <c r="V365" s="333"/>
      <c r="W365" s="338">
        <f t="shared" si="392"/>
        <v>189170</v>
      </c>
      <c r="X365" s="128">
        <f t="shared" si="383"/>
        <v>102150</v>
      </c>
      <c r="Y365" s="128">
        <f t="shared" si="384"/>
        <v>68900</v>
      </c>
      <c r="Z365" s="128">
        <f t="shared" si="390"/>
        <v>4520</v>
      </c>
      <c r="AA365" s="128">
        <f t="shared" si="385"/>
        <v>20430</v>
      </c>
      <c r="AB365" s="128">
        <f t="shared" si="386"/>
        <v>18160</v>
      </c>
      <c r="AC365" s="129">
        <f t="shared" si="387"/>
        <v>403330</v>
      </c>
      <c r="AD365" s="619">
        <f t="shared" si="365"/>
        <v>1866670</v>
      </c>
    </row>
    <row r="366" spans="1:30" s="24" customFormat="1" ht="16.5" hidden="1" customHeight="1">
      <c r="A366" s="1150"/>
      <c r="B366" s="119"/>
      <c r="C366" s="120"/>
      <c r="D366" s="120"/>
      <c r="E366" s="124" t="s">
        <v>62</v>
      </c>
      <c r="F366" s="126">
        <f t="shared" si="394"/>
        <v>1785000</v>
      </c>
      <c r="G366" s="126"/>
      <c r="H366" s="126"/>
      <c r="I366" s="126"/>
      <c r="J366" s="126"/>
      <c r="K366" s="126"/>
      <c r="L366" s="126"/>
      <c r="M366" s="126">
        <f>F366*60%</f>
        <v>1071000</v>
      </c>
      <c r="N366" s="126"/>
      <c r="O366" s="126"/>
      <c r="P366" s="126"/>
      <c r="Q366" s="126">
        <f t="shared" si="388"/>
        <v>14250</v>
      </c>
      <c r="R366" s="126">
        <f t="shared" si="393"/>
        <v>285000</v>
      </c>
      <c r="S366" s="126">
        <f t="shared" si="391"/>
        <v>71250</v>
      </c>
      <c r="T366" s="127">
        <f t="shared" si="395"/>
        <v>200000</v>
      </c>
      <c r="U366" s="122">
        <f t="shared" si="389"/>
        <v>3341000</v>
      </c>
      <c r="V366" s="333"/>
      <c r="W366" s="338">
        <f t="shared" si="392"/>
        <v>278420</v>
      </c>
      <c r="X366" s="128">
        <f t="shared" si="383"/>
        <v>150350</v>
      </c>
      <c r="Y366" s="128">
        <f t="shared" si="384"/>
        <v>101400</v>
      </c>
      <c r="Z366" s="128">
        <f t="shared" si="390"/>
        <v>6650</v>
      </c>
      <c r="AA366" s="128">
        <f t="shared" si="385"/>
        <v>30070</v>
      </c>
      <c r="AB366" s="128">
        <f t="shared" si="386"/>
        <v>26730</v>
      </c>
      <c r="AC366" s="129">
        <f t="shared" si="387"/>
        <v>593620</v>
      </c>
      <c r="AD366" s="619">
        <f t="shared" si="365"/>
        <v>2747380</v>
      </c>
    </row>
    <row r="367" spans="1:30" s="24" customFormat="1" ht="16.5" hidden="1" customHeight="1">
      <c r="A367" s="1150"/>
      <c r="B367" s="119"/>
      <c r="C367" s="120"/>
      <c r="D367" s="120"/>
      <c r="E367" s="124" t="s">
        <v>63</v>
      </c>
      <c r="F367" s="126">
        <f t="shared" si="394"/>
        <v>1785000</v>
      </c>
      <c r="G367" s="126"/>
      <c r="H367" s="126"/>
      <c r="I367" s="126"/>
      <c r="J367" s="126"/>
      <c r="K367" s="126"/>
      <c r="L367" s="126"/>
      <c r="M367" s="126"/>
      <c r="N367" s="126"/>
      <c r="O367" s="126"/>
      <c r="P367" s="126"/>
      <c r="Q367" s="126">
        <f t="shared" si="388"/>
        <v>14250</v>
      </c>
      <c r="R367" s="126">
        <f t="shared" si="393"/>
        <v>285000</v>
      </c>
      <c r="S367" s="126">
        <f t="shared" si="391"/>
        <v>71250</v>
      </c>
      <c r="T367" s="127">
        <f t="shared" si="395"/>
        <v>200000</v>
      </c>
      <c r="U367" s="122">
        <f t="shared" si="389"/>
        <v>2270000</v>
      </c>
      <c r="V367" s="333"/>
      <c r="W367" s="338">
        <f t="shared" si="392"/>
        <v>189170</v>
      </c>
      <c r="X367" s="128">
        <f t="shared" si="383"/>
        <v>102150</v>
      </c>
      <c r="Y367" s="128">
        <f t="shared" si="384"/>
        <v>68900</v>
      </c>
      <c r="Z367" s="128">
        <f t="shared" si="390"/>
        <v>4520</v>
      </c>
      <c r="AA367" s="128">
        <f t="shared" si="385"/>
        <v>20430</v>
      </c>
      <c r="AB367" s="128">
        <f t="shared" si="386"/>
        <v>18160</v>
      </c>
      <c r="AC367" s="129">
        <f t="shared" si="387"/>
        <v>403330</v>
      </c>
      <c r="AD367" s="619">
        <f t="shared" si="365"/>
        <v>1866670</v>
      </c>
    </row>
    <row r="368" spans="1:30" s="24" customFormat="1" ht="16.5" hidden="1" customHeight="1">
      <c r="A368" s="1150"/>
      <c r="B368" s="119"/>
      <c r="C368" s="120"/>
      <c r="D368" s="120"/>
      <c r="E368" s="124" t="s">
        <v>64</v>
      </c>
      <c r="F368" s="126">
        <f t="shared" si="394"/>
        <v>1785000</v>
      </c>
      <c r="G368" s="126"/>
      <c r="H368" s="126"/>
      <c r="I368" s="126"/>
      <c r="J368" s="126"/>
      <c r="K368" s="126"/>
      <c r="L368" s="126"/>
      <c r="M368" s="126"/>
      <c r="N368" s="126"/>
      <c r="O368" s="126"/>
      <c r="P368" s="126"/>
      <c r="Q368" s="126">
        <f t="shared" si="388"/>
        <v>14250</v>
      </c>
      <c r="R368" s="126">
        <f t="shared" si="393"/>
        <v>285000</v>
      </c>
      <c r="S368" s="126">
        <f t="shared" si="391"/>
        <v>71250</v>
      </c>
      <c r="T368" s="127">
        <f t="shared" si="395"/>
        <v>200000</v>
      </c>
      <c r="U368" s="122">
        <f t="shared" si="389"/>
        <v>2270000</v>
      </c>
      <c r="V368" s="333"/>
      <c r="W368" s="338">
        <f t="shared" si="392"/>
        <v>189170</v>
      </c>
      <c r="X368" s="128">
        <f t="shared" si="383"/>
        <v>102150</v>
      </c>
      <c r="Y368" s="128">
        <f t="shared" si="384"/>
        <v>68900</v>
      </c>
      <c r="Z368" s="128">
        <f t="shared" si="390"/>
        <v>4520</v>
      </c>
      <c r="AA368" s="128">
        <f t="shared" si="385"/>
        <v>20430</v>
      </c>
      <c r="AB368" s="128">
        <f t="shared" si="386"/>
        <v>18160</v>
      </c>
      <c r="AC368" s="129">
        <f t="shared" si="387"/>
        <v>403330</v>
      </c>
      <c r="AD368" s="619">
        <f t="shared" si="365"/>
        <v>1866670</v>
      </c>
    </row>
    <row r="369" spans="1:30" s="24" customFormat="1" ht="16.5" hidden="1" customHeight="1">
      <c r="A369" s="1150"/>
      <c r="B369" s="119"/>
      <c r="C369" s="120"/>
      <c r="D369" s="120"/>
      <c r="E369" s="124" t="s">
        <v>332</v>
      </c>
      <c r="F369" s="126">
        <f t="shared" si="394"/>
        <v>1785000</v>
      </c>
      <c r="G369" s="126"/>
      <c r="H369" s="126"/>
      <c r="I369" s="126"/>
      <c r="J369" s="126"/>
      <c r="K369" s="126"/>
      <c r="L369" s="126"/>
      <c r="M369" s="126"/>
      <c r="N369" s="126"/>
      <c r="O369" s="126"/>
      <c r="P369" s="126"/>
      <c r="Q369" s="126">
        <f t="shared" si="388"/>
        <v>14250</v>
      </c>
      <c r="R369" s="126">
        <f>Q369*20*2</f>
        <v>570000</v>
      </c>
      <c r="S369" s="126">
        <f>(Q369*5)*2</f>
        <v>142500</v>
      </c>
      <c r="T369" s="127">
        <f t="shared" si="395"/>
        <v>200000</v>
      </c>
      <c r="U369" s="122">
        <f t="shared" si="389"/>
        <v>2555000</v>
      </c>
      <c r="V369" s="333"/>
      <c r="W369" s="338">
        <f t="shared" si="392"/>
        <v>212920</v>
      </c>
      <c r="X369" s="128">
        <f t="shared" si="383"/>
        <v>114980</v>
      </c>
      <c r="Y369" s="128">
        <f t="shared" si="384"/>
        <v>77550</v>
      </c>
      <c r="Z369" s="128">
        <f t="shared" si="390"/>
        <v>5080</v>
      </c>
      <c r="AA369" s="128">
        <f t="shared" si="385"/>
        <v>23000</v>
      </c>
      <c r="AB369" s="128">
        <f t="shared" si="386"/>
        <v>20440</v>
      </c>
      <c r="AC369" s="129">
        <f t="shared" si="387"/>
        <v>453970</v>
      </c>
      <c r="AD369" s="619">
        <f t="shared" si="365"/>
        <v>2101030</v>
      </c>
    </row>
    <row r="370" spans="1:30" s="24" customFormat="1" ht="16.5" hidden="1" customHeight="1">
      <c r="A370" s="1150">
        <v>29</v>
      </c>
      <c r="B370" s="119" t="s">
        <v>95</v>
      </c>
      <c r="C370" s="120" t="s">
        <v>664</v>
      </c>
      <c r="D370" s="120">
        <v>1</v>
      </c>
      <c r="E370" s="121" t="s">
        <v>94</v>
      </c>
      <c r="F370" s="122">
        <f>SUM(F371:F382)</f>
        <v>21267000</v>
      </c>
      <c r="G370" s="122">
        <f t="shared" ref="G370:L370" si="396">SUM(G371:G382)</f>
        <v>0</v>
      </c>
      <c r="H370" s="122">
        <f t="shared" si="396"/>
        <v>0</v>
      </c>
      <c r="I370" s="122">
        <f t="shared" si="396"/>
        <v>0</v>
      </c>
      <c r="J370" s="122">
        <f t="shared" si="396"/>
        <v>0</v>
      </c>
      <c r="K370" s="122">
        <f t="shared" si="396"/>
        <v>0</v>
      </c>
      <c r="L370" s="122">
        <f t="shared" si="396"/>
        <v>0</v>
      </c>
      <c r="M370" s="122">
        <f>SUM(M371:M382)</f>
        <v>2111400</v>
      </c>
      <c r="N370" s="122">
        <f>SUM(N371:N382)</f>
        <v>0</v>
      </c>
      <c r="O370" s="122">
        <f>SUM(O371:O382)</f>
        <v>0</v>
      </c>
      <c r="P370" s="122"/>
      <c r="Q370" s="122"/>
      <c r="R370" s="122">
        <f>SUM(R371:R382)</f>
        <v>6795600</v>
      </c>
      <c r="S370" s="122">
        <f>SUM(S371:S382)</f>
        <v>0</v>
      </c>
      <c r="T370" s="122">
        <f>SUM(T371:T382)</f>
        <v>2400000</v>
      </c>
      <c r="U370" s="122">
        <f>SUM(U371:U382)</f>
        <v>32574000</v>
      </c>
      <c r="V370" s="333"/>
      <c r="W370" s="350">
        <f t="shared" ref="W370:AB370" si="397">SUM(W371:W382)</f>
        <v>2731210</v>
      </c>
      <c r="X370" s="122">
        <f t="shared" si="397"/>
        <v>1465860</v>
      </c>
      <c r="Y370" s="122">
        <f t="shared" si="397"/>
        <v>988680</v>
      </c>
      <c r="Z370" s="122">
        <f t="shared" si="397"/>
        <v>64790</v>
      </c>
      <c r="AA370" s="122">
        <f t="shared" si="397"/>
        <v>293200</v>
      </c>
      <c r="AB370" s="122">
        <f t="shared" si="397"/>
        <v>260590</v>
      </c>
      <c r="AC370" s="123">
        <f>SUM(AC371:AC382)</f>
        <v>5804330</v>
      </c>
      <c r="AD370" s="618">
        <f t="shared" si="365"/>
        <v>26769670</v>
      </c>
    </row>
    <row r="371" spans="1:30" s="24" customFormat="1" ht="16.5" hidden="1" customHeight="1">
      <c r="A371" s="1150"/>
      <c r="B371" s="119" t="s">
        <v>557</v>
      </c>
      <c r="C371" s="120">
        <v>4</v>
      </c>
      <c r="D371" s="120"/>
      <c r="E371" s="124" t="s">
        <v>457</v>
      </c>
      <c r="F371" s="125">
        <v>1734000</v>
      </c>
      <c r="G371" s="126"/>
      <c r="H371" s="125"/>
      <c r="I371" s="125"/>
      <c r="J371" s="126"/>
      <c r="K371" s="126"/>
      <c r="L371" s="126"/>
      <c r="M371" s="126"/>
      <c r="N371" s="126"/>
      <c r="O371" s="126"/>
      <c r="P371" s="126"/>
      <c r="Q371" s="126"/>
      <c r="R371" s="126"/>
      <c r="S371" s="126"/>
      <c r="T371" s="127">
        <v>200000</v>
      </c>
      <c r="U371" s="122">
        <f>SUM(F371,M371,O371,R371,T371)</f>
        <v>1934000</v>
      </c>
      <c r="V371" s="333"/>
      <c r="W371" s="338">
        <f>ROUNDUP(U371*1/12,-1)</f>
        <v>161170</v>
      </c>
      <c r="X371" s="128">
        <f t="shared" ref="X371:X382" si="398">ROUND(U371*4.5%,-1)</f>
        <v>87030</v>
      </c>
      <c r="Y371" s="128">
        <f t="shared" ref="Y371:Y382" si="399">ROUNDUP((U371-L371)*3.035%,-1)</f>
        <v>58700</v>
      </c>
      <c r="Z371" s="128">
        <f>ROUNDUP(Y371*6.55%,-1)</f>
        <v>3850</v>
      </c>
      <c r="AA371" s="128">
        <f t="shared" ref="AA371:AA382" si="400">ROUND(U371*0.9%,-1)</f>
        <v>17410</v>
      </c>
      <c r="AB371" s="128">
        <f t="shared" ref="AB371:AB382" si="401">ROUND(U371*0.8%,-1)</f>
        <v>15470</v>
      </c>
      <c r="AC371" s="129">
        <f t="shared" ref="AC371:AC382" si="402">SUM(W371:AB371)</f>
        <v>343630</v>
      </c>
      <c r="AD371" s="619">
        <f t="shared" si="365"/>
        <v>1590370</v>
      </c>
    </row>
    <row r="372" spans="1:30" s="24" customFormat="1" ht="16.5" hidden="1" customHeight="1">
      <c r="A372" s="1150"/>
      <c r="B372" s="119"/>
      <c r="C372" s="120"/>
      <c r="D372" s="120"/>
      <c r="E372" s="124" t="s">
        <v>458</v>
      </c>
      <c r="F372" s="126">
        <f>F371</f>
        <v>1734000</v>
      </c>
      <c r="G372" s="126"/>
      <c r="H372" s="126"/>
      <c r="I372" s="126"/>
      <c r="J372" s="126"/>
      <c r="K372" s="126"/>
      <c r="L372" s="126"/>
      <c r="M372" s="126">
        <f>F372*60%</f>
        <v>1040400</v>
      </c>
      <c r="N372" s="126"/>
      <c r="O372" s="126"/>
      <c r="P372" s="126"/>
      <c r="Q372" s="126">
        <f t="shared" ref="Q372:Q382" si="403">ROUND((F371+T371)*1/209*1.5,-1)</f>
        <v>13880</v>
      </c>
      <c r="R372" s="126">
        <f>Q372*40</f>
        <v>555200</v>
      </c>
      <c r="S372" s="126"/>
      <c r="T372" s="127">
        <v>200000</v>
      </c>
      <c r="U372" s="122">
        <f t="shared" ref="U372:U382" si="404">SUM(F372,M372,O372,R372,T372)</f>
        <v>3529600</v>
      </c>
      <c r="V372" s="333"/>
      <c r="W372" s="338">
        <f>ROUNDUP((T372+U372)*1/12,-1)</f>
        <v>310800</v>
      </c>
      <c r="X372" s="128">
        <f t="shared" si="398"/>
        <v>158830</v>
      </c>
      <c r="Y372" s="128">
        <f t="shared" si="399"/>
        <v>107130</v>
      </c>
      <c r="Z372" s="128">
        <f t="shared" ref="Z372:Z382" si="405">ROUNDUP(Y372*6.55%,-1)</f>
        <v>7020</v>
      </c>
      <c r="AA372" s="128">
        <f t="shared" si="400"/>
        <v>31770</v>
      </c>
      <c r="AB372" s="128">
        <f t="shared" si="401"/>
        <v>28240</v>
      </c>
      <c r="AC372" s="129">
        <f t="shared" si="402"/>
        <v>643790</v>
      </c>
      <c r="AD372" s="619">
        <f t="shared" si="365"/>
        <v>2885810</v>
      </c>
    </row>
    <row r="373" spans="1:30" s="24" customFormat="1" ht="16.5" hidden="1" customHeight="1">
      <c r="A373" s="1150"/>
      <c r="B373" s="119"/>
      <c r="C373" s="120"/>
      <c r="D373" s="120"/>
      <c r="E373" s="124" t="s">
        <v>459</v>
      </c>
      <c r="F373" s="126">
        <f>F372</f>
        <v>1734000</v>
      </c>
      <c r="G373" s="126"/>
      <c r="H373" s="126"/>
      <c r="I373" s="126"/>
      <c r="J373" s="126"/>
      <c r="K373" s="126"/>
      <c r="L373" s="126"/>
      <c r="M373" s="126"/>
      <c r="N373" s="126"/>
      <c r="O373" s="126"/>
      <c r="P373" s="126"/>
      <c r="Q373" s="126">
        <f t="shared" si="403"/>
        <v>13880</v>
      </c>
      <c r="R373" s="126">
        <f>Q373*40</f>
        <v>555200</v>
      </c>
      <c r="S373" s="126"/>
      <c r="T373" s="127">
        <v>200000</v>
      </c>
      <c r="U373" s="122">
        <f t="shared" si="404"/>
        <v>2489200</v>
      </c>
      <c r="V373" s="333"/>
      <c r="W373" s="338">
        <f t="shared" ref="W373:W382" si="406">ROUNDUP(U373*1/12,-1)</f>
        <v>207440</v>
      </c>
      <c r="X373" s="128">
        <f t="shared" si="398"/>
        <v>112010</v>
      </c>
      <c r="Y373" s="128">
        <f t="shared" si="399"/>
        <v>75550</v>
      </c>
      <c r="Z373" s="128">
        <f t="shared" si="405"/>
        <v>4950</v>
      </c>
      <c r="AA373" s="128">
        <f t="shared" si="400"/>
        <v>22400</v>
      </c>
      <c r="AB373" s="128">
        <f t="shared" si="401"/>
        <v>19910</v>
      </c>
      <c r="AC373" s="129">
        <f t="shared" si="402"/>
        <v>442260</v>
      </c>
      <c r="AD373" s="619">
        <f t="shared" si="365"/>
        <v>2046940</v>
      </c>
    </row>
    <row r="374" spans="1:30" s="24" customFormat="1" ht="16.5" hidden="1" customHeight="1">
      <c r="A374" s="1150"/>
      <c r="B374" s="119"/>
      <c r="C374" s="120">
        <v>5</v>
      </c>
      <c r="D374" s="120"/>
      <c r="E374" s="124" t="s">
        <v>460</v>
      </c>
      <c r="F374" s="125">
        <v>1785000</v>
      </c>
      <c r="G374" s="126"/>
      <c r="H374" s="126"/>
      <c r="I374" s="126"/>
      <c r="J374" s="126"/>
      <c r="K374" s="126"/>
      <c r="L374" s="126"/>
      <c r="M374" s="126"/>
      <c r="N374" s="126"/>
      <c r="O374" s="126"/>
      <c r="P374" s="126"/>
      <c r="Q374" s="126">
        <f t="shared" si="403"/>
        <v>13880</v>
      </c>
      <c r="R374" s="126">
        <f t="shared" ref="R374:R381" si="407">Q374*40</f>
        <v>555200</v>
      </c>
      <c r="S374" s="126"/>
      <c r="T374" s="127">
        <v>200000</v>
      </c>
      <c r="U374" s="122">
        <f t="shared" si="404"/>
        <v>2540200</v>
      </c>
      <c r="V374" s="333"/>
      <c r="W374" s="338">
        <f t="shared" si="406"/>
        <v>211690</v>
      </c>
      <c r="X374" s="128">
        <f t="shared" si="398"/>
        <v>114310</v>
      </c>
      <c r="Y374" s="128">
        <f t="shared" si="399"/>
        <v>77100</v>
      </c>
      <c r="Z374" s="128">
        <f t="shared" si="405"/>
        <v>5060</v>
      </c>
      <c r="AA374" s="128">
        <f t="shared" si="400"/>
        <v>22860</v>
      </c>
      <c r="AB374" s="128">
        <f t="shared" si="401"/>
        <v>20320</v>
      </c>
      <c r="AC374" s="129">
        <f t="shared" si="402"/>
        <v>451340</v>
      </c>
      <c r="AD374" s="619">
        <f t="shared" si="365"/>
        <v>2088860</v>
      </c>
    </row>
    <row r="375" spans="1:30" s="24" customFormat="1" ht="16.5" hidden="1" customHeight="1">
      <c r="A375" s="1150"/>
      <c r="B375" s="119"/>
      <c r="C375" s="120"/>
      <c r="D375" s="120"/>
      <c r="E375" s="124" t="s">
        <v>461</v>
      </c>
      <c r="F375" s="126">
        <f t="shared" ref="F375:F382" si="408">F374</f>
        <v>1785000</v>
      </c>
      <c r="G375" s="126"/>
      <c r="H375" s="126"/>
      <c r="I375" s="126"/>
      <c r="J375" s="126"/>
      <c r="K375" s="126"/>
      <c r="L375" s="126"/>
      <c r="M375" s="126"/>
      <c r="N375" s="126"/>
      <c r="O375" s="126"/>
      <c r="P375" s="126"/>
      <c r="Q375" s="126">
        <f t="shared" si="403"/>
        <v>14250</v>
      </c>
      <c r="R375" s="126">
        <f t="shared" si="407"/>
        <v>570000</v>
      </c>
      <c r="S375" s="126"/>
      <c r="T375" s="127">
        <f t="shared" ref="T375:T382" si="409">T374</f>
        <v>200000</v>
      </c>
      <c r="U375" s="122">
        <f t="shared" si="404"/>
        <v>2555000</v>
      </c>
      <c r="V375" s="333"/>
      <c r="W375" s="338">
        <f t="shared" si="406"/>
        <v>212920</v>
      </c>
      <c r="X375" s="128">
        <f t="shared" si="398"/>
        <v>114980</v>
      </c>
      <c r="Y375" s="128">
        <f t="shared" si="399"/>
        <v>77550</v>
      </c>
      <c r="Z375" s="128">
        <f t="shared" si="405"/>
        <v>5080</v>
      </c>
      <c r="AA375" s="128">
        <f t="shared" si="400"/>
        <v>23000</v>
      </c>
      <c r="AB375" s="128">
        <f t="shared" si="401"/>
        <v>20440</v>
      </c>
      <c r="AC375" s="129">
        <f t="shared" si="402"/>
        <v>453970</v>
      </c>
      <c r="AD375" s="619">
        <f t="shared" si="365"/>
        <v>2101030</v>
      </c>
    </row>
    <row r="376" spans="1:30" s="24" customFormat="1" ht="16.5" hidden="1" customHeight="1">
      <c r="A376" s="1150"/>
      <c r="B376" s="119"/>
      <c r="C376" s="120"/>
      <c r="D376" s="120"/>
      <c r="E376" s="124" t="s">
        <v>462</v>
      </c>
      <c r="F376" s="126">
        <f t="shared" si="408"/>
        <v>1785000</v>
      </c>
      <c r="G376" s="126"/>
      <c r="H376" s="126"/>
      <c r="I376" s="126"/>
      <c r="J376" s="126"/>
      <c r="K376" s="126"/>
      <c r="L376" s="126"/>
      <c r="M376" s="126"/>
      <c r="N376" s="126"/>
      <c r="O376" s="126"/>
      <c r="P376" s="126"/>
      <c r="Q376" s="126">
        <f t="shared" si="403"/>
        <v>14250</v>
      </c>
      <c r="R376" s="126">
        <f t="shared" si="407"/>
        <v>570000</v>
      </c>
      <c r="S376" s="126"/>
      <c r="T376" s="127">
        <f t="shared" si="409"/>
        <v>200000</v>
      </c>
      <c r="U376" s="122">
        <f t="shared" si="404"/>
        <v>2555000</v>
      </c>
      <c r="V376" s="333"/>
      <c r="W376" s="338">
        <f t="shared" si="406"/>
        <v>212920</v>
      </c>
      <c r="X376" s="128">
        <f t="shared" si="398"/>
        <v>114980</v>
      </c>
      <c r="Y376" s="128">
        <f t="shared" si="399"/>
        <v>77550</v>
      </c>
      <c r="Z376" s="128">
        <f t="shared" si="405"/>
        <v>5080</v>
      </c>
      <c r="AA376" s="128">
        <f t="shared" si="400"/>
        <v>23000</v>
      </c>
      <c r="AB376" s="128">
        <f t="shared" si="401"/>
        <v>20440</v>
      </c>
      <c r="AC376" s="129">
        <f t="shared" si="402"/>
        <v>453970</v>
      </c>
      <c r="AD376" s="619">
        <f t="shared" si="365"/>
        <v>2101030</v>
      </c>
    </row>
    <row r="377" spans="1:30" s="24" customFormat="1" ht="16.5" hidden="1" customHeight="1">
      <c r="A377" s="1150"/>
      <c r="B377" s="119"/>
      <c r="C377" s="120"/>
      <c r="D377" s="120"/>
      <c r="E377" s="124" t="s">
        <v>330</v>
      </c>
      <c r="F377" s="126">
        <f t="shared" si="408"/>
        <v>1785000</v>
      </c>
      <c r="G377" s="126"/>
      <c r="H377" s="125"/>
      <c r="I377" s="127"/>
      <c r="J377" s="126"/>
      <c r="K377" s="126"/>
      <c r="L377" s="126"/>
      <c r="M377" s="126"/>
      <c r="N377" s="126"/>
      <c r="O377" s="126"/>
      <c r="P377" s="126"/>
      <c r="Q377" s="126">
        <f t="shared" si="403"/>
        <v>14250</v>
      </c>
      <c r="R377" s="126">
        <f t="shared" si="407"/>
        <v>570000</v>
      </c>
      <c r="S377" s="126"/>
      <c r="T377" s="127">
        <f t="shared" si="409"/>
        <v>200000</v>
      </c>
      <c r="U377" s="122">
        <f t="shared" si="404"/>
        <v>2555000</v>
      </c>
      <c r="V377" s="333"/>
      <c r="W377" s="338">
        <f t="shared" si="406"/>
        <v>212920</v>
      </c>
      <c r="X377" s="128">
        <f t="shared" si="398"/>
        <v>114980</v>
      </c>
      <c r="Y377" s="128">
        <f t="shared" si="399"/>
        <v>77550</v>
      </c>
      <c r="Z377" s="128">
        <f t="shared" si="405"/>
        <v>5080</v>
      </c>
      <c r="AA377" s="128">
        <f t="shared" si="400"/>
        <v>23000</v>
      </c>
      <c r="AB377" s="128">
        <f t="shared" si="401"/>
        <v>20440</v>
      </c>
      <c r="AC377" s="129">
        <f t="shared" si="402"/>
        <v>453970</v>
      </c>
      <c r="AD377" s="619">
        <f t="shared" si="365"/>
        <v>2101030</v>
      </c>
    </row>
    <row r="378" spans="1:30" s="24" customFormat="1" ht="16.5" hidden="1" customHeight="1">
      <c r="A378" s="1150"/>
      <c r="B378" s="119"/>
      <c r="C378" s="120"/>
      <c r="D378" s="120"/>
      <c r="E378" s="124" t="s">
        <v>331</v>
      </c>
      <c r="F378" s="126">
        <f t="shared" si="408"/>
        <v>1785000</v>
      </c>
      <c r="G378" s="126"/>
      <c r="H378" s="126"/>
      <c r="I378" s="126"/>
      <c r="J378" s="126"/>
      <c r="K378" s="126"/>
      <c r="L378" s="126"/>
      <c r="M378" s="126"/>
      <c r="N378" s="126"/>
      <c r="O378" s="126"/>
      <c r="P378" s="126"/>
      <c r="Q378" s="126">
        <f t="shared" si="403"/>
        <v>14250</v>
      </c>
      <c r="R378" s="126">
        <f t="shared" si="407"/>
        <v>570000</v>
      </c>
      <c r="S378" s="126"/>
      <c r="T378" s="127">
        <f t="shared" si="409"/>
        <v>200000</v>
      </c>
      <c r="U378" s="122">
        <f t="shared" si="404"/>
        <v>2555000</v>
      </c>
      <c r="V378" s="333"/>
      <c r="W378" s="338">
        <f t="shared" si="406"/>
        <v>212920</v>
      </c>
      <c r="X378" s="128">
        <f t="shared" si="398"/>
        <v>114980</v>
      </c>
      <c r="Y378" s="128">
        <f t="shared" si="399"/>
        <v>77550</v>
      </c>
      <c r="Z378" s="128">
        <f t="shared" si="405"/>
        <v>5080</v>
      </c>
      <c r="AA378" s="128">
        <f t="shared" si="400"/>
        <v>23000</v>
      </c>
      <c r="AB378" s="128">
        <f t="shared" si="401"/>
        <v>20440</v>
      </c>
      <c r="AC378" s="129">
        <f t="shared" si="402"/>
        <v>453970</v>
      </c>
      <c r="AD378" s="619">
        <f t="shared" si="365"/>
        <v>2101030</v>
      </c>
    </row>
    <row r="379" spans="1:30" s="24" customFormat="1" ht="16.5" hidden="1" customHeight="1">
      <c r="A379" s="1150"/>
      <c r="B379" s="119"/>
      <c r="C379" s="120"/>
      <c r="D379" s="120"/>
      <c r="E379" s="124" t="s">
        <v>62</v>
      </c>
      <c r="F379" s="126">
        <f t="shared" si="408"/>
        <v>1785000</v>
      </c>
      <c r="G379" s="126"/>
      <c r="H379" s="126"/>
      <c r="I379" s="126"/>
      <c r="J379" s="126"/>
      <c r="K379" s="126"/>
      <c r="L379" s="126"/>
      <c r="M379" s="126">
        <f>F379*60%</f>
        <v>1071000</v>
      </c>
      <c r="N379" s="126"/>
      <c r="O379" s="126"/>
      <c r="P379" s="126"/>
      <c r="Q379" s="126">
        <f t="shared" si="403"/>
        <v>14250</v>
      </c>
      <c r="R379" s="126">
        <f t="shared" si="407"/>
        <v>570000</v>
      </c>
      <c r="S379" s="126"/>
      <c r="T379" s="127">
        <f t="shared" si="409"/>
        <v>200000</v>
      </c>
      <c r="U379" s="122">
        <f t="shared" si="404"/>
        <v>3626000</v>
      </c>
      <c r="V379" s="333"/>
      <c r="W379" s="338">
        <f t="shared" si="406"/>
        <v>302170</v>
      </c>
      <c r="X379" s="128">
        <f t="shared" si="398"/>
        <v>163170</v>
      </c>
      <c r="Y379" s="128">
        <f t="shared" si="399"/>
        <v>110050</v>
      </c>
      <c r="Z379" s="128">
        <f t="shared" si="405"/>
        <v>7210</v>
      </c>
      <c r="AA379" s="128">
        <f t="shared" si="400"/>
        <v>32630</v>
      </c>
      <c r="AB379" s="128">
        <f t="shared" si="401"/>
        <v>29010</v>
      </c>
      <c r="AC379" s="129">
        <f t="shared" si="402"/>
        <v>644240</v>
      </c>
      <c r="AD379" s="619">
        <f t="shared" si="365"/>
        <v>2981760</v>
      </c>
    </row>
    <row r="380" spans="1:30" s="24" customFormat="1" ht="16.5" hidden="1" customHeight="1">
      <c r="A380" s="1150"/>
      <c r="B380" s="119"/>
      <c r="C380" s="120"/>
      <c r="D380" s="120"/>
      <c r="E380" s="124" t="s">
        <v>63</v>
      </c>
      <c r="F380" s="126">
        <f t="shared" si="408"/>
        <v>1785000</v>
      </c>
      <c r="G380" s="126"/>
      <c r="H380" s="126"/>
      <c r="I380" s="126"/>
      <c r="J380" s="126"/>
      <c r="K380" s="126"/>
      <c r="L380" s="126"/>
      <c r="M380" s="126"/>
      <c r="N380" s="126"/>
      <c r="O380" s="126"/>
      <c r="P380" s="126"/>
      <c r="Q380" s="126">
        <f t="shared" si="403"/>
        <v>14250</v>
      </c>
      <c r="R380" s="126">
        <f t="shared" si="407"/>
        <v>570000</v>
      </c>
      <c r="S380" s="126"/>
      <c r="T380" s="127">
        <f t="shared" si="409"/>
        <v>200000</v>
      </c>
      <c r="U380" s="122">
        <f t="shared" si="404"/>
        <v>2555000</v>
      </c>
      <c r="V380" s="333"/>
      <c r="W380" s="338">
        <f t="shared" si="406"/>
        <v>212920</v>
      </c>
      <c r="X380" s="128">
        <f t="shared" si="398"/>
        <v>114980</v>
      </c>
      <c r="Y380" s="128">
        <f t="shared" si="399"/>
        <v>77550</v>
      </c>
      <c r="Z380" s="128">
        <f t="shared" si="405"/>
        <v>5080</v>
      </c>
      <c r="AA380" s="128">
        <f t="shared" si="400"/>
        <v>23000</v>
      </c>
      <c r="AB380" s="128">
        <f t="shared" si="401"/>
        <v>20440</v>
      </c>
      <c r="AC380" s="129">
        <f t="shared" si="402"/>
        <v>453970</v>
      </c>
      <c r="AD380" s="619">
        <f t="shared" si="365"/>
        <v>2101030</v>
      </c>
    </row>
    <row r="381" spans="1:30" s="24" customFormat="1" ht="16.5" hidden="1" customHeight="1">
      <c r="A381" s="1150"/>
      <c r="B381" s="119"/>
      <c r="C381" s="120"/>
      <c r="D381" s="120"/>
      <c r="E381" s="124" t="s">
        <v>64</v>
      </c>
      <c r="F381" s="126">
        <f t="shared" si="408"/>
        <v>1785000</v>
      </c>
      <c r="G381" s="126"/>
      <c r="H381" s="126"/>
      <c r="I381" s="126"/>
      <c r="J381" s="126"/>
      <c r="K381" s="126"/>
      <c r="L381" s="126"/>
      <c r="M381" s="126"/>
      <c r="N381" s="126"/>
      <c r="O381" s="126"/>
      <c r="P381" s="126"/>
      <c r="Q381" s="126">
        <f t="shared" si="403"/>
        <v>14250</v>
      </c>
      <c r="R381" s="126">
        <f t="shared" si="407"/>
        <v>570000</v>
      </c>
      <c r="S381" s="126"/>
      <c r="T381" s="127">
        <f t="shared" si="409"/>
        <v>200000</v>
      </c>
      <c r="U381" s="122">
        <f t="shared" si="404"/>
        <v>2555000</v>
      </c>
      <c r="V381" s="333"/>
      <c r="W381" s="338">
        <f t="shared" si="406"/>
        <v>212920</v>
      </c>
      <c r="X381" s="128">
        <f t="shared" si="398"/>
        <v>114980</v>
      </c>
      <c r="Y381" s="128">
        <f t="shared" si="399"/>
        <v>77550</v>
      </c>
      <c r="Z381" s="128">
        <f t="shared" si="405"/>
        <v>5080</v>
      </c>
      <c r="AA381" s="128">
        <f t="shared" si="400"/>
        <v>23000</v>
      </c>
      <c r="AB381" s="128">
        <f t="shared" si="401"/>
        <v>20440</v>
      </c>
      <c r="AC381" s="129">
        <f t="shared" si="402"/>
        <v>453970</v>
      </c>
      <c r="AD381" s="619">
        <f t="shared" si="365"/>
        <v>2101030</v>
      </c>
    </row>
    <row r="382" spans="1:30" s="24" customFormat="1" ht="16.5" hidden="1" customHeight="1">
      <c r="A382" s="1150"/>
      <c r="B382" s="119"/>
      <c r="C382" s="120"/>
      <c r="D382" s="120"/>
      <c r="E382" s="124" t="s">
        <v>463</v>
      </c>
      <c r="F382" s="126">
        <f t="shared" si="408"/>
        <v>1785000</v>
      </c>
      <c r="G382" s="126"/>
      <c r="H382" s="126"/>
      <c r="I382" s="126"/>
      <c r="J382" s="126"/>
      <c r="K382" s="126"/>
      <c r="L382" s="126"/>
      <c r="M382" s="126"/>
      <c r="N382" s="126"/>
      <c r="O382" s="126"/>
      <c r="P382" s="126"/>
      <c r="Q382" s="126">
        <f t="shared" si="403"/>
        <v>14250</v>
      </c>
      <c r="R382" s="126">
        <f>Q382*40*2</f>
        <v>1140000</v>
      </c>
      <c r="S382" s="126"/>
      <c r="T382" s="127">
        <f t="shared" si="409"/>
        <v>200000</v>
      </c>
      <c r="U382" s="122">
        <f t="shared" si="404"/>
        <v>3125000</v>
      </c>
      <c r="V382" s="333"/>
      <c r="W382" s="338">
        <f t="shared" si="406"/>
        <v>260420</v>
      </c>
      <c r="X382" s="128">
        <f t="shared" si="398"/>
        <v>140630</v>
      </c>
      <c r="Y382" s="128">
        <f t="shared" si="399"/>
        <v>94850</v>
      </c>
      <c r="Z382" s="128">
        <f t="shared" si="405"/>
        <v>6220</v>
      </c>
      <c r="AA382" s="128">
        <f t="shared" si="400"/>
        <v>28130</v>
      </c>
      <c r="AB382" s="128">
        <f t="shared" si="401"/>
        <v>25000</v>
      </c>
      <c r="AC382" s="129">
        <f t="shared" si="402"/>
        <v>555250</v>
      </c>
      <c r="AD382" s="619">
        <f t="shared" si="365"/>
        <v>2569750</v>
      </c>
    </row>
    <row r="383" spans="1:30" s="24" customFormat="1" ht="17.25" hidden="1" customHeight="1">
      <c r="A383" s="1150">
        <v>30</v>
      </c>
      <c r="B383" s="119" t="s">
        <v>95</v>
      </c>
      <c r="C383" s="120" t="s">
        <v>664</v>
      </c>
      <c r="D383" s="120">
        <v>1</v>
      </c>
      <c r="E383" s="121" t="s">
        <v>94</v>
      </c>
      <c r="F383" s="122">
        <f>SUM(F384:F395)</f>
        <v>21267000</v>
      </c>
      <c r="G383" s="122">
        <f t="shared" ref="G383:L383" si="410">SUM(G384:G395)</f>
        <v>0</v>
      </c>
      <c r="H383" s="122">
        <f t="shared" si="410"/>
        <v>0</v>
      </c>
      <c r="I383" s="122">
        <f t="shared" si="410"/>
        <v>0</v>
      </c>
      <c r="J383" s="122">
        <f t="shared" si="410"/>
        <v>0</v>
      </c>
      <c r="K383" s="122">
        <f t="shared" si="410"/>
        <v>0</v>
      </c>
      <c r="L383" s="122">
        <f t="shared" si="410"/>
        <v>0</v>
      </c>
      <c r="M383" s="122">
        <f>SUM(M384:M395)</f>
        <v>2111400</v>
      </c>
      <c r="N383" s="122">
        <f>SUM(N384:N395)</f>
        <v>0</v>
      </c>
      <c r="O383" s="122">
        <f>SUM(O384:O395)</f>
        <v>0</v>
      </c>
      <c r="P383" s="122"/>
      <c r="Q383" s="122"/>
      <c r="R383" s="122">
        <f>SUM(R384:R395)</f>
        <v>6795600</v>
      </c>
      <c r="S383" s="122">
        <f>SUM(S384:S395)</f>
        <v>0</v>
      </c>
      <c r="T383" s="122">
        <f>SUM(T384:T395)</f>
        <v>2400000</v>
      </c>
      <c r="U383" s="122">
        <f>SUM(U384:U395)</f>
        <v>32574000</v>
      </c>
      <c r="V383" s="333"/>
      <c r="W383" s="350">
        <f t="shared" ref="W383:AB383" si="411">SUM(W384:W395)</f>
        <v>2731210</v>
      </c>
      <c r="X383" s="122">
        <f t="shared" si="411"/>
        <v>1465860</v>
      </c>
      <c r="Y383" s="122">
        <f t="shared" si="411"/>
        <v>988680</v>
      </c>
      <c r="Z383" s="122">
        <f t="shared" si="411"/>
        <v>64790</v>
      </c>
      <c r="AA383" s="122">
        <f t="shared" si="411"/>
        <v>293200</v>
      </c>
      <c r="AB383" s="122">
        <f t="shared" si="411"/>
        <v>260590</v>
      </c>
      <c r="AC383" s="123">
        <f>SUM(AC384:AC395)</f>
        <v>5804330</v>
      </c>
      <c r="AD383" s="618">
        <f t="shared" si="365"/>
        <v>26769670</v>
      </c>
    </row>
    <row r="384" spans="1:30" s="24" customFormat="1" ht="17.25" hidden="1" customHeight="1">
      <c r="A384" s="1150"/>
      <c r="B384" s="119" t="s">
        <v>558</v>
      </c>
      <c r="C384" s="120">
        <v>4</v>
      </c>
      <c r="D384" s="120"/>
      <c r="E384" s="124" t="s">
        <v>457</v>
      </c>
      <c r="F384" s="125">
        <v>1734000</v>
      </c>
      <c r="G384" s="126"/>
      <c r="H384" s="125"/>
      <c r="I384" s="125"/>
      <c r="J384" s="126"/>
      <c r="K384" s="126"/>
      <c r="L384" s="126"/>
      <c r="M384" s="126"/>
      <c r="N384" s="126"/>
      <c r="O384" s="126"/>
      <c r="P384" s="126"/>
      <c r="Q384" s="126"/>
      <c r="R384" s="126"/>
      <c r="S384" s="126"/>
      <c r="T384" s="127">
        <v>200000</v>
      </c>
      <c r="U384" s="122">
        <f>SUM(F384,M384,O384,R384,T384)</f>
        <v>1934000</v>
      </c>
      <c r="V384" s="333"/>
      <c r="W384" s="338">
        <f>ROUNDUP(U384*1/12,-1)</f>
        <v>161170</v>
      </c>
      <c r="X384" s="128">
        <f t="shared" ref="X384:X395" si="412">ROUND(U384*4.5%,-1)</f>
        <v>87030</v>
      </c>
      <c r="Y384" s="128">
        <f t="shared" ref="Y384:Y395" si="413">ROUNDUP((U384-L384)*3.035%,-1)</f>
        <v>58700</v>
      </c>
      <c r="Z384" s="128">
        <f>ROUNDUP(Y384*6.55%,-1)</f>
        <v>3850</v>
      </c>
      <c r="AA384" s="128">
        <f t="shared" ref="AA384:AA395" si="414">ROUND(U384*0.9%,-1)</f>
        <v>17410</v>
      </c>
      <c r="AB384" s="128">
        <f t="shared" ref="AB384:AB395" si="415">ROUND(U384*0.8%,-1)</f>
        <v>15470</v>
      </c>
      <c r="AC384" s="129">
        <f t="shared" ref="AC384:AC395" si="416">SUM(W384:AB384)</f>
        <v>343630</v>
      </c>
      <c r="AD384" s="619">
        <f t="shared" si="365"/>
        <v>1590370</v>
      </c>
    </row>
    <row r="385" spans="1:30" s="24" customFormat="1" ht="17.25" hidden="1" customHeight="1">
      <c r="A385" s="1150"/>
      <c r="B385" s="119"/>
      <c r="C385" s="120"/>
      <c r="D385" s="120"/>
      <c r="E385" s="124" t="s">
        <v>458</v>
      </c>
      <c r="F385" s="126">
        <f>F384</f>
        <v>1734000</v>
      </c>
      <c r="G385" s="126"/>
      <c r="H385" s="126"/>
      <c r="I385" s="126"/>
      <c r="J385" s="126"/>
      <c r="K385" s="126"/>
      <c r="L385" s="126"/>
      <c r="M385" s="126">
        <f>F385*60%</f>
        <v>1040400</v>
      </c>
      <c r="N385" s="126"/>
      <c r="O385" s="126"/>
      <c r="P385" s="126"/>
      <c r="Q385" s="126">
        <f t="shared" ref="Q385:Q395" si="417">ROUND((F384+T384)*1/209*1.5,-1)</f>
        <v>13880</v>
      </c>
      <c r="R385" s="126">
        <f>Q385*40</f>
        <v>555200</v>
      </c>
      <c r="S385" s="126"/>
      <c r="T385" s="127">
        <v>200000</v>
      </c>
      <c r="U385" s="122">
        <f t="shared" ref="U385:U395" si="418">SUM(F385,M385,O385,R385,T385)</f>
        <v>3529600</v>
      </c>
      <c r="V385" s="333"/>
      <c r="W385" s="338">
        <f>ROUNDUP((T385+U385)*1/12,-1)</f>
        <v>310800</v>
      </c>
      <c r="X385" s="128">
        <f t="shared" si="412"/>
        <v>158830</v>
      </c>
      <c r="Y385" s="128">
        <f t="shared" si="413"/>
        <v>107130</v>
      </c>
      <c r="Z385" s="128">
        <f t="shared" ref="Z385:Z395" si="419">ROUNDUP(Y385*6.55%,-1)</f>
        <v>7020</v>
      </c>
      <c r="AA385" s="128">
        <f t="shared" si="414"/>
        <v>31770</v>
      </c>
      <c r="AB385" s="128">
        <f t="shared" si="415"/>
        <v>28240</v>
      </c>
      <c r="AC385" s="129">
        <f t="shared" si="416"/>
        <v>643790</v>
      </c>
      <c r="AD385" s="619">
        <f t="shared" si="365"/>
        <v>2885810</v>
      </c>
    </row>
    <row r="386" spans="1:30" s="24" customFormat="1" ht="17.25" hidden="1" customHeight="1">
      <c r="A386" s="1150"/>
      <c r="B386" s="119"/>
      <c r="C386" s="120"/>
      <c r="D386" s="120"/>
      <c r="E386" s="124" t="s">
        <v>459</v>
      </c>
      <c r="F386" s="126">
        <f>F385</f>
        <v>1734000</v>
      </c>
      <c r="G386" s="126"/>
      <c r="H386" s="126"/>
      <c r="I386" s="126"/>
      <c r="J386" s="126"/>
      <c r="K386" s="126"/>
      <c r="L386" s="126"/>
      <c r="M386" s="126"/>
      <c r="N386" s="126"/>
      <c r="O386" s="126"/>
      <c r="P386" s="126"/>
      <c r="Q386" s="126">
        <f t="shared" si="417"/>
        <v>13880</v>
      </c>
      <c r="R386" s="126">
        <f>Q386*40</f>
        <v>555200</v>
      </c>
      <c r="S386" s="126"/>
      <c r="T386" s="127">
        <v>200000</v>
      </c>
      <c r="U386" s="122">
        <f t="shared" si="418"/>
        <v>2489200</v>
      </c>
      <c r="V386" s="333"/>
      <c r="W386" s="338">
        <f t="shared" ref="W386:W395" si="420">ROUNDUP(U386*1/12,-1)</f>
        <v>207440</v>
      </c>
      <c r="X386" s="128">
        <f t="shared" si="412"/>
        <v>112010</v>
      </c>
      <c r="Y386" s="128">
        <f t="shared" si="413"/>
        <v>75550</v>
      </c>
      <c r="Z386" s="128">
        <f t="shared" si="419"/>
        <v>4950</v>
      </c>
      <c r="AA386" s="128">
        <f t="shared" si="414"/>
        <v>22400</v>
      </c>
      <c r="AB386" s="128">
        <f t="shared" si="415"/>
        <v>19910</v>
      </c>
      <c r="AC386" s="129">
        <f t="shared" si="416"/>
        <v>442260</v>
      </c>
      <c r="AD386" s="619">
        <f t="shared" si="365"/>
        <v>2046940</v>
      </c>
    </row>
    <row r="387" spans="1:30" s="24" customFormat="1" ht="17.25" hidden="1" customHeight="1">
      <c r="A387" s="1150"/>
      <c r="B387" s="119"/>
      <c r="C387" s="120">
        <v>5</v>
      </c>
      <c r="D387" s="120"/>
      <c r="E387" s="124" t="s">
        <v>460</v>
      </c>
      <c r="F387" s="125">
        <v>1785000</v>
      </c>
      <c r="G387" s="126"/>
      <c r="H387" s="126"/>
      <c r="I387" s="126"/>
      <c r="J387" s="126"/>
      <c r="K387" s="126"/>
      <c r="L387" s="126"/>
      <c r="M387" s="126"/>
      <c r="N387" s="126"/>
      <c r="O387" s="126"/>
      <c r="P387" s="126"/>
      <c r="Q387" s="126">
        <f t="shared" si="417"/>
        <v>13880</v>
      </c>
      <c r="R387" s="126">
        <f t="shared" ref="R387:R394" si="421">Q387*40</f>
        <v>555200</v>
      </c>
      <c r="S387" s="126"/>
      <c r="T387" s="127">
        <v>200000</v>
      </c>
      <c r="U387" s="122">
        <f t="shared" si="418"/>
        <v>2540200</v>
      </c>
      <c r="V387" s="333"/>
      <c r="W387" s="338">
        <f t="shared" si="420"/>
        <v>211690</v>
      </c>
      <c r="X387" s="128">
        <f t="shared" si="412"/>
        <v>114310</v>
      </c>
      <c r="Y387" s="128">
        <f t="shared" si="413"/>
        <v>77100</v>
      </c>
      <c r="Z387" s="128">
        <f t="shared" si="419"/>
        <v>5060</v>
      </c>
      <c r="AA387" s="128">
        <f t="shared" si="414"/>
        <v>22860</v>
      </c>
      <c r="AB387" s="128">
        <f t="shared" si="415"/>
        <v>20320</v>
      </c>
      <c r="AC387" s="129">
        <f t="shared" si="416"/>
        <v>451340</v>
      </c>
      <c r="AD387" s="619">
        <f t="shared" si="365"/>
        <v>2088860</v>
      </c>
    </row>
    <row r="388" spans="1:30" s="24" customFormat="1" ht="17.25" hidden="1" customHeight="1">
      <c r="A388" s="1150"/>
      <c r="B388" s="119"/>
      <c r="C388" s="120"/>
      <c r="D388" s="120"/>
      <c r="E388" s="124" t="s">
        <v>461</v>
      </c>
      <c r="F388" s="126">
        <f t="shared" ref="F388:F395" si="422">F387</f>
        <v>1785000</v>
      </c>
      <c r="G388" s="126"/>
      <c r="H388" s="126"/>
      <c r="I388" s="126"/>
      <c r="J388" s="126"/>
      <c r="K388" s="126"/>
      <c r="L388" s="126"/>
      <c r="M388" s="126"/>
      <c r="N388" s="126"/>
      <c r="O388" s="126"/>
      <c r="P388" s="126"/>
      <c r="Q388" s="126">
        <f t="shared" si="417"/>
        <v>14250</v>
      </c>
      <c r="R388" s="126">
        <f t="shared" si="421"/>
        <v>570000</v>
      </c>
      <c r="S388" s="126"/>
      <c r="T388" s="127">
        <f t="shared" ref="T388:T395" si="423">T387</f>
        <v>200000</v>
      </c>
      <c r="U388" s="122">
        <f t="shared" si="418"/>
        <v>2555000</v>
      </c>
      <c r="V388" s="333"/>
      <c r="W388" s="338">
        <f t="shared" si="420"/>
        <v>212920</v>
      </c>
      <c r="X388" s="128">
        <f t="shared" si="412"/>
        <v>114980</v>
      </c>
      <c r="Y388" s="128">
        <f t="shared" si="413"/>
        <v>77550</v>
      </c>
      <c r="Z388" s="128">
        <f t="shared" si="419"/>
        <v>5080</v>
      </c>
      <c r="AA388" s="128">
        <f t="shared" si="414"/>
        <v>23000</v>
      </c>
      <c r="AB388" s="128">
        <f t="shared" si="415"/>
        <v>20440</v>
      </c>
      <c r="AC388" s="129">
        <f t="shared" si="416"/>
        <v>453970</v>
      </c>
      <c r="AD388" s="619">
        <f t="shared" si="365"/>
        <v>2101030</v>
      </c>
    </row>
    <row r="389" spans="1:30" s="24" customFormat="1" ht="17.25" hidden="1" customHeight="1">
      <c r="A389" s="1150"/>
      <c r="B389" s="119"/>
      <c r="C389" s="120"/>
      <c r="D389" s="120"/>
      <c r="E389" s="124" t="s">
        <v>462</v>
      </c>
      <c r="F389" s="126">
        <f t="shared" si="422"/>
        <v>1785000</v>
      </c>
      <c r="G389" s="126"/>
      <c r="H389" s="126"/>
      <c r="I389" s="126"/>
      <c r="J389" s="126"/>
      <c r="K389" s="126"/>
      <c r="L389" s="126"/>
      <c r="M389" s="126"/>
      <c r="N389" s="126"/>
      <c r="O389" s="126"/>
      <c r="P389" s="126"/>
      <c r="Q389" s="126">
        <f t="shared" si="417"/>
        <v>14250</v>
      </c>
      <c r="R389" s="126">
        <f t="shared" si="421"/>
        <v>570000</v>
      </c>
      <c r="S389" s="126"/>
      <c r="T389" s="127">
        <f t="shared" si="423"/>
        <v>200000</v>
      </c>
      <c r="U389" s="122">
        <f t="shared" si="418"/>
        <v>2555000</v>
      </c>
      <c r="V389" s="333"/>
      <c r="W389" s="338">
        <f t="shared" si="420"/>
        <v>212920</v>
      </c>
      <c r="X389" s="128">
        <f t="shared" si="412"/>
        <v>114980</v>
      </c>
      <c r="Y389" s="128">
        <f t="shared" si="413"/>
        <v>77550</v>
      </c>
      <c r="Z389" s="128">
        <f t="shared" si="419"/>
        <v>5080</v>
      </c>
      <c r="AA389" s="128">
        <f t="shared" si="414"/>
        <v>23000</v>
      </c>
      <c r="AB389" s="128">
        <f t="shared" si="415"/>
        <v>20440</v>
      </c>
      <c r="AC389" s="129">
        <f t="shared" si="416"/>
        <v>453970</v>
      </c>
      <c r="AD389" s="619">
        <f t="shared" si="365"/>
        <v>2101030</v>
      </c>
    </row>
    <row r="390" spans="1:30" s="24" customFormat="1" ht="17.25" hidden="1" customHeight="1">
      <c r="A390" s="1150"/>
      <c r="B390" s="119"/>
      <c r="C390" s="120"/>
      <c r="D390" s="120"/>
      <c r="E390" s="124" t="s">
        <v>330</v>
      </c>
      <c r="F390" s="126">
        <f t="shared" si="422"/>
        <v>1785000</v>
      </c>
      <c r="G390" s="126"/>
      <c r="H390" s="125"/>
      <c r="I390" s="127"/>
      <c r="J390" s="126"/>
      <c r="K390" s="126"/>
      <c r="L390" s="126"/>
      <c r="M390" s="126"/>
      <c r="N390" s="126"/>
      <c r="O390" s="126"/>
      <c r="P390" s="126"/>
      <c r="Q390" s="126">
        <f t="shared" si="417"/>
        <v>14250</v>
      </c>
      <c r="R390" s="126">
        <f t="shared" si="421"/>
        <v>570000</v>
      </c>
      <c r="S390" s="126"/>
      <c r="T390" s="127">
        <f t="shared" si="423"/>
        <v>200000</v>
      </c>
      <c r="U390" s="122">
        <f t="shared" si="418"/>
        <v>2555000</v>
      </c>
      <c r="V390" s="333"/>
      <c r="W390" s="338">
        <f t="shared" si="420"/>
        <v>212920</v>
      </c>
      <c r="X390" s="128">
        <f t="shared" si="412"/>
        <v>114980</v>
      </c>
      <c r="Y390" s="128">
        <f t="shared" si="413"/>
        <v>77550</v>
      </c>
      <c r="Z390" s="128">
        <f t="shared" si="419"/>
        <v>5080</v>
      </c>
      <c r="AA390" s="128">
        <f t="shared" si="414"/>
        <v>23000</v>
      </c>
      <c r="AB390" s="128">
        <f t="shared" si="415"/>
        <v>20440</v>
      </c>
      <c r="AC390" s="129">
        <f t="shared" si="416"/>
        <v>453970</v>
      </c>
      <c r="AD390" s="619">
        <f t="shared" si="365"/>
        <v>2101030</v>
      </c>
    </row>
    <row r="391" spans="1:30" s="24" customFormat="1" ht="17.25" hidden="1" customHeight="1">
      <c r="A391" s="1150"/>
      <c r="B391" s="119"/>
      <c r="C391" s="120"/>
      <c r="D391" s="120"/>
      <c r="E391" s="124" t="s">
        <v>331</v>
      </c>
      <c r="F391" s="126">
        <f t="shared" si="422"/>
        <v>1785000</v>
      </c>
      <c r="G391" s="126"/>
      <c r="H391" s="126"/>
      <c r="I391" s="126"/>
      <c r="J391" s="126"/>
      <c r="K391" s="126"/>
      <c r="L391" s="126"/>
      <c r="M391" s="126"/>
      <c r="N391" s="126"/>
      <c r="O391" s="126"/>
      <c r="P391" s="126"/>
      <c r="Q391" s="126">
        <f t="shared" si="417"/>
        <v>14250</v>
      </c>
      <c r="R391" s="126">
        <f t="shared" si="421"/>
        <v>570000</v>
      </c>
      <c r="S391" s="126"/>
      <c r="T391" s="127">
        <f t="shared" si="423"/>
        <v>200000</v>
      </c>
      <c r="U391" s="122">
        <f t="shared" si="418"/>
        <v>2555000</v>
      </c>
      <c r="V391" s="333"/>
      <c r="W391" s="338">
        <f t="shared" si="420"/>
        <v>212920</v>
      </c>
      <c r="X391" s="128">
        <f t="shared" si="412"/>
        <v>114980</v>
      </c>
      <c r="Y391" s="128">
        <f t="shared" si="413"/>
        <v>77550</v>
      </c>
      <c r="Z391" s="128">
        <f t="shared" si="419"/>
        <v>5080</v>
      </c>
      <c r="AA391" s="128">
        <f t="shared" si="414"/>
        <v>23000</v>
      </c>
      <c r="AB391" s="128">
        <f t="shared" si="415"/>
        <v>20440</v>
      </c>
      <c r="AC391" s="129">
        <f t="shared" si="416"/>
        <v>453970</v>
      </c>
      <c r="AD391" s="619">
        <f t="shared" si="365"/>
        <v>2101030</v>
      </c>
    </row>
    <row r="392" spans="1:30" s="24" customFormat="1" ht="17.25" hidden="1" customHeight="1">
      <c r="A392" s="1150"/>
      <c r="B392" s="119"/>
      <c r="C392" s="120"/>
      <c r="D392" s="120"/>
      <c r="E392" s="124" t="s">
        <v>62</v>
      </c>
      <c r="F392" s="126">
        <f t="shared" si="422"/>
        <v>1785000</v>
      </c>
      <c r="G392" s="126"/>
      <c r="H392" s="126"/>
      <c r="I392" s="126"/>
      <c r="J392" s="126"/>
      <c r="K392" s="126"/>
      <c r="L392" s="126"/>
      <c r="M392" s="126">
        <f>F392*60%</f>
        <v>1071000</v>
      </c>
      <c r="N392" s="126"/>
      <c r="O392" s="126"/>
      <c r="P392" s="126"/>
      <c r="Q392" s="126">
        <f t="shared" si="417"/>
        <v>14250</v>
      </c>
      <c r="R392" s="126">
        <f t="shared" si="421"/>
        <v>570000</v>
      </c>
      <c r="S392" s="126"/>
      <c r="T392" s="127">
        <f t="shared" si="423"/>
        <v>200000</v>
      </c>
      <c r="U392" s="122">
        <f t="shared" si="418"/>
        <v>3626000</v>
      </c>
      <c r="V392" s="333"/>
      <c r="W392" s="338">
        <f t="shared" si="420"/>
        <v>302170</v>
      </c>
      <c r="X392" s="128">
        <f t="shared" si="412"/>
        <v>163170</v>
      </c>
      <c r="Y392" s="128">
        <f t="shared" si="413"/>
        <v>110050</v>
      </c>
      <c r="Z392" s="128">
        <f t="shared" si="419"/>
        <v>7210</v>
      </c>
      <c r="AA392" s="128">
        <f t="shared" si="414"/>
        <v>32630</v>
      </c>
      <c r="AB392" s="128">
        <f t="shared" si="415"/>
        <v>29010</v>
      </c>
      <c r="AC392" s="129">
        <f t="shared" si="416"/>
        <v>644240</v>
      </c>
      <c r="AD392" s="619">
        <f t="shared" si="365"/>
        <v>2981760</v>
      </c>
    </row>
    <row r="393" spans="1:30" s="24" customFormat="1" ht="17.25" hidden="1" customHeight="1">
      <c r="A393" s="1150"/>
      <c r="B393" s="119"/>
      <c r="C393" s="120"/>
      <c r="D393" s="120"/>
      <c r="E393" s="124" t="s">
        <v>63</v>
      </c>
      <c r="F393" s="126">
        <f t="shared" si="422"/>
        <v>1785000</v>
      </c>
      <c r="G393" s="126"/>
      <c r="H393" s="126"/>
      <c r="I393" s="126"/>
      <c r="J393" s="126"/>
      <c r="K393" s="126"/>
      <c r="L393" s="126"/>
      <c r="M393" s="126"/>
      <c r="N393" s="126"/>
      <c r="O393" s="126"/>
      <c r="P393" s="126"/>
      <c r="Q393" s="126">
        <f t="shared" si="417"/>
        <v>14250</v>
      </c>
      <c r="R393" s="126">
        <f t="shared" si="421"/>
        <v>570000</v>
      </c>
      <c r="S393" s="126"/>
      <c r="T393" s="127">
        <f t="shared" si="423"/>
        <v>200000</v>
      </c>
      <c r="U393" s="122">
        <f t="shared" si="418"/>
        <v>2555000</v>
      </c>
      <c r="V393" s="333"/>
      <c r="W393" s="338">
        <f t="shared" si="420"/>
        <v>212920</v>
      </c>
      <c r="X393" s="128">
        <f t="shared" si="412"/>
        <v>114980</v>
      </c>
      <c r="Y393" s="128">
        <f t="shared" si="413"/>
        <v>77550</v>
      </c>
      <c r="Z393" s="128">
        <f t="shared" si="419"/>
        <v>5080</v>
      </c>
      <c r="AA393" s="128">
        <f t="shared" si="414"/>
        <v>23000</v>
      </c>
      <c r="AB393" s="128">
        <f t="shared" si="415"/>
        <v>20440</v>
      </c>
      <c r="AC393" s="129">
        <f t="shared" si="416"/>
        <v>453970</v>
      </c>
      <c r="AD393" s="619">
        <f t="shared" si="365"/>
        <v>2101030</v>
      </c>
    </row>
    <row r="394" spans="1:30" s="24" customFormat="1" ht="17.25" hidden="1" customHeight="1">
      <c r="A394" s="1150"/>
      <c r="B394" s="119"/>
      <c r="C394" s="120"/>
      <c r="D394" s="120"/>
      <c r="E394" s="124" t="s">
        <v>64</v>
      </c>
      <c r="F394" s="126">
        <f t="shared" si="422"/>
        <v>1785000</v>
      </c>
      <c r="G394" s="126"/>
      <c r="H394" s="126"/>
      <c r="I394" s="126"/>
      <c r="J394" s="126"/>
      <c r="K394" s="126"/>
      <c r="L394" s="126"/>
      <c r="M394" s="126"/>
      <c r="N394" s="126"/>
      <c r="O394" s="126"/>
      <c r="P394" s="126"/>
      <c r="Q394" s="126">
        <f t="shared" si="417"/>
        <v>14250</v>
      </c>
      <c r="R394" s="126">
        <f t="shared" si="421"/>
        <v>570000</v>
      </c>
      <c r="S394" s="126"/>
      <c r="T394" s="127">
        <f t="shared" si="423"/>
        <v>200000</v>
      </c>
      <c r="U394" s="122">
        <f t="shared" si="418"/>
        <v>2555000</v>
      </c>
      <c r="V394" s="333"/>
      <c r="W394" s="338">
        <f t="shared" si="420"/>
        <v>212920</v>
      </c>
      <c r="X394" s="128">
        <f t="shared" si="412"/>
        <v>114980</v>
      </c>
      <c r="Y394" s="128">
        <f t="shared" si="413"/>
        <v>77550</v>
      </c>
      <c r="Z394" s="128">
        <f t="shared" si="419"/>
        <v>5080</v>
      </c>
      <c r="AA394" s="128">
        <f t="shared" si="414"/>
        <v>23000</v>
      </c>
      <c r="AB394" s="128">
        <f t="shared" si="415"/>
        <v>20440</v>
      </c>
      <c r="AC394" s="129">
        <f t="shared" si="416"/>
        <v>453970</v>
      </c>
      <c r="AD394" s="619">
        <f t="shared" si="365"/>
        <v>2101030</v>
      </c>
    </row>
    <row r="395" spans="1:30" s="24" customFormat="1" ht="16.5" hidden="1" customHeight="1">
      <c r="A395" s="1150"/>
      <c r="B395" s="119"/>
      <c r="C395" s="120"/>
      <c r="D395" s="120"/>
      <c r="E395" s="124" t="s">
        <v>463</v>
      </c>
      <c r="F395" s="126">
        <f t="shared" si="422"/>
        <v>1785000</v>
      </c>
      <c r="G395" s="126"/>
      <c r="H395" s="126"/>
      <c r="I395" s="126"/>
      <c r="J395" s="126"/>
      <c r="K395" s="126"/>
      <c r="L395" s="126"/>
      <c r="M395" s="126"/>
      <c r="N395" s="126"/>
      <c r="O395" s="126"/>
      <c r="P395" s="126"/>
      <c r="Q395" s="126">
        <f t="shared" si="417"/>
        <v>14250</v>
      </c>
      <c r="R395" s="126">
        <f>Q395*40*2</f>
        <v>1140000</v>
      </c>
      <c r="S395" s="126"/>
      <c r="T395" s="127">
        <f t="shared" si="423"/>
        <v>200000</v>
      </c>
      <c r="U395" s="122">
        <f t="shared" si="418"/>
        <v>3125000</v>
      </c>
      <c r="V395" s="333"/>
      <c r="W395" s="338">
        <f t="shared" si="420"/>
        <v>260420</v>
      </c>
      <c r="X395" s="128">
        <f t="shared" si="412"/>
        <v>140630</v>
      </c>
      <c r="Y395" s="128">
        <f t="shared" si="413"/>
        <v>94850</v>
      </c>
      <c r="Z395" s="128">
        <f t="shared" si="419"/>
        <v>6220</v>
      </c>
      <c r="AA395" s="128">
        <f t="shared" si="414"/>
        <v>28130</v>
      </c>
      <c r="AB395" s="128">
        <f t="shared" si="415"/>
        <v>25000</v>
      </c>
      <c r="AC395" s="129">
        <f t="shared" si="416"/>
        <v>555250</v>
      </c>
      <c r="AD395" s="619">
        <f t="shared" si="365"/>
        <v>2569750</v>
      </c>
    </row>
    <row r="396" spans="1:30" s="24" customFormat="1" ht="16.5" hidden="1" customHeight="1">
      <c r="A396" s="1150">
        <v>31</v>
      </c>
      <c r="B396" s="119" t="s">
        <v>95</v>
      </c>
      <c r="C396" s="120" t="s">
        <v>664</v>
      </c>
      <c r="D396" s="120">
        <v>1</v>
      </c>
      <c r="E396" s="121" t="s">
        <v>94</v>
      </c>
      <c r="F396" s="122">
        <f t="shared" ref="F396:L396" si="424">SUM(F397:F408)</f>
        <v>21369000</v>
      </c>
      <c r="G396" s="122">
        <f t="shared" si="424"/>
        <v>0</v>
      </c>
      <c r="H396" s="122">
        <f t="shared" si="424"/>
        <v>0</v>
      </c>
      <c r="I396" s="122">
        <f t="shared" si="424"/>
        <v>0</v>
      </c>
      <c r="J396" s="122">
        <f t="shared" si="424"/>
        <v>0</v>
      </c>
      <c r="K396" s="122">
        <f t="shared" si="424"/>
        <v>0</v>
      </c>
      <c r="L396" s="122">
        <f t="shared" si="424"/>
        <v>0</v>
      </c>
      <c r="M396" s="122">
        <f>SUM(M397:M408)</f>
        <v>2142000</v>
      </c>
      <c r="N396" s="122">
        <f>SUM(N397:N408)</f>
        <v>0</v>
      </c>
      <c r="O396" s="122">
        <f>SUM(O397:O408)</f>
        <v>0</v>
      </c>
      <c r="P396" s="122"/>
      <c r="Q396" s="122"/>
      <c r="R396" s="122">
        <f>SUM(R397:R408)</f>
        <v>6825200</v>
      </c>
      <c r="S396" s="122">
        <f>SUM(S397:S408)</f>
        <v>0</v>
      </c>
      <c r="T396" s="122">
        <f>SUM(T397:T408)</f>
        <v>2400000</v>
      </c>
      <c r="U396" s="122">
        <f>SUM(U397:U408)</f>
        <v>32736200</v>
      </c>
      <c r="V396" s="333"/>
      <c r="W396" s="350">
        <f t="shared" ref="W396:AB396" si="425">SUM(W397:W408)</f>
        <v>2744720</v>
      </c>
      <c r="X396" s="122">
        <f t="shared" si="425"/>
        <v>1473170</v>
      </c>
      <c r="Y396" s="122">
        <f t="shared" si="425"/>
        <v>993600</v>
      </c>
      <c r="Z396" s="122">
        <f t="shared" si="425"/>
        <v>65100</v>
      </c>
      <c r="AA396" s="122">
        <f t="shared" si="425"/>
        <v>294670</v>
      </c>
      <c r="AB396" s="122">
        <f t="shared" si="425"/>
        <v>261890</v>
      </c>
      <c r="AC396" s="123">
        <f>SUM(AC397:AC408)</f>
        <v>5833150</v>
      </c>
      <c r="AD396" s="618">
        <f t="shared" si="365"/>
        <v>26903050</v>
      </c>
    </row>
    <row r="397" spans="1:30" s="24" customFormat="1" ht="16.5" hidden="1" customHeight="1">
      <c r="A397" s="1150"/>
      <c r="B397" s="119" t="s">
        <v>559</v>
      </c>
      <c r="C397" s="120">
        <v>4</v>
      </c>
      <c r="D397" s="120"/>
      <c r="E397" s="124" t="s">
        <v>457</v>
      </c>
      <c r="F397" s="125">
        <v>1734000</v>
      </c>
      <c r="G397" s="126"/>
      <c r="H397" s="125"/>
      <c r="I397" s="125"/>
      <c r="J397" s="126"/>
      <c r="K397" s="126"/>
      <c r="L397" s="126"/>
      <c r="M397" s="126"/>
      <c r="N397" s="126"/>
      <c r="O397" s="126"/>
      <c r="P397" s="126"/>
      <c r="Q397" s="126"/>
      <c r="R397" s="126"/>
      <c r="S397" s="126"/>
      <c r="T397" s="127">
        <v>200000</v>
      </c>
      <c r="U397" s="122">
        <f t="shared" ref="U397:U408" si="426">SUM(F397,M397,O397,R397,T397)</f>
        <v>1934000</v>
      </c>
      <c r="V397" s="333"/>
      <c r="W397" s="338">
        <f>ROUNDUP(U397*1/12,-1)</f>
        <v>161170</v>
      </c>
      <c r="X397" s="128">
        <f t="shared" ref="X397:X408" si="427">ROUND(U397*4.5%,-1)</f>
        <v>87030</v>
      </c>
      <c r="Y397" s="128">
        <f t="shared" ref="Y397:Y408" si="428">ROUNDUP((U397-L397)*3.035%,-1)</f>
        <v>58700</v>
      </c>
      <c r="Z397" s="128">
        <f>ROUNDUP(Y397*6.55%,-1)</f>
        <v>3850</v>
      </c>
      <c r="AA397" s="128">
        <f t="shared" ref="AA397:AA408" si="429">ROUND(U397*0.9%,-1)</f>
        <v>17410</v>
      </c>
      <c r="AB397" s="128">
        <f t="shared" ref="AB397:AB408" si="430">ROUND(U397*0.8%,-1)</f>
        <v>15470</v>
      </c>
      <c r="AC397" s="129">
        <f t="shared" ref="AC397:AC408" si="431">SUM(W397:AB397)</f>
        <v>343630</v>
      </c>
      <c r="AD397" s="619">
        <f t="shared" si="365"/>
        <v>1590370</v>
      </c>
    </row>
    <row r="398" spans="1:30" s="24" customFormat="1" ht="16.5" hidden="1" customHeight="1">
      <c r="A398" s="1150"/>
      <c r="B398" s="119"/>
      <c r="C398" s="120">
        <v>5</v>
      </c>
      <c r="D398" s="120"/>
      <c r="E398" s="124" t="s">
        <v>458</v>
      </c>
      <c r="F398" s="591">
        <v>1785000</v>
      </c>
      <c r="G398" s="126"/>
      <c r="H398" s="126"/>
      <c r="I398" s="126"/>
      <c r="J398" s="126"/>
      <c r="K398" s="126"/>
      <c r="L398" s="126"/>
      <c r="M398" s="126">
        <f>F398*60%</f>
        <v>1071000</v>
      </c>
      <c r="N398" s="126"/>
      <c r="O398" s="126"/>
      <c r="P398" s="126"/>
      <c r="Q398" s="126">
        <f t="shared" ref="Q398:Q408" si="432">ROUND((F397+T397)*1/209*1.5,-1)</f>
        <v>13880</v>
      </c>
      <c r="R398" s="126">
        <f>Q398*40</f>
        <v>555200</v>
      </c>
      <c r="S398" s="126"/>
      <c r="T398" s="127">
        <v>200000</v>
      </c>
      <c r="U398" s="122">
        <f t="shared" si="426"/>
        <v>3611200</v>
      </c>
      <c r="V398" s="333"/>
      <c r="W398" s="338">
        <f>ROUNDUP((T398+U398)*1/12,-1)</f>
        <v>317600</v>
      </c>
      <c r="X398" s="128">
        <f t="shared" si="427"/>
        <v>162500</v>
      </c>
      <c r="Y398" s="128">
        <f t="shared" si="428"/>
        <v>109600</v>
      </c>
      <c r="Z398" s="128">
        <f t="shared" ref="Z398:Z408" si="433">ROUNDUP(Y398*6.55%,-1)</f>
        <v>7180</v>
      </c>
      <c r="AA398" s="128">
        <f t="shared" si="429"/>
        <v>32500</v>
      </c>
      <c r="AB398" s="128">
        <f t="shared" si="430"/>
        <v>28890</v>
      </c>
      <c r="AC398" s="129">
        <f t="shared" si="431"/>
        <v>658270</v>
      </c>
      <c r="AD398" s="619">
        <f t="shared" si="365"/>
        <v>2952930</v>
      </c>
    </row>
    <row r="399" spans="1:30" s="24" customFormat="1" ht="16.5" hidden="1" customHeight="1">
      <c r="A399" s="1150"/>
      <c r="B399" s="119"/>
      <c r="C399" s="120"/>
      <c r="D399" s="120"/>
      <c r="E399" s="124" t="s">
        <v>459</v>
      </c>
      <c r="F399" s="126">
        <f>F398</f>
        <v>1785000</v>
      </c>
      <c r="G399" s="126"/>
      <c r="H399" s="126"/>
      <c r="I399" s="126"/>
      <c r="J399" s="126"/>
      <c r="K399" s="126"/>
      <c r="L399" s="126"/>
      <c r="M399" s="126"/>
      <c r="N399" s="126"/>
      <c r="O399" s="126"/>
      <c r="P399" s="126"/>
      <c r="Q399" s="126">
        <f t="shared" si="432"/>
        <v>14250</v>
      </c>
      <c r="R399" s="126">
        <f>Q399*40</f>
        <v>570000</v>
      </c>
      <c r="S399" s="126"/>
      <c r="T399" s="127">
        <v>200000</v>
      </c>
      <c r="U399" s="122">
        <f t="shared" si="426"/>
        <v>2555000</v>
      </c>
      <c r="V399" s="333"/>
      <c r="W399" s="338">
        <f t="shared" ref="W399:W408" si="434">ROUNDUP(U399*1/12,-1)</f>
        <v>212920</v>
      </c>
      <c r="X399" s="128">
        <f t="shared" si="427"/>
        <v>114980</v>
      </c>
      <c r="Y399" s="128">
        <f t="shared" si="428"/>
        <v>77550</v>
      </c>
      <c r="Z399" s="128">
        <f t="shared" si="433"/>
        <v>5080</v>
      </c>
      <c r="AA399" s="128">
        <f t="shared" si="429"/>
        <v>23000</v>
      </c>
      <c r="AB399" s="128">
        <f t="shared" si="430"/>
        <v>20440</v>
      </c>
      <c r="AC399" s="129">
        <f t="shared" si="431"/>
        <v>453970</v>
      </c>
      <c r="AD399" s="619">
        <f t="shared" si="365"/>
        <v>2101030</v>
      </c>
    </row>
    <row r="400" spans="1:30" s="24" customFormat="1" ht="16.5" hidden="1" customHeight="1">
      <c r="A400" s="1150"/>
      <c r="B400" s="119"/>
      <c r="C400" s="120"/>
      <c r="D400" s="120"/>
      <c r="E400" s="124" t="s">
        <v>460</v>
      </c>
      <c r="F400" s="126">
        <f>F399</f>
        <v>1785000</v>
      </c>
      <c r="G400" s="126"/>
      <c r="H400" s="126"/>
      <c r="I400" s="126"/>
      <c r="J400" s="126"/>
      <c r="K400" s="126"/>
      <c r="L400" s="126"/>
      <c r="M400" s="126"/>
      <c r="N400" s="126"/>
      <c r="O400" s="126"/>
      <c r="P400" s="126"/>
      <c r="Q400" s="126">
        <f t="shared" si="432"/>
        <v>14250</v>
      </c>
      <c r="R400" s="126">
        <f t="shared" ref="R400:R407" si="435">Q400*40</f>
        <v>570000</v>
      </c>
      <c r="S400" s="126"/>
      <c r="T400" s="127">
        <v>200000</v>
      </c>
      <c r="U400" s="122">
        <f t="shared" si="426"/>
        <v>2555000</v>
      </c>
      <c r="V400" s="333"/>
      <c r="W400" s="338">
        <f t="shared" si="434"/>
        <v>212920</v>
      </c>
      <c r="X400" s="128">
        <f t="shared" si="427"/>
        <v>114980</v>
      </c>
      <c r="Y400" s="128">
        <f t="shared" si="428"/>
        <v>77550</v>
      </c>
      <c r="Z400" s="128">
        <f t="shared" si="433"/>
        <v>5080</v>
      </c>
      <c r="AA400" s="128">
        <f t="shared" si="429"/>
        <v>23000</v>
      </c>
      <c r="AB400" s="128">
        <f t="shared" si="430"/>
        <v>20440</v>
      </c>
      <c r="AC400" s="129">
        <f t="shared" si="431"/>
        <v>453970</v>
      </c>
      <c r="AD400" s="619">
        <f t="shared" si="365"/>
        <v>2101030</v>
      </c>
    </row>
    <row r="401" spans="1:30" s="24" customFormat="1" ht="16.5" hidden="1" customHeight="1">
      <c r="A401" s="1150"/>
      <c r="B401" s="119"/>
      <c r="C401" s="120"/>
      <c r="D401" s="120"/>
      <c r="E401" s="124" t="s">
        <v>461</v>
      </c>
      <c r="F401" s="126">
        <f t="shared" ref="F401:F408" si="436">F400</f>
        <v>1785000</v>
      </c>
      <c r="G401" s="126"/>
      <c r="H401" s="126"/>
      <c r="I401" s="126"/>
      <c r="J401" s="126"/>
      <c r="K401" s="126"/>
      <c r="L401" s="126"/>
      <c r="M401" s="126"/>
      <c r="N401" s="126"/>
      <c r="O401" s="126"/>
      <c r="P401" s="126"/>
      <c r="Q401" s="126">
        <f t="shared" si="432"/>
        <v>14250</v>
      </c>
      <c r="R401" s="126">
        <f t="shared" si="435"/>
        <v>570000</v>
      </c>
      <c r="S401" s="126"/>
      <c r="T401" s="127">
        <f t="shared" ref="T401:T408" si="437">T400</f>
        <v>200000</v>
      </c>
      <c r="U401" s="122">
        <f t="shared" si="426"/>
        <v>2555000</v>
      </c>
      <c r="V401" s="333"/>
      <c r="W401" s="338">
        <f t="shared" si="434"/>
        <v>212920</v>
      </c>
      <c r="X401" s="128">
        <f t="shared" si="427"/>
        <v>114980</v>
      </c>
      <c r="Y401" s="128">
        <f t="shared" si="428"/>
        <v>77550</v>
      </c>
      <c r="Z401" s="128">
        <f t="shared" si="433"/>
        <v>5080</v>
      </c>
      <c r="AA401" s="128">
        <f t="shared" si="429"/>
        <v>23000</v>
      </c>
      <c r="AB401" s="128">
        <f t="shared" si="430"/>
        <v>20440</v>
      </c>
      <c r="AC401" s="129">
        <f t="shared" si="431"/>
        <v>453970</v>
      </c>
      <c r="AD401" s="619">
        <f t="shared" si="365"/>
        <v>2101030</v>
      </c>
    </row>
    <row r="402" spans="1:30" s="24" customFormat="1" ht="16.5" hidden="1" customHeight="1">
      <c r="A402" s="1150"/>
      <c r="B402" s="119"/>
      <c r="C402" s="120"/>
      <c r="D402" s="120"/>
      <c r="E402" s="124" t="s">
        <v>462</v>
      </c>
      <c r="F402" s="126">
        <f t="shared" si="436"/>
        <v>1785000</v>
      </c>
      <c r="G402" s="126"/>
      <c r="H402" s="126"/>
      <c r="I402" s="126"/>
      <c r="J402" s="126"/>
      <c r="K402" s="126"/>
      <c r="L402" s="126"/>
      <c r="M402" s="126"/>
      <c r="N402" s="126"/>
      <c r="O402" s="126"/>
      <c r="P402" s="126"/>
      <c r="Q402" s="126">
        <f t="shared" si="432"/>
        <v>14250</v>
      </c>
      <c r="R402" s="126">
        <f t="shared" si="435"/>
        <v>570000</v>
      </c>
      <c r="S402" s="126"/>
      <c r="T402" s="127">
        <f t="shared" si="437"/>
        <v>200000</v>
      </c>
      <c r="U402" s="122">
        <f t="shared" si="426"/>
        <v>2555000</v>
      </c>
      <c r="V402" s="333"/>
      <c r="W402" s="338">
        <f t="shared" si="434"/>
        <v>212920</v>
      </c>
      <c r="X402" s="128">
        <f t="shared" si="427"/>
        <v>114980</v>
      </c>
      <c r="Y402" s="128">
        <f t="shared" si="428"/>
        <v>77550</v>
      </c>
      <c r="Z402" s="128">
        <f t="shared" si="433"/>
        <v>5080</v>
      </c>
      <c r="AA402" s="128">
        <f t="shared" si="429"/>
        <v>23000</v>
      </c>
      <c r="AB402" s="128">
        <f t="shared" si="430"/>
        <v>20440</v>
      </c>
      <c r="AC402" s="129">
        <f t="shared" si="431"/>
        <v>453970</v>
      </c>
      <c r="AD402" s="619">
        <f t="shared" si="365"/>
        <v>2101030</v>
      </c>
    </row>
    <row r="403" spans="1:30" s="24" customFormat="1" ht="16.5" hidden="1" customHeight="1">
      <c r="A403" s="1150"/>
      <c r="B403" s="119"/>
      <c r="C403" s="120"/>
      <c r="D403" s="120"/>
      <c r="E403" s="124" t="s">
        <v>330</v>
      </c>
      <c r="F403" s="126">
        <f t="shared" si="436"/>
        <v>1785000</v>
      </c>
      <c r="G403" s="126"/>
      <c r="H403" s="125"/>
      <c r="I403" s="127"/>
      <c r="J403" s="126"/>
      <c r="K403" s="126"/>
      <c r="L403" s="126"/>
      <c r="M403" s="126"/>
      <c r="N403" s="126"/>
      <c r="O403" s="126"/>
      <c r="P403" s="126"/>
      <c r="Q403" s="126">
        <f t="shared" si="432"/>
        <v>14250</v>
      </c>
      <c r="R403" s="126">
        <f t="shared" si="435"/>
        <v>570000</v>
      </c>
      <c r="S403" s="126"/>
      <c r="T403" s="127">
        <f t="shared" si="437"/>
        <v>200000</v>
      </c>
      <c r="U403" s="122">
        <f t="shared" si="426"/>
        <v>2555000</v>
      </c>
      <c r="V403" s="333"/>
      <c r="W403" s="338">
        <f t="shared" si="434"/>
        <v>212920</v>
      </c>
      <c r="X403" s="128">
        <f t="shared" si="427"/>
        <v>114980</v>
      </c>
      <c r="Y403" s="128">
        <f t="shared" si="428"/>
        <v>77550</v>
      </c>
      <c r="Z403" s="128">
        <f t="shared" si="433"/>
        <v>5080</v>
      </c>
      <c r="AA403" s="128">
        <f t="shared" si="429"/>
        <v>23000</v>
      </c>
      <c r="AB403" s="128">
        <f t="shared" si="430"/>
        <v>20440</v>
      </c>
      <c r="AC403" s="129">
        <f t="shared" si="431"/>
        <v>453970</v>
      </c>
      <c r="AD403" s="619">
        <f t="shared" si="365"/>
        <v>2101030</v>
      </c>
    </row>
    <row r="404" spans="1:30" s="24" customFormat="1" ht="16.5" hidden="1" customHeight="1">
      <c r="A404" s="1150"/>
      <c r="B404" s="119"/>
      <c r="C404" s="120"/>
      <c r="D404" s="120"/>
      <c r="E404" s="124" t="s">
        <v>331</v>
      </c>
      <c r="F404" s="126">
        <f t="shared" si="436"/>
        <v>1785000</v>
      </c>
      <c r="G404" s="126"/>
      <c r="H404" s="126"/>
      <c r="I404" s="126"/>
      <c r="J404" s="126"/>
      <c r="K404" s="126"/>
      <c r="L404" s="126"/>
      <c r="M404" s="126"/>
      <c r="N404" s="126"/>
      <c r="O404" s="126"/>
      <c r="P404" s="126"/>
      <c r="Q404" s="126">
        <f t="shared" si="432"/>
        <v>14250</v>
      </c>
      <c r="R404" s="126">
        <f t="shared" si="435"/>
        <v>570000</v>
      </c>
      <c r="S404" s="126"/>
      <c r="T404" s="127">
        <f t="shared" si="437"/>
        <v>200000</v>
      </c>
      <c r="U404" s="122">
        <f t="shared" si="426"/>
        <v>2555000</v>
      </c>
      <c r="V404" s="333"/>
      <c r="W404" s="338">
        <f t="shared" si="434"/>
        <v>212920</v>
      </c>
      <c r="X404" s="128">
        <f t="shared" si="427"/>
        <v>114980</v>
      </c>
      <c r="Y404" s="128">
        <f t="shared" si="428"/>
        <v>77550</v>
      </c>
      <c r="Z404" s="128">
        <f t="shared" si="433"/>
        <v>5080</v>
      </c>
      <c r="AA404" s="128">
        <f t="shared" si="429"/>
        <v>23000</v>
      </c>
      <c r="AB404" s="128">
        <f t="shared" si="430"/>
        <v>20440</v>
      </c>
      <c r="AC404" s="129">
        <f t="shared" si="431"/>
        <v>453970</v>
      </c>
      <c r="AD404" s="619">
        <f t="shared" si="365"/>
        <v>2101030</v>
      </c>
    </row>
    <row r="405" spans="1:30" s="24" customFormat="1" ht="16.5" hidden="1" customHeight="1">
      <c r="A405" s="1150"/>
      <c r="B405" s="119"/>
      <c r="C405" s="120"/>
      <c r="D405" s="120"/>
      <c r="E405" s="124" t="s">
        <v>62</v>
      </c>
      <c r="F405" s="126">
        <f t="shared" si="436"/>
        <v>1785000</v>
      </c>
      <c r="G405" s="126"/>
      <c r="H405" s="126"/>
      <c r="I405" s="126"/>
      <c r="J405" s="126"/>
      <c r="K405" s="126"/>
      <c r="L405" s="126"/>
      <c r="M405" s="126">
        <f>F405*60%</f>
        <v>1071000</v>
      </c>
      <c r="N405" s="126"/>
      <c r="O405" s="126"/>
      <c r="P405" s="126"/>
      <c r="Q405" s="126">
        <f t="shared" si="432"/>
        <v>14250</v>
      </c>
      <c r="R405" s="126">
        <f t="shared" si="435"/>
        <v>570000</v>
      </c>
      <c r="S405" s="126"/>
      <c r="T405" s="127">
        <f t="shared" si="437"/>
        <v>200000</v>
      </c>
      <c r="U405" s="122">
        <f t="shared" si="426"/>
        <v>3626000</v>
      </c>
      <c r="V405" s="333"/>
      <c r="W405" s="338">
        <f t="shared" si="434"/>
        <v>302170</v>
      </c>
      <c r="X405" s="128">
        <f t="shared" si="427"/>
        <v>163170</v>
      </c>
      <c r="Y405" s="128">
        <f t="shared" si="428"/>
        <v>110050</v>
      </c>
      <c r="Z405" s="128">
        <f t="shared" si="433"/>
        <v>7210</v>
      </c>
      <c r="AA405" s="128">
        <f t="shared" si="429"/>
        <v>32630</v>
      </c>
      <c r="AB405" s="128">
        <f t="shared" si="430"/>
        <v>29010</v>
      </c>
      <c r="AC405" s="129">
        <f t="shared" si="431"/>
        <v>644240</v>
      </c>
      <c r="AD405" s="619">
        <f t="shared" ref="AD405:AD468" si="438">U405-AC405</f>
        <v>2981760</v>
      </c>
    </row>
    <row r="406" spans="1:30" s="24" customFormat="1" ht="16.5" hidden="1" customHeight="1">
      <c r="A406" s="1150"/>
      <c r="B406" s="119"/>
      <c r="C406" s="120"/>
      <c r="D406" s="120"/>
      <c r="E406" s="124" t="s">
        <v>63</v>
      </c>
      <c r="F406" s="126">
        <f t="shared" si="436"/>
        <v>1785000</v>
      </c>
      <c r="G406" s="126"/>
      <c r="H406" s="126"/>
      <c r="I406" s="126"/>
      <c r="J406" s="126"/>
      <c r="K406" s="126"/>
      <c r="L406" s="126"/>
      <c r="M406" s="126"/>
      <c r="N406" s="126"/>
      <c r="O406" s="126"/>
      <c r="P406" s="126"/>
      <c r="Q406" s="126">
        <f t="shared" si="432"/>
        <v>14250</v>
      </c>
      <c r="R406" s="126">
        <f t="shared" si="435"/>
        <v>570000</v>
      </c>
      <c r="S406" s="126"/>
      <c r="T406" s="127">
        <f t="shared" si="437"/>
        <v>200000</v>
      </c>
      <c r="U406" s="122">
        <f t="shared" si="426"/>
        <v>2555000</v>
      </c>
      <c r="V406" s="333"/>
      <c r="W406" s="338">
        <f t="shared" si="434"/>
        <v>212920</v>
      </c>
      <c r="X406" s="128">
        <f t="shared" si="427"/>
        <v>114980</v>
      </c>
      <c r="Y406" s="128">
        <f t="shared" si="428"/>
        <v>77550</v>
      </c>
      <c r="Z406" s="128">
        <f t="shared" si="433"/>
        <v>5080</v>
      </c>
      <c r="AA406" s="128">
        <f t="shared" si="429"/>
        <v>23000</v>
      </c>
      <c r="AB406" s="128">
        <f t="shared" si="430"/>
        <v>20440</v>
      </c>
      <c r="AC406" s="129">
        <f t="shared" si="431"/>
        <v>453970</v>
      </c>
      <c r="AD406" s="619">
        <f t="shared" si="438"/>
        <v>2101030</v>
      </c>
    </row>
    <row r="407" spans="1:30" s="24" customFormat="1" ht="16.5" hidden="1" customHeight="1">
      <c r="A407" s="1150"/>
      <c r="B407" s="119"/>
      <c r="C407" s="120"/>
      <c r="D407" s="120"/>
      <c r="E407" s="124" t="s">
        <v>64</v>
      </c>
      <c r="F407" s="126">
        <f t="shared" si="436"/>
        <v>1785000</v>
      </c>
      <c r="G407" s="126"/>
      <c r="H407" s="126"/>
      <c r="I407" s="126"/>
      <c r="J407" s="126"/>
      <c r="K407" s="126"/>
      <c r="L407" s="126"/>
      <c r="M407" s="126"/>
      <c r="N407" s="126"/>
      <c r="O407" s="126"/>
      <c r="P407" s="126"/>
      <c r="Q407" s="126">
        <f t="shared" si="432"/>
        <v>14250</v>
      </c>
      <c r="R407" s="126">
        <f t="shared" si="435"/>
        <v>570000</v>
      </c>
      <c r="S407" s="126"/>
      <c r="T407" s="127">
        <f t="shared" si="437"/>
        <v>200000</v>
      </c>
      <c r="U407" s="122">
        <f t="shared" si="426"/>
        <v>2555000</v>
      </c>
      <c r="V407" s="333"/>
      <c r="W407" s="338">
        <f t="shared" si="434"/>
        <v>212920</v>
      </c>
      <c r="X407" s="128">
        <f t="shared" si="427"/>
        <v>114980</v>
      </c>
      <c r="Y407" s="128">
        <f t="shared" si="428"/>
        <v>77550</v>
      </c>
      <c r="Z407" s="128">
        <f t="shared" si="433"/>
        <v>5080</v>
      </c>
      <c r="AA407" s="128">
        <f t="shared" si="429"/>
        <v>23000</v>
      </c>
      <c r="AB407" s="128">
        <f t="shared" si="430"/>
        <v>20440</v>
      </c>
      <c r="AC407" s="129">
        <f t="shared" si="431"/>
        <v>453970</v>
      </c>
      <c r="AD407" s="619">
        <f t="shared" si="438"/>
        <v>2101030</v>
      </c>
    </row>
    <row r="408" spans="1:30" s="24" customFormat="1" ht="16.5" hidden="1" customHeight="1">
      <c r="A408" s="1150"/>
      <c r="B408" s="119"/>
      <c r="C408" s="120"/>
      <c r="D408" s="120"/>
      <c r="E408" s="124" t="s">
        <v>463</v>
      </c>
      <c r="F408" s="126">
        <f t="shared" si="436"/>
        <v>1785000</v>
      </c>
      <c r="G408" s="126"/>
      <c r="H408" s="126"/>
      <c r="I408" s="126"/>
      <c r="J408" s="126"/>
      <c r="K408" s="126"/>
      <c r="L408" s="126"/>
      <c r="M408" s="126"/>
      <c r="N408" s="126"/>
      <c r="O408" s="126"/>
      <c r="P408" s="126"/>
      <c r="Q408" s="126">
        <f t="shared" si="432"/>
        <v>14250</v>
      </c>
      <c r="R408" s="126">
        <f>Q408*40*2</f>
        <v>1140000</v>
      </c>
      <c r="S408" s="126"/>
      <c r="T408" s="127">
        <f t="shared" si="437"/>
        <v>200000</v>
      </c>
      <c r="U408" s="122">
        <f t="shared" si="426"/>
        <v>3125000</v>
      </c>
      <c r="V408" s="333"/>
      <c r="W408" s="338">
        <f t="shared" si="434"/>
        <v>260420</v>
      </c>
      <c r="X408" s="128">
        <f t="shared" si="427"/>
        <v>140630</v>
      </c>
      <c r="Y408" s="128">
        <f t="shared" si="428"/>
        <v>94850</v>
      </c>
      <c r="Z408" s="128">
        <f t="shared" si="433"/>
        <v>6220</v>
      </c>
      <c r="AA408" s="128">
        <f t="shared" si="429"/>
        <v>28130</v>
      </c>
      <c r="AB408" s="128">
        <f t="shared" si="430"/>
        <v>25000</v>
      </c>
      <c r="AC408" s="129">
        <f t="shared" si="431"/>
        <v>555250</v>
      </c>
      <c r="AD408" s="619">
        <f t="shared" si="438"/>
        <v>2569750</v>
      </c>
    </row>
    <row r="409" spans="1:30" s="24" customFormat="1" ht="16.5" hidden="1" customHeight="1">
      <c r="A409" s="1150">
        <v>32</v>
      </c>
      <c r="B409" s="119" t="s">
        <v>95</v>
      </c>
      <c r="C409" s="120" t="s">
        <v>526</v>
      </c>
      <c r="D409" s="120">
        <v>1</v>
      </c>
      <c r="E409" s="121" t="s">
        <v>94</v>
      </c>
      <c r="F409" s="122">
        <f t="shared" ref="F409:L409" si="439">SUM(F410:F421)</f>
        <v>23664000</v>
      </c>
      <c r="G409" s="122">
        <f t="shared" si="439"/>
        <v>0</v>
      </c>
      <c r="H409" s="122">
        <f t="shared" si="439"/>
        <v>0</v>
      </c>
      <c r="I409" s="122">
        <f t="shared" si="439"/>
        <v>0</v>
      </c>
      <c r="J409" s="122">
        <f t="shared" si="439"/>
        <v>0</v>
      </c>
      <c r="K409" s="122">
        <f t="shared" si="439"/>
        <v>0</v>
      </c>
      <c r="L409" s="122">
        <f t="shared" si="439"/>
        <v>0</v>
      </c>
      <c r="M409" s="122">
        <f>SUM(M410:M421)</f>
        <v>2366400</v>
      </c>
      <c r="N409" s="122">
        <f>SUM(N410:N421)</f>
        <v>0</v>
      </c>
      <c r="O409" s="122">
        <f>SUM(O410:O421)</f>
        <v>240000</v>
      </c>
      <c r="P409" s="122"/>
      <c r="Q409" s="122"/>
      <c r="R409" s="122">
        <f>SUM(R410:R421)</f>
        <v>7656000</v>
      </c>
      <c r="S409" s="122">
        <f>SUM(S410:S421)</f>
        <v>0</v>
      </c>
      <c r="T409" s="122">
        <f>SUM(T410:T421)</f>
        <v>3000000</v>
      </c>
      <c r="U409" s="122">
        <f>SUM(U410:U421)</f>
        <v>36926400</v>
      </c>
      <c r="V409" s="333"/>
      <c r="W409" s="350">
        <f t="shared" ref="W409:AB409" si="440">SUM(W410:W421)</f>
        <v>3098080</v>
      </c>
      <c r="X409" s="122">
        <f t="shared" si="440"/>
        <v>1661700</v>
      </c>
      <c r="Y409" s="122">
        <f t="shared" si="440"/>
        <v>1120760</v>
      </c>
      <c r="Z409" s="122">
        <f t="shared" si="440"/>
        <v>73470</v>
      </c>
      <c r="AA409" s="122">
        <f t="shared" si="440"/>
        <v>332350</v>
      </c>
      <c r="AB409" s="122">
        <f t="shared" si="440"/>
        <v>295410</v>
      </c>
      <c r="AC409" s="123">
        <f>SUM(AC410:AC421)</f>
        <v>6581770</v>
      </c>
      <c r="AD409" s="618">
        <f t="shared" si="438"/>
        <v>30344630</v>
      </c>
    </row>
    <row r="410" spans="1:30" s="24" customFormat="1" ht="16.5" hidden="1" customHeight="1">
      <c r="A410" s="1150"/>
      <c r="B410" s="119" t="s">
        <v>466</v>
      </c>
      <c r="C410" s="120">
        <v>7</v>
      </c>
      <c r="D410" s="120"/>
      <c r="E410" s="124" t="s">
        <v>457</v>
      </c>
      <c r="F410" s="125">
        <v>1940000</v>
      </c>
      <c r="G410" s="126"/>
      <c r="H410" s="125"/>
      <c r="I410" s="125"/>
      <c r="J410" s="126"/>
      <c r="K410" s="126"/>
      <c r="L410" s="126"/>
      <c r="M410" s="126"/>
      <c r="N410" s="126"/>
      <c r="O410" s="126">
        <v>20000</v>
      </c>
      <c r="P410" s="126"/>
      <c r="Q410" s="126"/>
      <c r="R410" s="126"/>
      <c r="S410" s="126"/>
      <c r="T410" s="127">
        <v>250000</v>
      </c>
      <c r="U410" s="122">
        <f>SUM(F410,M410,O410,R410,T410)</f>
        <v>2210000</v>
      </c>
      <c r="V410" s="333"/>
      <c r="W410" s="338">
        <f>ROUNDUP(U410*1/12,-1)</f>
        <v>184170</v>
      </c>
      <c r="X410" s="128">
        <f t="shared" ref="X410:X421" si="441">ROUND(U410*4.5%,-1)</f>
        <v>99450</v>
      </c>
      <c r="Y410" s="128">
        <f t="shared" ref="Y410:Y421" si="442">ROUNDUP((U410-L410)*3.035%,-1)</f>
        <v>67080</v>
      </c>
      <c r="Z410" s="128">
        <f t="shared" ref="Z410:Z421" si="443">ROUNDUP(Y410*6.55%,-1)</f>
        <v>4400</v>
      </c>
      <c r="AA410" s="128">
        <f t="shared" ref="AA410:AA421" si="444">ROUND(U410*0.9%,-1)</f>
        <v>19890</v>
      </c>
      <c r="AB410" s="128">
        <f t="shared" ref="AB410:AB421" si="445">ROUND(U410*0.8%,-1)</f>
        <v>17680</v>
      </c>
      <c r="AC410" s="129">
        <f t="shared" ref="AC410:AC421" si="446">SUM(W410:AB410)</f>
        <v>392670</v>
      </c>
      <c r="AD410" s="619">
        <f t="shared" si="438"/>
        <v>1817330</v>
      </c>
    </row>
    <row r="411" spans="1:30" s="24" customFormat="1" ht="16.5" hidden="1" customHeight="1">
      <c r="A411" s="1150"/>
      <c r="B411" s="119"/>
      <c r="C411" s="120"/>
      <c r="D411" s="120"/>
      <c r="E411" s="124" t="s">
        <v>458</v>
      </c>
      <c r="F411" s="126">
        <f>F410</f>
        <v>1940000</v>
      </c>
      <c r="G411" s="126"/>
      <c r="H411" s="126"/>
      <c r="I411" s="126"/>
      <c r="J411" s="126"/>
      <c r="K411" s="126"/>
      <c r="L411" s="126"/>
      <c r="M411" s="126">
        <f>F411*60%</f>
        <v>1164000</v>
      </c>
      <c r="N411" s="126"/>
      <c r="O411" s="126">
        <f>O410</f>
        <v>20000</v>
      </c>
      <c r="P411" s="126"/>
      <c r="Q411" s="126">
        <f t="shared" ref="Q411:Q421" si="447">ROUND((F410+T410)*1/209*1.5,-1)</f>
        <v>15720</v>
      </c>
      <c r="R411" s="126">
        <f>Q411*40</f>
        <v>628800</v>
      </c>
      <c r="S411" s="126"/>
      <c r="T411" s="127">
        <f>T410</f>
        <v>250000</v>
      </c>
      <c r="U411" s="122">
        <f t="shared" ref="U411:U421" si="448">SUM(F411,M411,O411,R411,T411)</f>
        <v>4002800</v>
      </c>
      <c r="V411" s="333"/>
      <c r="W411" s="338">
        <f>ROUNDUP((T411+U411)*1/12,-1)</f>
        <v>354400</v>
      </c>
      <c r="X411" s="128">
        <f t="shared" si="441"/>
        <v>180130</v>
      </c>
      <c r="Y411" s="128">
        <f t="shared" si="442"/>
        <v>121490</v>
      </c>
      <c r="Z411" s="128">
        <f t="shared" si="443"/>
        <v>7960</v>
      </c>
      <c r="AA411" s="128">
        <f t="shared" si="444"/>
        <v>36030</v>
      </c>
      <c r="AB411" s="128">
        <f t="shared" si="445"/>
        <v>32020</v>
      </c>
      <c r="AC411" s="129">
        <f t="shared" si="446"/>
        <v>732030</v>
      </c>
      <c r="AD411" s="619">
        <f t="shared" si="438"/>
        <v>3270770</v>
      </c>
    </row>
    <row r="412" spans="1:30" s="24" customFormat="1" ht="16.5" hidden="1" customHeight="1">
      <c r="A412" s="1150"/>
      <c r="B412" s="119"/>
      <c r="C412" s="120"/>
      <c r="D412" s="120"/>
      <c r="E412" s="124" t="s">
        <v>459</v>
      </c>
      <c r="F412" s="126">
        <f>F411</f>
        <v>1940000</v>
      </c>
      <c r="G412" s="126"/>
      <c r="H412" s="126"/>
      <c r="I412" s="126"/>
      <c r="J412" s="126"/>
      <c r="K412" s="126"/>
      <c r="L412" s="126"/>
      <c r="M412" s="126"/>
      <c r="N412" s="126"/>
      <c r="O412" s="126">
        <f t="shared" ref="O412:O421" si="449">O411</f>
        <v>20000</v>
      </c>
      <c r="P412" s="126"/>
      <c r="Q412" s="126">
        <f t="shared" si="447"/>
        <v>15720</v>
      </c>
      <c r="R412" s="126">
        <f>Q412*40</f>
        <v>628800</v>
      </c>
      <c r="S412" s="126"/>
      <c r="T412" s="127">
        <f t="shared" ref="T412:T421" si="450">T411</f>
        <v>250000</v>
      </c>
      <c r="U412" s="122">
        <f t="shared" si="448"/>
        <v>2838800</v>
      </c>
      <c r="V412" s="333"/>
      <c r="W412" s="338">
        <f t="shared" ref="W412:W421" si="451">ROUNDUP(U412*1/12,-1)</f>
        <v>236570</v>
      </c>
      <c r="X412" s="128">
        <f t="shared" si="441"/>
        <v>127750</v>
      </c>
      <c r="Y412" s="128">
        <f t="shared" si="442"/>
        <v>86160</v>
      </c>
      <c r="Z412" s="128">
        <f t="shared" si="443"/>
        <v>5650</v>
      </c>
      <c r="AA412" s="128">
        <f t="shared" si="444"/>
        <v>25550</v>
      </c>
      <c r="AB412" s="128">
        <f t="shared" si="445"/>
        <v>22710</v>
      </c>
      <c r="AC412" s="129">
        <f t="shared" si="446"/>
        <v>504390</v>
      </c>
      <c r="AD412" s="619">
        <f t="shared" si="438"/>
        <v>2334410</v>
      </c>
    </row>
    <row r="413" spans="1:30" s="24" customFormat="1" ht="16.5" hidden="1" customHeight="1">
      <c r="A413" s="1150"/>
      <c r="B413" s="119"/>
      <c r="C413" s="120"/>
      <c r="D413" s="120"/>
      <c r="E413" s="124" t="s">
        <v>460</v>
      </c>
      <c r="F413" s="126">
        <f>F412</f>
        <v>1940000</v>
      </c>
      <c r="G413" s="126"/>
      <c r="H413" s="126"/>
      <c r="I413" s="126"/>
      <c r="J413" s="126"/>
      <c r="K413" s="126"/>
      <c r="L413" s="126"/>
      <c r="M413" s="126"/>
      <c r="N413" s="126"/>
      <c r="O413" s="126">
        <f t="shared" si="449"/>
        <v>20000</v>
      </c>
      <c r="P413" s="126"/>
      <c r="Q413" s="126">
        <f t="shared" si="447"/>
        <v>15720</v>
      </c>
      <c r="R413" s="126">
        <f>Q413*40</f>
        <v>628800</v>
      </c>
      <c r="S413" s="126"/>
      <c r="T413" s="127">
        <f t="shared" si="450"/>
        <v>250000</v>
      </c>
      <c r="U413" s="122">
        <f t="shared" si="448"/>
        <v>2838800</v>
      </c>
      <c r="V413" s="333"/>
      <c r="W413" s="338">
        <f t="shared" si="451"/>
        <v>236570</v>
      </c>
      <c r="X413" s="128">
        <f t="shared" si="441"/>
        <v>127750</v>
      </c>
      <c r="Y413" s="128">
        <f t="shared" si="442"/>
        <v>86160</v>
      </c>
      <c r="Z413" s="128">
        <f t="shared" si="443"/>
        <v>5650</v>
      </c>
      <c r="AA413" s="128">
        <f t="shared" si="444"/>
        <v>25550</v>
      </c>
      <c r="AB413" s="128">
        <f t="shared" si="445"/>
        <v>22710</v>
      </c>
      <c r="AC413" s="129">
        <f t="shared" si="446"/>
        <v>504390</v>
      </c>
      <c r="AD413" s="619">
        <f t="shared" si="438"/>
        <v>2334410</v>
      </c>
    </row>
    <row r="414" spans="1:30" s="24" customFormat="1" ht="16.5" hidden="1" customHeight="1">
      <c r="A414" s="1150"/>
      <c r="B414" s="119"/>
      <c r="C414" s="120"/>
      <c r="D414" s="120"/>
      <c r="E414" s="124" t="s">
        <v>461</v>
      </c>
      <c r="F414" s="126">
        <f>F413</f>
        <v>1940000</v>
      </c>
      <c r="G414" s="126"/>
      <c r="H414" s="126"/>
      <c r="I414" s="126"/>
      <c r="J414" s="126"/>
      <c r="K414" s="126"/>
      <c r="L414" s="126"/>
      <c r="M414" s="126"/>
      <c r="N414" s="126"/>
      <c r="O414" s="126">
        <f t="shared" si="449"/>
        <v>20000</v>
      </c>
      <c r="P414" s="126"/>
      <c r="Q414" s="126">
        <f t="shared" si="447"/>
        <v>15720</v>
      </c>
      <c r="R414" s="126">
        <f t="shared" ref="R414:R420" si="452">Q414*40</f>
        <v>628800</v>
      </c>
      <c r="S414" s="126"/>
      <c r="T414" s="127">
        <f t="shared" si="450"/>
        <v>250000</v>
      </c>
      <c r="U414" s="122">
        <f t="shared" si="448"/>
        <v>2838800</v>
      </c>
      <c r="V414" s="333"/>
      <c r="W414" s="338">
        <f t="shared" si="451"/>
        <v>236570</v>
      </c>
      <c r="X414" s="128">
        <f t="shared" si="441"/>
        <v>127750</v>
      </c>
      <c r="Y414" s="128">
        <f t="shared" si="442"/>
        <v>86160</v>
      </c>
      <c r="Z414" s="128">
        <f t="shared" si="443"/>
        <v>5650</v>
      </c>
      <c r="AA414" s="128">
        <f t="shared" si="444"/>
        <v>25550</v>
      </c>
      <c r="AB414" s="128">
        <f t="shared" si="445"/>
        <v>22710</v>
      </c>
      <c r="AC414" s="129">
        <f t="shared" si="446"/>
        <v>504390</v>
      </c>
      <c r="AD414" s="619">
        <f t="shared" si="438"/>
        <v>2334410</v>
      </c>
    </row>
    <row r="415" spans="1:30" s="24" customFormat="1" ht="16.5" hidden="1" customHeight="1">
      <c r="A415" s="1150"/>
      <c r="B415" s="119"/>
      <c r="C415" s="120"/>
      <c r="D415" s="120"/>
      <c r="E415" s="124" t="s">
        <v>462</v>
      </c>
      <c r="F415" s="126">
        <f>F414</f>
        <v>1940000</v>
      </c>
      <c r="G415" s="126"/>
      <c r="H415" s="126"/>
      <c r="I415" s="126"/>
      <c r="J415" s="126"/>
      <c r="K415" s="126"/>
      <c r="L415" s="126"/>
      <c r="M415" s="126"/>
      <c r="N415" s="126"/>
      <c r="O415" s="126">
        <f t="shared" si="449"/>
        <v>20000</v>
      </c>
      <c r="P415" s="126"/>
      <c r="Q415" s="126">
        <f t="shared" si="447"/>
        <v>15720</v>
      </c>
      <c r="R415" s="126">
        <f t="shared" si="452"/>
        <v>628800</v>
      </c>
      <c r="S415" s="126"/>
      <c r="T415" s="127">
        <f t="shared" si="450"/>
        <v>250000</v>
      </c>
      <c r="U415" s="122">
        <f t="shared" si="448"/>
        <v>2838800</v>
      </c>
      <c r="V415" s="333"/>
      <c r="W415" s="338">
        <f t="shared" si="451"/>
        <v>236570</v>
      </c>
      <c r="X415" s="128">
        <f t="shared" si="441"/>
        <v>127750</v>
      </c>
      <c r="Y415" s="128">
        <f t="shared" si="442"/>
        <v>86160</v>
      </c>
      <c r="Z415" s="128">
        <f t="shared" si="443"/>
        <v>5650</v>
      </c>
      <c r="AA415" s="128">
        <f t="shared" si="444"/>
        <v>25550</v>
      </c>
      <c r="AB415" s="128">
        <f t="shared" si="445"/>
        <v>22710</v>
      </c>
      <c r="AC415" s="129">
        <f t="shared" si="446"/>
        <v>504390</v>
      </c>
      <c r="AD415" s="619">
        <f t="shared" si="438"/>
        <v>2334410</v>
      </c>
    </row>
    <row r="416" spans="1:30" s="24" customFormat="1" ht="16.5" hidden="1" customHeight="1">
      <c r="A416" s="1150"/>
      <c r="B416" s="119"/>
      <c r="C416" s="120">
        <v>8</v>
      </c>
      <c r="D416" s="120"/>
      <c r="E416" s="124" t="s">
        <v>330</v>
      </c>
      <c r="F416" s="125">
        <v>2004000</v>
      </c>
      <c r="G416" s="126"/>
      <c r="H416" s="125"/>
      <c r="I416" s="127"/>
      <c r="J416" s="126"/>
      <c r="K416" s="126"/>
      <c r="L416" s="126"/>
      <c r="M416" s="126"/>
      <c r="N416" s="126"/>
      <c r="O416" s="126">
        <f t="shared" si="449"/>
        <v>20000</v>
      </c>
      <c r="P416" s="126"/>
      <c r="Q416" s="126">
        <f t="shared" si="447"/>
        <v>15720</v>
      </c>
      <c r="R416" s="126">
        <f t="shared" si="452"/>
        <v>628800</v>
      </c>
      <c r="S416" s="126"/>
      <c r="T416" s="127">
        <f t="shared" si="450"/>
        <v>250000</v>
      </c>
      <c r="U416" s="122">
        <f t="shared" si="448"/>
        <v>2902800</v>
      </c>
      <c r="V416" s="333"/>
      <c r="W416" s="338">
        <f t="shared" si="451"/>
        <v>241900</v>
      </c>
      <c r="X416" s="128">
        <f t="shared" si="441"/>
        <v>130630</v>
      </c>
      <c r="Y416" s="128">
        <f t="shared" si="442"/>
        <v>88100</v>
      </c>
      <c r="Z416" s="128">
        <f t="shared" si="443"/>
        <v>5780</v>
      </c>
      <c r="AA416" s="128">
        <f t="shared" si="444"/>
        <v>26130</v>
      </c>
      <c r="AB416" s="128">
        <f t="shared" si="445"/>
        <v>23220</v>
      </c>
      <c r="AC416" s="129">
        <f t="shared" si="446"/>
        <v>515760</v>
      </c>
      <c r="AD416" s="619">
        <f t="shared" si="438"/>
        <v>2387040</v>
      </c>
    </row>
    <row r="417" spans="1:30" s="24" customFormat="1" ht="16.5" hidden="1" customHeight="1">
      <c r="A417" s="1150"/>
      <c r="B417" s="119"/>
      <c r="C417" s="120"/>
      <c r="D417" s="120"/>
      <c r="E417" s="124" t="s">
        <v>331</v>
      </c>
      <c r="F417" s="126">
        <f>F416</f>
        <v>2004000</v>
      </c>
      <c r="G417" s="126"/>
      <c r="H417" s="126"/>
      <c r="I417" s="126"/>
      <c r="J417" s="126"/>
      <c r="K417" s="126"/>
      <c r="L417" s="126"/>
      <c r="M417" s="126"/>
      <c r="N417" s="126"/>
      <c r="O417" s="126">
        <f t="shared" si="449"/>
        <v>20000</v>
      </c>
      <c r="P417" s="126"/>
      <c r="Q417" s="126">
        <f t="shared" si="447"/>
        <v>16180</v>
      </c>
      <c r="R417" s="126">
        <f t="shared" si="452"/>
        <v>647200</v>
      </c>
      <c r="S417" s="126"/>
      <c r="T417" s="127">
        <f t="shared" si="450"/>
        <v>250000</v>
      </c>
      <c r="U417" s="122">
        <f t="shared" si="448"/>
        <v>2921200</v>
      </c>
      <c r="V417" s="333"/>
      <c r="W417" s="338">
        <f t="shared" si="451"/>
        <v>243440</v>
      </c>
      <c r="X417" s="128">
        <f t="shared" si="441"/>
        <v>131450</v>
      </c>
      <c r="Y417" s="128">
        <f t="shared" si="442"/>
        <v>88660</v>
      </c>
      <c r="Z417" s="128">
        <f t="shared" si="443"/>
        <v>5810</v>
      </c>
      <c r="AA417" s="128">
        <f t="shared" si="444"/>
        <v>26290</v>
      </c>
      <c r="AB417" s="128">
        <f t="shared" si="445"/>
        <v>23370</v>
      </c>
      <c r="AC417" s="129">
        <f t="shared" si="446"/>
        <v>519020</v>
      </c>
      <c r="AD417" s="619">
        <f t="shared" si="438"/>
        <v>2402180</v>
      </c>
    </row>
    <row r="418" spans="1:30" s="24" customFormat="1" ht="16.5" hidden="1" customHeight="1">
      <c r="A418" s="1150"/>
      <c r="B418" s="119"/>
      <c r="C418" s="120"/>
      <c r="D418" s="120"/>
      <c r="E418" s="124" t="s">
        <v>62</v>
      </c>
      <c r="F418" s="126">
        <f>F417</f>
        <v>2004000</v>
      </c>
      <c r="G418" s="126"/>
      <c r="H418" s="126"/>
      <c r="I418" s="126"/>
      <c r="J418" s="126"/>
      <c r="K418" s="126"/>
      <c r="L418" s="126"/>
      <c r="M418" s="126">
        <f>F418*60%</f>
        <v>1202400</v>
      </c>
      <c r="N418" s="126"/>
      <c r="O418" s="126">
        <f t="shared" si="449"/>
        <v>20000</v>
      </c>
      <c r="P418" s="126"/>
      <c r="Q418" s="126">
        <f t="shared" si="447"/>
        <v>16180</v>
      </c>
      <c r="R418" s="126">
        <f t="shared" si="452"/>
        <v>647200</v>
      </c>
      <c r="S418" s="126"/>
      <c r="T418" s="127">
        <f t="shared" si="450"/>
        <v>250000</v>
      </c>
      <c r="U418" s="122">
        <f t="shared" si="448"/>
        <v>4123600</v>
      </c>
      <c r="V418" s="333"/>
      <c r="W418" s="338">
        <f t="shared" si="451"/>
        <v>343640</v>
      </c>
      <c r="X418" s="128">
        <f t="shared" si="441"/>
        <v>185560</v>
      </c>
      <c r="Y418" s="128">
        <f t="shared" si="442"/>
        <v>125160</v>
      </c>
      <c r="Z418" s="128">
        <f t="shared" si="443"/>
        <v>8200</v>
      </c>
      <c r="AA418" s="128">
        <f t="shared" si="444"/>
        <v>37110</v>
      </c>
      <c r="AB418" s="128">
        <f t="shared" si="445"/>
        <v>32990</v>
      </c>
      <c r="AC418" s="129">
        <f t="shared" si="446"/>
        <v>732660</v>
      </c>
      <c r="AD418" s="619">
        <f t="shared" si="438"/>
        <v>3390940</v>
      </c>
    </row>
    <row r="419" spans="1:30" s="24" customFormat="1" ht="16.5" hidden="1" customHeight="1">
      <c r="A419" s="1150"/>
      <c r="B419" s="119"/>
      <c r="C419" s="120"/>
      <c r="D419" s="120"/>
      <c r="E419" s="124" t="s">
        <v>63</v>
      </c>
      <c r="F419" s="126">
        <f>F418</f>
        <v>2004000</v>
      </c>
      <c r="G419" s="126"/>
      <c r="H419" s="126"/>
      <c r="I419" s="126"/>
      <c r="J419" s="126"/>
      <c r="K419" s="126"/>
      <c r="L419" s="126"/>
      <c r="M419" s="126"/>
      <c r="N419" s="126"/>
      <c r="O419" s="126">
        <f t="shared" si="449"/>
        <v>20000</v>
      </c>
      <c r="P419" s="126"/>
      <c r="Q419" s="126">
        <f t="shared" si="447"/>
        <v>16180</v>
      </c>
      <c r="R419" s="126">
        <f t="shared" si="452"/>
        <v>647200</v>
      </c>
      <c r="S419" s="126"/>
      <c r="T419" s="127">
        <f t="shared" si="450"/>
        <v>250000</v>
      </c>
      <c r="U419" s="122">
        <f t="shared" si="448"/>
        <v>2921200</v>
      </c>
      <c r="V419" s="333"/>
      <c r="W419" s="338">
        <f t="shared" si="451"/>
        <v>243440</v>
      </c>
      <c r="X419" s="128">
        <f t="shared" si="441"/>
        <v>131450</v>
      </c>
      <c r="Y419" s="128">
        <f t="shared" si="442"/>
        <v>88660</v>
      </c>
      <c r="Z419" s="128">
        <f t="shared" si="443"/>
        <v>5810</v>
      </c>
      <c r="AA419" s="128">
        <f t="shared" si="444"/>
        <v>26290</v>
      </c>
      <c r="AB419" s="128">
        <f t="shared" si="445"/>
        <v>23370</v>
      </c>
      <c r="AC419" s="129">
        <f t="shared" si="446"/>
        <v>519020</v>
      </c>
      <c r="AD419" s="619">
        <f t="shared" si="438"/>
        <v>2402180</v>
      </c>
    </row>
    <row r="420" spans="1:30" s="24" customFormat="1" ht="16.5" hidden="1" customHeight="1">
      <c r="A420" s="1150"/>
      <c r="B420" s="119"/>
      <c r="C420" s="120"/>
      <c r="D420" s="120"/>
      <c r="E420" s="124" t="s">
        <v>64</v>
      </c>
      <c r="F420" s="126">
        <f>F419</f>
        <v>2004000</v>
      </c>
      <c r="G420" s="126"/>
      <c r="H420" s="126"/>
      <c r="I420" s="126"/>
      <c r="J420" s="126"/>
      <c r="K420" s="126"/>
      <c r="L420" s="126"/>
      <c r="M420" s="126"/>
      <c r="N420" s="126"/>
      <c r="O420" s="126">
        <f t="shared" si="449"/>
        <v>20000</v>
      </c>
      <c r="P420" s="126"/>
      <c r="Q420" s="126">
        <f t="shared" si="447"/>
        <v>16180</v>
      </c>
      <c r="R420" s="126">
        <f t="shared" si="452"/>
        <v>647200</v>
      </c>
      <c r="S420" s="126"/>
      <c r="T420" s="127">
        <f t="shared" si="450"/>
        <v>250000</v>
      </c>
      <c r="U420" s="122">
        <f t="shared" si="448"/>
        <v>2921200</v>
      </c>
      <c r="V420" s="333"/>
      <c r="W420" s="338">
        <f t="shared" si="451"/>
        <v>243440</v>
      </c>
      <c r="X420" s="128">
        <f t="shared" si="441"/>
        <v>131450</v>
      </c>
      <c r="Y420" s="128">
        <f t="shared" si="442"/>
        <v>88660</v>
      </c>
      <c r="Z420" s="128">
        <f t="shared" si="443"/>
        <v>5810</v>
      </c>
      <c r="AA420" s="128">
        <f t="shared" si="444"/>
        <v>26290</v>
      </c>
      <c r="AB420" s="128">
        <f t="shared" si="445"/>
        <v>23370</v>
      </c>
      <c r="AC420" s="129">
        <f t="shared" si="446"/>
        <v>519020</v>
      </c>
      <c r="AD420" s="619">
        <f t="shared" si="438"/>
        <v>2402180</v>
      </c>
    </row>
    <row r="421" spans="1:30" s="24" customFormat="1" ht="16.5" hidden="1" customHeight="1">
      <c r="A421" s="1150"/>
      <c r="B421" s="119"/>
      <c r="C421" s="120"/>
      <c r="D421" s="120"/>
      <c r="E421" s="124" t="s">
        <v>463</v>
      </c>
      <c r="F421" s="126">
        <f>F420</f>
        <v>2004000</v>
      </c>
      <c r="G421" s="126"/>
      <c r="H421" s="126"/>
      <c r="I421" s="126"/>
      <c r="J421" s="126"/>
      <c r="K421" s="126"/>
      <c r="L421" s="126"/>
      <c r="M421" s="126"/>
      <c r="N421" s="126"/>
      <c r="O421" s="126">
        <f t="shared" si="449"/>
        <v>20000</v>
      </c>
      <c r="P421" s="126"/>
      <c r="Q421" s="126">
        <f t="shared" si="447"/>
        <v>16180</v>
      </c>
      <c r="R421" s="126">
        <f>Q421*40*2</f>
        <v>1294400</v>
      </c>
      <c r="S421" s="126"/>
      <c r="T421" s="127">
        <f t="shared" si="450"/>
        <v>250000</v>
      </c>
      <c r="U421" s="122">
        <f t="shared" si="448"/>
        <v>3568400</v>
      </c>
      <c r="V421" s="333"/>
      <c r="W421" s="338">
        <f t="shared" si="451"/>
        <v>297370</v>
      </c>
      <c r="X421" s="128">
        <f t="shared" si="441"/>
        <v>160580</v>
      </c>
      <c r="Y421" s="128">
        <f t="shared" si="442"/>
        <v>108310</v>
      </c>
      <c r="Z421" s="128">
        <f t="shared" si="443"/>
        <v>7100</v>
      </c>
      <c r="AA421" s="128">
        <f t="shared" si="444"/>
        <v>32120</v>
      </c>
      <c r="AB421" s="128">
        <f t="shared" si="445"/>
        <v>28550</v>
      </c>
      <c r="AC421" s="129">
        <f t="shared" si="446"/>
        <v>634030</v>
      </c>
      <c r="AD421" s="619">
        <f t="shared" si="438"/>
        <v>2934370</v>
      </c>
    </row>
    <row r="422" spans="1:30" s="24" customFormat="1" ht="17.25" hidden="1" customHeight="1">
      <c r="A422" s="1150">
        <v>33</v>
      </c>
      <c r="B422" s="119" t="s">
        <v>95</v>
      </c>
      <c r="C422" s="120" t="s">
        <v>663</v>
      </c>
      <c r="D422" s="120">
        <v>1</v>
      </c>
      <c r="E422" s="121" t="s">
        <v>94</v>
      </c>
      <c r="F422" s="122">
        <f t="shared" ref="F422:L422" si="453">SUM(F423:F434)</f>
        <v>22500000</v>
      </c>
      <c r="G422" s="122">
        <f t="shared" si="453"/>
        <v>0</v>
      </c>
      <c r="H422" s="122">
        <f t="shared" si="453"/>
        <v>0</v>
      </c>
      <c r="I422" s="122">
        <f t="shared" si="453"/>
        <v>0</v>
      </c>
      <c r="J422" s="122">
        <f t="shared" si="453"/>
        <v>0</v>
      </c>
      <c r="K422" s="122">
        <f t="shared" si="453"/>
        <v>0</v>
      </c>
      <c r="L422" s="122">
        <f t="shared" si="453"/>
        <v>0</v>
      </c>
      <c r="M422" s="122">
        <f>SUM(M423:M434)</f>
        <v>2206800</v>
      </c>
      <c r="N422" s="122">
        <f>SUM(N423:N434)</f>
        <v>0</v>
      </c>
      <c r="O422" s="122">
        <f>SUM(O423:O434)</f>
        <v>720000</v>
      </c>
      <c r="P422" s="122"/>
      <c r="Q422" s="122"/>
      <c r="R422" s="122">
        <f>SUM(R423:R434)</f>
        <v>7292000</v>
      </c>
      <c r="S422" s="122">
        <f>SUM(S423:S434)</f>
        <v>0</v>
      </c>
      <c r="T422" s="122">
        <f>SUM(T423:T434)</f>
        <v>2900000</v>
      </c>
      <c r="U422" s="122">
        <f>SUM(U423:U434)</f>
        <v>35618800</v>
      </c>
      <c r="V422" s="333"/>
      <c r="W422" s="350">
        <f t="shared" ref="W422:AB422" si="454">SUM(W423:W434)</f>
        <v>2984920</v>
      </c>
      <c r="X422" s="122">
        <f t="shared" si="454"/>
        <v>1602860</v>
      </c>
      <c r="Y422" s="122">
        <f t="shared" si="454"/>
        <v>1081120</v>
      </c>
      <c r="Z422" s="122">
        <f t="shared" si="454"/>
        <v>70890</v>
      </c>
      <c r="AA422" s="122">
        <f t="shared" si="454"/>
        <v>320550</v>
      </c>
      <c r="AB422" s="122">
        <f t="shared" si="454"/>
        <v>284980</v>
      </c>
      <c r="AC422" s="123">
        <f>SUM(AC423:AC434)</f>
        <v>6345320</v>
      </c>
      <c r="AD422" s="618">
        <f t="shared" si="438"/>
        <v>29273480</v>
      </c>
    </row>
    <row r="423" spans="1:30" s="24" customFormat="1" ht="17.25" hidden="1" customHeight="1">
      <c r="A423" s="1150"/>
      <c r="B423" s="119" t="s">
        <v>560</v>
      </c>
      <c r="C423" s="120">
        <v>5</v>
      </c>
      <c r="D423" s="120"/>
      <c r="E423" s="124" t="s">
        <v>457</v>
      </c>
      <c r="F423" s="125">
        <v>1785000</v>
      </c>
      <c r="G423" s="126"/>
      <c r="H423" s="125"/>
      <c r="I423" s="125"/>
      <c r="J423" s="126"/>
      <c r="K423" s="126"/>
      <c r="L423" s="126"/>
      <c r="M423" s="126"/>
      <c r="N423" s="126"/>
      <c r="O423" s="126">
        <v>60000</v>
      </c>
      <c r="P423" s="126"/>
      <c r="Q423" s="126"/>
      <c r="R423" s="126"/>
      <c r="S423" s="126"/>
      <c r="T423" s="127">
        <v>200000</v>
      </c>
      <c r="U423" s="122">
        <f>SUM(F423,M423,O423,R423,T423)</f>
        <v>2045000</v>
      </c>
      <c r="V423" s="333"/>
      <c r="W423" s="338">
        <f>ROUNDUP(U423*1/12,-1)</f>
        <v>170420</v>
      </c>
      <c r="X423" s="128">
        <f t="shared" ref="X423:X434" si="455">ROUND(U423*4.5%,-1)</f>
        <v>92030</v>
      </c>
      <c r="Y423" s="128">
        <f t="shared" ref="Y423:Y434" si="456">ROUNDUP((U423-L423)*3.035%,-1)</f>
        <v>62070</v>
      </c>
      <c r="Z423" s="128">
        <f>ROUNDUP(Y423*6.55%,-1)</f>
        <v>4070</v>
      </c>
      <c r="AA423" s="128">
        <f t="shared" ref="AA423:AA434" si="457">ROUND(U423*0.9%,-1)</f>
        <v>18410</v>
      </c>
      <c r="AB423" s="128">
        <f t="shared" ref="AB423:AB434" si="458">ROUND(U423*0.8%,-1)</f>
        <v>16360</v>
      </c>
      <c r="AC423" s="129">
        <f t="shared" ref="AC423:AC434" si="459">SUM(W423:AB423)</f>
        <v>363360</v>
      </c>
      <c r="AD423" s="619">
        <f t="shared" si="438"/>
        <v>1681640</v>
      </c>
    </row>
    <row r="424" spans="1:30" s="24" customFormat="1" ht="17.25" hidden="1" customHeight="1">
      <c r="A424" s="1150"/>
      <c r="B424" s="119"/>
      <c r="C424" s="120"/>
      <c r="D424" s="120"/>
      <c r="E424" s="124" t="s">
        <v>458</v>
      </c>
      <c r="F424" s="126">
        <f>F423</f>
        <v>1785000</v>
      </c>
      <c r="G424" s="126"/>
      <c r="H424" s="126"/>
      <c r="I424" s="126"/>
      <c r="J424" s="126"/>
      <c r="K424" s="126"/>
      <c r="L424" s="126"/>
      <c r="M424" s="126">
        <f>F424*60%</f>
        <v>1071000</v>
      </c>
      <c r="N424" s="126"/>
      <c r="O424" s="126">
        <f>O423</f>
        <v>60000</v>
      </c>
      <c r="P424" s="126"/>
      <c r="Q424" s="126">
        <f t="shared" ref="Q424:Q434" si="460">ROUND((F423+T423)*1/209*1.5,-1)</f>
        <v>14250</v>
      </c>
      <c r="R424" s="126">
        <f t="shared" ref="R424:R433" si="461">Q424*40</f>
        <v>570000</v>
      </c>
      <c r="S424" s="126"/>
      <c r="T424" s="127">
        <v>200000</v>
      </c>
      <c r="U424" s="122">
        <f t="shared" ref="U424:U434" si="462">SUM(F424,M424,O424,R424,T424)</f>
        <v>3686000</v>
      </c>
      <c r="V424" s="333"/>
      <c r="W424" s="338">
        <f>ROUNDUP((T424+U424)*1/12,-1)</f>
        <v>323840</v>
      </c>
      <c r="X424" s="128">
        <f t="shared" si="455"/>
        <v>165870</v>
      </c>
      <c r="Y424" s="128">
        <f t="shared" si="456"/>
        <v>111880</v>
      </c>
      <c r="Z424" s="128">
        <f t="shared" ref="Z424:Z434" si="463">ROUNDUP(Y424*6.55%,-1)</f>
        <v>7330</v>
      </c>
      <c r="AA424" s="128">
        <f t="shared" si="457"/>
        <v>33170</v>
      </c>
      <c r="AB424" s="128">
        <f t="shared" si="458"/>
        <v>29490</v>
      </c>
      <c r="AC424" s="129">
        <f t="shared" si="459"/>
        <v>671580</v>
      </c>
      <c r="AD424" s="619">
        <f t="shared" si="438"/>
        <v>3014420</v>
      </c>
    </row>
    <row r="425" spans="1:30" s="24" customFormat="1" ht="17.25" hidden="1" customHeight="1">
      <c r="A425" s="1150"/>
      <c r="B425" s="119"/>
      <c r="C425" s="120">
        <v>6</v>
      </c>
      <c r="D425" s="120"/>
      <c r="E425" s="124" t="s">
        <v>459</v>
      </c>
      <c r="F425" s="591">
        <v>1893000</v>
      </c>
      <c r="G425" s="126"/>
      <c r="H425" s="126"/>
      <c r="I425" s="126"/>
      <c r="J425" s="126"/>
      <c r="K425" s="126"/>
      <c r="L425" s="126"/>
      <c r="M425" s="126"/>
      <c r="N425" s="126"/>
      <c r="O425" s="126">
        <f t="shared" ref="O425:O434" si="464">O424</f>
        <v>60000</v>
      </c>
      <c r="P425" s="126"/>
      <c r="Q425" s="126">
        <f t="shared" si="460"/>
        <v>14250</v>
      </c>
      <c r="R425" s="126">
        <f t="shared" si="461"/>
        <v>570000</v>
      </c>
      <c r="S425" s="126"/>
      <c r="T425" s="127">
        <v>250000</v>
      </c>
      <c r="U425" s="122">
        <f t="shared" si="462"/>
        <v>2773000</v>
      </c>
      <c r="V425" s="333"/>
      <c r="W425" s="338">
        <f t="shared" ref="W425:W434" si="465">ROUNDUP(U425*1/12,-1)</f>
        <v>231090</v>
      </c>
      <c r="X425" s="128">
        <f t="shared" si="455"/>
        <v>124790</v>
      </c>
      <c r="Y425" s="128">
        <f t="shared" si="456"/>
        <v>84170</v>
      </c>
      <c r="Z425" s="128">
        <f t="shared" si="463"/>
        <v>5520</v>
      </c>
      <c r="AA425" s="128">
        <f t="shared" si="457"/>
        <v>24960</v>
      </c>
      <c r="AB425" s="128">
        <f t="shared" si="458"/>
        <v>22180</v>
      </c>
      <c r="AC425" s="129">
        <f t="shared" si="459"/>
        <v>492710</v>
      </c>
      <c r="AD425" s="619">
        <f t="shared" si="438"/>
        <v>2280290</v>
      </c>
    </row>
    <row r="426" spans="1:30" s="24" customFormat="1" ht="17.25" hidden="1" customHeight="1">
      <c r="A426" s="1150"/>
      <c r="B426" s="119"/>
      <c r="C426" s="120"/>
      <c r="D426" s="120"/>
      <c r="E426" s="124" t="s">
        <v>460</v>
      </c>
      <c r="F426" s="126">
        <f t="shared" ref="F426:F434" si="466">F425</f>
        <v>1893000</v>
      </c>
      <c r="G426" s="126"/>
      <c r="H426" s="126"/>
      <c r="I426" s="126"/>
      <c r="J426" s="126"/>
      <c r="K426" s="126"/>
      <c r="L426" s="126"/>
      <c r="M426" s="126"/>
      <c r="N426" s="126"/>
      <c r="O426" s="126">
        <f t="shared" si="464"/>
        <v>60000</v>
      </c>
      <c r="P426" s="126"/>
      <c r="Q426" s="126">
        <f t="shared" si="460"/>
        <v>15380</v>
      </c>
      <c r="R426" s="126">
        <f t="shared" si="461"/>
        <v>615200</v>
      </c>
      <c r="S426" s="126"/>
      <c r="T426" s="127">
        <f>T425</f>
        <v>250000</v>
      </c>
      <c r="U426" s="122">
        <f t="shared" si="462"/>
        <v>2818200</v>
      </c>
      <c r="V426" s="333"/>
      <c r="W426" s="338">
        <f t="shared" si="465"/>
        <v>234850</v>
      </c>
      <c r="X426" s="128">
        <f t="shared" si="455"/>
        <v>126820</v>
      </c>
      <c r="Y426" s="128">
        <f t="shared" si="456"/>
        <v>85540</v>
      </c>
      <c r="Z426" s="128">
        <f t="shared" si="463"/>
        <v>5610</v>
      </c>
      <c r="AA426" s="128">
        <f t="shared" si="457"/>
        <v>25360</v>
      </c>
      <c r="AB426" s="128">
        <f t="shared" si="458"/>
        <v>22550</v>
      </c>
      <c r="AC426" s="129">
        <f t="shared" si="459"/>
        <v>500730</v>
      </c>
      <c r="AD426" s="619">
        <f t="shared" si="438"/>
        <v>2317470</v>
      </c>
    </row>
    <row r="427" spans="1:30" s="24" customFormat="1" ht="17.25" hidden="1" customHeight="1">
      <c r="A427" s="1150"/>
      <c r="B427" s="119"/>
      <c r="C427" s="120"/>
      <c r="D427" s="120"/>
      <c r="E427" s="124" t="s">
        <v>461</v>
      </c>
      <c r="F427" s="126">
        <f t="shared" si="466"/>
        <v>1893000</v>
      </c>
      <c r="G427" s="126"/>
      <c r="H427" s="126"/>
      <c r="I427" s="126"/>
      <c r="J427" s="126"/>
      <c r="K427" s="126"/>
      <c r="L427" s="126"/>
      <c r="M427" s="126"/>
      <c r="N427" s="126"/>
      <c r="O427" s="126">
        <f t="shared" si="464"/>
        <v>60000</v>
      </c>
      <c r="P427" s="126"/>
      <c r="Q427" s="126">
        <f t="shared" si="460"/>
        <v>15380</v>
      </c>
      <c r="R427" s="126">
        <f t="shared" si="461"/>
        <v>615200</v>
      </c>
      <c r="S427" s="126"/>
      <c r="T427" s="127">
        <f t="shared" ref="T427:T434" si="467">T426</f>
        <v>250000</v>
      </c>
      <c r="U427" s="122">
        <f t="shared" si="462"/>
        <v>2818200</v>
      </c>
      <c r="V427" s="333"/>
      <c r="W427" s="338">
        <f t="shared" si="465"/>
        <v>234850</v>
      </c>
      <c r="X427" s="128">
        <f t="shared" si="455"/>
        <v>126820</v>
      </c>
      <c r="Y427" s="128">
        <f t="shared" si="456"/>
        <v>85540</v>
      </c>
      <c r="Z427" s="128">
        <f t="shared" si="463"/>
        <v>5610</v>
      </c>
      <c r="AA427" s="128">
        <f t="shared" si="457"/>
        <v>25360</v>
      </c>
      <c r="AB427" s="128">
        <f t="shared" si="458"/>
        <v>22550</v>
      </c>
      <c r="AC427" s="129">
        <f t="shared" si="459"/>
        <v>500730</v>
      </c>
      <c r="AD427" s="619">
        <f t="shared" si="438"/>
        <v>2317470</v>
      </c>
    </row>
    <row r="428" spans="1:30" s="24" customFormat="1" ht="17.25" hidden="1" customHeight="1">
      <c r="A428" s="1150"/>
      <c r="B428" s="119"/>
      <c r="C428" s="120"/>
      <c r="D428" s="120"/>
      <c r="E428" s="124" t="s">
        <v>462</v>
      </c>
      <c r="F428" s="126">
        <f t="shared" si="466"/>
        <v>1893000</v>
      </c>
      <c r="G428" s="126"/>
      <c r="H428" s="126"/>
      <c r="I428" s="126"/>
      <c r="J428" s="126"/>
      <c r="K428" s="126"/>
      <c r="L428" s="126"/>
      <c r="M428" s="126"/>
      <c r="N428" s="126"/>
      <c r="O428" s="126">
        <f t="shared" si="464"/>
        <v>60000</v>
      </c>
      <c r="P428" s="126"/>
      <c r="Q428" s="126">
        <f t="shared" si="460"/>
        <v>15380</v>
      </c>
      <c r="R428" s="126">
        <f t="shared" si="461"/>
        <v>615200</v>
      </c>
      <c r="S428" s="126"/>
      <c r="T428" s="127">
        <f t="shared" si="467"/>
        <v>250000</v>
      </c>
      <c r="U428" s="122">
        <f t="shared" si="462"/>
        <v>2818200</v>
      </c>
      <c r="V428" s="333"/>
      <c r="W428" s="338">
        <f t="shared" si="465"/>
        <v>234850</v>
      </c>
      <c r="X428" s="128">
        <f t="shared" si="455"/>
        <v>126820</v>
      </c>
      <c r="Y428" s="128">
        <f t="shared" si="456"/>
        <v>85540</v>
      </c>
      <c r="Z428" s="128">
        <f t="shared" si="463"/>
        <v>5610</v>
      </c>
      <c r="AA428" s="128">
        <f t="shared" si="457"/>
        <v>25360</v>
      </c>
      <c r="AB428" s="128">
        <f t="shared" si="458"/>
        <v>22550</v>
      </c>
      <c r="AC428" s="129">
        <f t="shared" si="459"/>
        <v>500730</v>
      </c>
      <c r="AD428" s="619">
        <f t="shared" si="438"/>
        <v>2317470</v>
      </c>
    </row>
    <row r="429" spans="1:30" s="24" customFormat="1" ht="17.25" hidden="1" customHeight="1">
      <c r="A429" s="1150"/>
      <c r="B429" s="119"/>
      <c r="C429" s="120"/>
      <c r="D429" s="120"/>
      <c r="E429" s="124" t="s">
        <v>330</v>
      </c>
      <c r="F429" s="126">
        <f t="shared" si="466"/>
        <v>1893000</v>
      </c>
      <c r="G429" s="126"/>
      <c r="H429" s="125"/>
      <c r="I429" s="127"/>
      <c r="J429" s="126"/>
      <c r="K429" s="126"/>
      <c r="L429" s="126"/>
      <c r="M429" s="126"/>
      <c r="N429" s="126"/>
      <c r="O429" s="126">
        <f t="shared" si="464"/>
        <v>60000</v>
      </c>
      <c r="P429" s="126"/>
      <c r="Q429" s="126">
        <f t="shared" si="460"/>
        <v>15380</v>
      </c>
      <c r="R429" s="126">
        <f t="shared" si="461"/>
        <v>615200</v>
      </c>
      <c r="S429" s="126"/>
      <c r="T429" s="127">
        <f t="shared" si="467"/>
        <v>250000</v>
      </c>
      <c r="U429" s="122">
        <f t="shared" si="462"/>
        <v>2818200</v>
      </c>
      <c r="V429" s="333"/>
      <c r="W429" s="338">
        <f t="shared" si="465"/>
        <v>234850</v>
      </c>
      <c r="X429" s="128">
        <f t="shared" si="455"/>
        <v>126820</v>
      </c>
      <c r="Y429" s="128">
        <f t="shared" si="456"/>
        <v>85540</v>
      </c>
      <c r="Z429" s="128">
        <f t="shared" si="463"/>
        <v>5610</v>
      </c>
      <c r="AA429" s="128">
        <f t="shared" si="457"/>
        <v>25360</v>
      </c>
      <c r="AB429" s="128">
        <f t="shared" si="458"/>
        <v>22550</v>
      </c>
      <c r="AC429" s="129">
        <f t="shared" si="459"/>
        <v>500730</v>
      </c>
      <c r="AD429" s="619">
        <f t="shared" si="438"/>
        <v>2317470</v>
      </c>
    </row>
    <row r="430" spans="1:30" s="24" customFormat="1" ht="17.25" hidden="1" customHeight="1">
      <c r="A430" s="1150"/>
      <c r="B430" s="119"/>
      <c r="C430" s="120"/>
      <c r="D430" s="120"/>
      <c r="E430" s="124" t="s">
        <v>331</v>
      </c>
      <c r="F430" s="126">
        <f t="shared" si="466"/>
        <v>1893000</v>
      </c>
      <c r="G430" s="126"/>
      <c r="H430" s="126"/>
      <c r="I430" s="126"/>
      <c r="J430" s="126"/>
      <c r="K430" s="126"/>
      <c r="L430" s="126"/>
      <c r="M430" s="126"/>
      <c r="N430" s="126"/>
      <c r="O430" s="126">
        <f t="shared" si="464"/>
        <v>60000</v>
      </c>
      <c r="P430" s="126"/>
      <c r="Q430" s="126">
        <f t="shared" si="460"/>
        <v>15380</v>
      </c>
      <c r="R430" s="126">
        <f t="shared" si="461"/>
        <v>615200</v>
      </c>
      <c r="S430" s="126"/>
      <c r="T430" s="127">
        <f t="shared" si="467"/>
        <v>250000</v>
      </c>
      <c r="U430" s="122">
        <f t="shared" si="462"/>
        <v>2818200</v>
      </c>
      <c r="V430" s="333"/>
      <c r="W430" s="338">
        <f t="shared" si="465"/>
        <v>234850</v>
      </c>
      <c r="X430" s="128">
        <f t="shared" si="455"/>
        <v>126820</v>
      </c>
      <c r="Y430" s="128">
        <f t="shared" si="456"/>
        <v>85540</v>
      </c>
      <c r="Z430" s="128">
        <f t="shared" si="463"/>
        <v>5610</v>
      </c>
      <c r="AA430" s="128">
        <f t="shared" si="457"/>
        <v>25360</v>
      </c>
      <c r="AB430" s="128">
        <f t="shared" si="458"/>
        <v>22550</v>
      </c>
      <c r="AC430" s="129">
        <f t="shared" si="459"/>
        <v>500730</v>
      </c>
      <c r="AD430" s="619">
        <f t="shared" si="438"/>
        <v>2317470</v>
      </c>
    </row>
    <row r="431" spans="1:30" s="24" customFormat="1" ht="17.25" hidden="1" customHeight="1">
      <c r="A431" s="1150"/>
      <c r="B431" s="119"/>
      <c r="C431" s="120"/>
      <c r="D431" s="120"/>
      <c r="E431" s="124" t="s">
        <v>62</v>
      </c>
      <c r="F431" s="126">
        <f t="shared" si="466"/>
        <v>1893000</v>
      </c>
      <c r="G431" s="126"/>
      <c r="H431" s="126"/>
      <c r="I431" s="126"/>
      <c r="J431" s="126"/>
      <c r="K431" s="126"/>
      <c r="L431" s="126"/>
      <c r="M431" s="126">
        <f>F431*60%</f>
        <v>1135800</v>
      </c>
      <c r="N431" s="126"/>
      <c r="O431" s="126">
        <f t="shared" si="464"/>
        <v>60000</v>
      </c>
      <c r="P431" s="126"/>
      <c r="Q431" s="126">
        <f t="shared" si="460"/>
        <v>15380</v>
      </c>
      <c r="R431" s="126">
        <f t="shared" si="461"/>
        <v>615200</v>
      </c>
      <c r="S431" s="126"/>
      <c r="T431" s="127">
        <f t="shared" si="467"/>
        <v>250000</v>
      </c>
      <c r="U431" s="122">
        <f t="shared" si="462"/>
        <v>3954000</v>
      </c>
      <c r="V431" s="333"/>
      <c r="W431" s="338">
        <f t="shared" si="465"/>
        <v>329500</v>
      </c>
      <c r="X431" s="128">
        <f t="shared" si="455"/>
        <v>177930</v>
      </c>
      <c r="Y431" s="128">
        <f t="shared" si="456"/>
        <v>120010</v>
      </c>
      <c r="Z431" s="128">
        <f t="shared" si="463"/>
        <v>7870</v>
      </c>
      <c r="AA431" s="128">
        <f t="shared" si="457"/>
        <v>35590</v>
      </c>
      <c r="AB431" s="128">
        <f t="shared" si="458"/>
        <v>31630</v>
      </c>
      <c r="AC431" s="129">
        <f t="shared" si="459"/>
        <v>702530</v>
      </c>
      <c r="AD431" s="619">
        <f t="shared" si="438"/>
        <v>3251470</v>
      </c>
    </row>
    <row r="432" spans="1:30" s="24" customFormat="1" ht="17.25" hidden="1" customHeight="1">
      <c r="A432" s="1150"/>
      <c r="B432" s="119"/>
      <c r="C432" s="120"/>
      <c r="D432" s="120"/>
      <c r="E432" s="124" t="s">
        <v>63</v>
      </c>
      <c r="F432" s="126">
        <f t="shared" si="466"/>
        <v>1893000</v>
      </c>
      <c r="G432" s="126"/>
      <c r="H432" s="126"/>
      <c r="I432" s="126"/>
      <c r="J432" s="126"/>
      <c r="K432" s="126"/>
      <c r="L432" s="126"/>
      <c r="M432" s="126"/>
      <c r="N432" s="126"/>
      <c r="O432" s="126">
        <f t="shared" si="464"/>
        <v>60000</v>
      </c>
      <c r="P432" s="126"/>
      <c r="Q432" s="126">
        <f t="shared" si="460"/>
        <v>15380</v>
      </c>
      <c r="R432" s="126">
        <f t="shared" si="461"/>
        <v>615200</v>
      </c>
      <c r="S432" s="126"/>
      <c r="T432" s="127">
        <f t="shared" si="467"/>
        <v>250000</v>
      </c>
      <c r="U432" s="122">
        <f t="shared" si="462"/>
        <v>2818200</v>
      </c>
      <c r="V432" s="333"/>
      <c r="W432" s="338">
        <f t="shared" si="465"/>
        <v>234850</v>
      </c>
      <c r="X432" s="128">
        <f t="shared" si="455"/>
        <v>126820</v>
      </c>
      <c r="Y432" s="128">
        <f t="shared" si="456"/>
        <v>85540</v>
      </c>
      <c r="Z432" s="128">
        <f t="shared" si="463"/>
        <v>5610</v>
      </c>
      <c r="AA432" s="128">
        <f t="shared" si="457"/>
        <v>25360</v>
      </c>
      <c r="AB432" s="128">
        <f t="shared" si="458"/>
        <v>22550</v>
      </c>
      <c r="AC432" s="129">
        <f t="shared" si="459"/>
        <v>500730</v>
      </c>
      <c r="AD432" s="619">
        <f t="shared" si="438"/>
        <v>2317470</v>
      </c>
    </row>
    <row r="433" spans="1:30" s="24" customFormat="1" ht="17.25" hidden="1" customHeight="1">
      <c r="A433" s="1150"/>
      <c r="B433" s="119"/>
      <c r="C433" s="120"/>
      <c r="D433" s="120"/>
      <c r="E433" s="124" t="s">
        <v>64</v>
      </c>
      <c r="F433" s="126">
        <f t="shared" si="466"/>
        <v>1893000</v>
      </c>
      <c r="G433" s="126"/>
      <c r="H433" s="126"/>
      <c r="I433" s="126"/>
      <c r="J433" s="126"/>
      <c r="K433" s="126"/>
      <c r="L433" s="126"/>
      <c r="M433" s="126"/>
      <c r="N433" s="126"/>
      <c r="O433" s="126">
        <f t="shared" si="464"/>
        <v>60000</v>
      </c>
      <c r="P433" s="126"/>
      <c r="Q433" s="126">
        <f t="shared" si="460"/>
        <v>15380</v>
      </c>
      <c r="R433" s="126">
        <f t="shared" si="461"/>
        <v>615200</v>
      </c>
      <c r="S433" s="126"/>
      <c r="T433" s="127">
        <f t="shared" si="467"/>
        <v>250000</v>
      </c>
      <c r="U433" s="122">
        <f t="shared" si="462"/>
        <v>2818200</v>
      </c>
      <c r="V433" s="333"/>
      <c r="W433" s="338">
        <f t="shared" si="465"/>
        <v>234850</v>
      </c>
      <c r="X433" s="128">
        <f t="shared" si="455"/>
        <v>126820</v>
      </c>
      <c r="Y433" s="128">
        <f t="shared" si="456"/>
        <v>85540</v>
      </c>
      <c r="Z433" s="128">
        <f t="shared" si="463"/>
        <v>5610</v>
      </c>
      <c r="AA433" s="128">
        <f t="shared" si="457"/>
        <v>25360</v>
      </c>
      <c r="AB433" s="128">
        <f t="shared" si="458"/>
        <v>22550</v>
      </c>
      <c r="AC433" s="129">
        <f t="shared" si="459"/>
        <v>500730</v>
      </c>
      <c r="AD433" s="619">
        <f t="shared" si="438"/>
        <v>2317470</v>
      </c>
    </row>
    <row r="434" spans="1:30" s="24" customFormat="1" ht="17.25" hidden="1" customHeight="1">
      <c r="A434" s="1150"/>
      <c r="B434" s="119"/>
      <c r="C434" s="120"/>
      <c r="D434" s="120"/>
      <c r="E434" s="124" t="s">
        <v>463</v>
      </c>
      <c r="F434" s="126">
        <f t="shared" si="466"/>
        <v>1893000</v>
      </c>
      <c r="G434" s="126"/>
      <c r="H434" s="126"/>
      <c r="I434" s="126"/>
      <c r="J434" s="126"/>
      <c r="K434" s="126"/>
      <c r="L434" s="126"/>
      <c r="M434" s="126"/>
      <c r="N434" s="126"/>
      <c r="O434" s="126">
        <f t="shared" si="464"/>
        <v>60000</v>
      </c>
      <c r="P434" s="126"/>
      <c r="Q434" s="126">
        <f t="shared" si="460"/>
        <v>15380</v>
      </c>
      <c r="R434" s="126">
        <f>Q434*40*2</f>
        <v>1230400</v>
      </c>
      <c r="S434" s="126"/>
      <c r="T434" s="127">
        <f t="shared" si="467"/>
        <v>250000</v>
      </c>
      <c r="U434" s="122">
        <f t="shared" si="462"/>
        <v>3433400</v>
      </c>
      <c r="V434" s="333"/>
      <c r="W434" s="338">
        <f t="shared" si="465"/>
        <v>286120</v>
      </c>
      <c r="X434" s="128">
        <f t="shared" si="455"/>
        <v>154500</v>
      </c>
      <c r="Y434" s="128">
        <f t="shared" si="456"/>
        <v>104210</v>
      </c>
      <c r="Z434" s="128">
        <f t="shared" si="463"/>
        <v>6830</v>
      </c>
      <c r="AA434" s="128">
        <f t="shared" si="457"/>
        <v>30900</v>
      </c>
      <c r="AB434" s="128">
        <f t="shared" si="458"/>
        <v>27470</v>
      </c>
      <c r="AC434" s="129">
        <f t="shared" si="459"/>
        <v>610030</v>
      </c>
      <c r="AD434" s="619">
        <f t="shared" si="438"/>
        <v>2823370</v>
      </c>
    </row>
    <row r="435" spans="1:30" s="24" customFormat="1" ht="16.5" hidden="1" customHeight="1">
      <c r="A435" s="1150">
        <v>34</v>
      </c>
      <c r="B435" s="119" t="s">
        <v>95</v>
      </c>
      <c r="C435" s="120" t="s">
        <v>661</v>
      </c>
      <c r="D435" s="120">
        <v>1</v>
      </c>
      <c r="E435" s="121" t="s">
        <v>94</v>
      </c>
      <c r="F435" s="122">
        <f>SUM(F436:F447)</f>
        <v>23045000</v>
      </c>
      <c r="G435" s="122">
        <f t="shared" ref="G435:L435" si="468">SUM(G436:G447)</f>
        <v>0</v>
      </c>
      <c r="H435" s="122">
        <f t="shared" si="468"/>
        <v>0</v>
      </c>
      <c r="I435" s="122">
        <f t="shared" si="468"/>
        <v>0</v>
      </c>
      <c r="J435" s="122">
        <f t="shared" si="468"/>
        <v>0</v>
      </c>
      <c r="K435" s="122">
        <f t="shared" si="468"/>
        <v>0</v>
      </c>
      <c r="L435" s="122">
        <f t="shared" si="468"/>
        <v>0</v>
      </c>
      <c r="M435" s="122">
        <f>SUM(M436:M447)</f>
        <v>2299800</v>
      </c>
      <c r="N435" s="122">
        <f>SUM(N436:N447)</f>
        <v>0</v>
      </c>
      <c r="O435" s="122">
        <f>SUM(O436:O447)</f>
        <v>0</v>
      </c>
      <c r="P435" s="122"/>
      <c r="Q435" s="122"/>
      <c r="R435" s="122">
        <f>SUM(R436:R447)</f>
        <v>7477600</v>
      </c>
      <c r="S435" s="122">
        <f>SUM(S436:S447)</f>
        <v>0</v>
      </c>
      <c r="T435" s="122">
        <f>SUM(T436:T447)</f>
        <v>3000000</v>
      </c>
      <c r="U435" s="122">
        <f>SUM(U436:U447)</f>
        <v>35822400</v>
      </c>
      <c r="V435" s="333"/>
      <c r="W435" s="350">
        <f t="shared" ref="W435:AB435" si="469">SUM(W436:W447)</f>
        <v>3006050</v>
      </c>
      <c r="X435" s="122">
        <f t="shared" si="469"/>
        <v>1612030</v>
      </c>
      <c r="Y435" s="122">
        <f t="shared" si="469"/>
        <v>1087300</v>
      </c>
      <c r="Z435" s="122">
        <f t="shared" si="469"/>
        <v>71290</v>
      </c>
      <c r="AA435" s="122">
        <f t="shared" si="469"/>
        <v>322410</v>
      </c>
      <c r="AB435" s="122">
        <f t="shared" si="469"/>
        <v>286580</v>
      </c>
      <c r="AC435" s="123">
        <f>SUM(AC436:AC447)</f>
        <v>6385660</v>
      </c>
      <c r="AD435" s="618">
        <f t="shared" si="438"/>
        <v>29436740</v>
      </c>
    </row>
    <row r="436" spans="1:30" s="24" customFormat="1" ht="17.25" hidden="1" customHeight="1">
      <c r="A436" s="1150"/>
      <c r="B436" s="119" t="s">
        <v>561</v>
      </c>
      <c r="C436" s="120">
        <v>6</v>
      </c>
      <c r="D436" s="120"/>
      <c r="E436" s="124" t="s">
        <v>457</v>
      </c>
      <c r="F436" s="125">
        <v>1893000</v>
      </c>
      <c r="G436" s="126"/>
      <c r="H436" s="125"/>
      <c r="I436" s="125"/>
      <c r="J436" s="126"/>
      <c r="K436" s="126"/>
      <c r="L436" s="126"/>
      <c r="M436" s="126"/>
      <c r="N436" s="126"/>
      <c r="O436" s="126">
        <v>0</v>
      </c>
      <c r="P436" s="126"/>
      <c r="Q436" s="126"/>
      <c r="R436" s="126"/>
      <c r="S436" s="126"/>
      <c r="T436" s="127">
        <v>250000</v>
      </c>
      <c r="U436" s="122">
        <f>SUM(F436,M436,O436,R436,T436)</f>
        <v>2143000</v>
      </c>
      <c r="V436" s="333"/>
      <c r="W436" s="338">
        <f>ROUNDUP(U436*1/12,-1)</f>
        <v>178590</v>
      </c>
      <c r="X436" s="128">
        <f t="shared" ref="X436:X447" si="470">ROUND(U436*4.5%,-1)</f>
        <v>96440</v>
      </c>
      <c r="Y436" s="128">
        <f t="shared" ref="Y436:Y447" si="471">ROUNDUP((U436-L436)*3.035%,-1)</f>
        <v>65050</v>
      </c>
      <c r="Z436" s="128">
        <f>ROUNDUP(Y436*6.55%,-1)</f>
        <v>4270</v>
      </c>
      <c r="AA436" s="128">
        <f t="shared" ref="AA436:AA447" si="472">ROUND(U436*0.9%,-1)</f>
        <v>19290</v>
      </c>
      <c r="AB436" s="128">
        <f t="shared" ref="AB436:AB447" si="473">ROUND(U436*0.8%,-1)</f>
        <v>17140</v>
      </c>
      <c r="AC436" s="129">
        <f t="shared" ref="AC436:AC447" si="474">SUM(W436:AB436)</f>
        <v>380780</v>
      </c>
      <c r="AD436" s="619">
        <f t="shared" si="438"/>
        <v>1762220</v>
      </c>
    </row>
    <row r="437" spans="1:30" s="24" customFormat="1" ht="16.5" hidden="1" customHeight="1">
      <c r="A437" s="1150"/>
      <c r="B437" s="119"/>
      <c r="C437" s="120"/>
      <c r="D437" s="120"/>
      <c r="E437" s="124" t="s">
        <v>458</v>
      </c>
      <c r="F437" s="126">
        <f>F436</f>
        <v>1893000</v>
      </c>
      <c r="G437" s="126"/>
      <c r="H437" s="126"/>
      <c r="I437" s="126"/>
      <c r="J437" s="126"/>
      <c r="K437" s="126"/>
      <c r="L437" s="126"/>
      <c r="M437" s="126">
        <f>F437*60%</f>
        <v>1135800</v>
      </c>
      <c r="N437" s="126"/>
      <c r="O437" s="126"/>
      <c r="P437" s="126"/>
      <c r="Q437" s="126">
        <f t="shared" ref="Q437:Q447" si="475">ROUND((F436+T436)*1/209*1.5,-1)</f>
        <v>15380</v>
      </c>
      <c r="R437" s="126">
        <f>Q437*40</f>
        <v>615200</v>
      </c>
      <c r="S437" s="126"/>
      <c r="T437" s="127">
        <v>250000</v>
      </c>
      <c r="U437" s="122">
        <f t="shared" ref="U437:U447" si="476">SUM(F437,M437,O437,R437,T437)</f>
        <v>3894000</v>
      </c>
      <c r="V437" s="333"/>
      <c r="W437" s="338">
        <f>ROUNDUP((T437+U437)*1/12,-1)</f>
        <v>345340</v>
      </c>
      <c r="X437" s="128">
        <f t="shared" si="470"/>
        <v>175230</v>
      </c>
      <c r="Y437" s="128">
        <f t="shared" si="471"/>
        <v>118190</v>
      </c>
      <c r="Z437" s="128">
        <f t="shared" ref="Z437:Z447" si="477">ROUNDUP(Y437*6.55%,-1)</f>
        <v>7750</v>
      </c>
      <c r="AA437" s="128">
        <f t="shared" si="472"/>
        <v>35050</v>
      </c>
      <c r="AB437" s="128">
        <f t="shared" si="473"/>
        <v>31150</v>
      </c>
      <c r="AC437" s="129">
        <f t="shared" si="474"/>
        <v>712710</v>
      </c>
      <c r="AD437" s="619">
        <f t="shared" si="438"/>
        <v>3181290</v>
      </c>
    </row>
    <row r="438" spans="1:30" s="24" customFormat="1" ht="16.5" hidden="1" customHeight="1">
      <c r="A438" s="1150"/>
      <c r="B438" s="119"/>
      <c r="C438" s="120"/>
      <c r="D438" s="120"/>
      <c r="E438" s="124" t="s">
        <v>459</v>
      </c>
      <c r="F438" s="126">
        <f>F437</f>
        <v>1893000</v>
      </c>
      <c r="G438" s="126"/>
      <c r="H438" s="126"/>
      <c r="I438" s="126"/>
      <c r="J438" s="126"/>
      <c r="K438" s="126"/>
      <c r="L438" s="126"/>
      <c r="M438" s="126"/>
      <c r="N438" s="126"/>
      <c r="O438" s="126"/>
      <c r="P438" s="126"/>
      <c r="Q438" s="126">
        <f t="shared" si="475"/>
        <v>15380</v>
      </c>
      <c r="R438" s="126">
        <f>Q438*40</f>
        <v>615200</v>
      </c>
      <c r="S438" s="126"/>
      <c r="T438" s="127">
        <v>250000</v>
      </c>
      <c r="U438" s="122">
        <f t="shared" si="476"/>
        <v>2758200</v>
      </c>
      <c r="V438" s="333"/>
      <c r="W438" s="338">
        <f t="shared" ref="W438:W447" si="478">ROUNDUP(U438*1/12,-1)</f>
        <v>229850</v>
      </c>
      <c r="X438" s="128">
        <f t="shared" si="470"/>
        <v>124120</v>
      </c>
      <c r="Y438" s="128">
        <f t="shared" si="471"/>
        <v>83720</v>
      </c>
      <c r="Z438" s="128">
        <f t="shared" si="477"/>
        <v>5490</v>
      </c>
      <c r="AA438" s="128">
        <f t="shared" si="472"/>
        <v>24820</v>
      </c>
      <c r="AB438" s="128">
        <f t="shared" si="473"/>
        <v>22070</v>
      </c>
      <c r="AC438" s="129">
        <f t="shared" si="474"/>
        <v>490070</v>
      </c>
      <c r="AD438" s="619">
        <f t="shared" si="438"/>
        <v>2268130</v>
      </c>
    </row>
    <row r="439" spans="1:30" s="24" customFormat="1" ht="16.5" hidden="1" customHeight="1">
      <c r="A439" s="1150"/>
      <c r="B439" s="119"/>
      <c r="C439" s="120"/>
      <c r="D439" s="120"/>
      <c r="E439" s="124" t="s">
        <v>460</v>
      </c>
      <c r="F439" s="126">
        <f t="shared" ref="F439:F447" si="479">F438</f>
        <v>1893000</v>
      </c>
      <c r="G439" s="126"/>
      <c r="H439" s="126"/>
      <c r="I439" s="126"/>
      <c r="J439" s="126"/>
      <c r="K439" s="126"/>
      <c r="L439" s="126"/>
      <c r="M439" s="126"/>
      <c r="N439" s="126"/>
      <c r="O439" s="126"/>
      <c r="P439" s="126"/>
      <c r="Q439" s="126">
        <f t="shared" si="475"/>
        <v>15380</v>
      </c>
      <c r="R439" s="126">
        <f>Q439*40</f>
        <v>615200</v>
      </c>
      <c r="S439" s="126"/>
      <c r="T439" s="127">
        <v>250000</v>
      </c>
      <c r="U439" s="122">
        <f t="shared" si="476"/>
        <v>2758200</v>
      </c>
      <c r="V439" s="333"/>
      <c r="W439" s="338">
        <f t="shared" si="478"/>
        <v>229850</v>
      </c>
      <c r="X439" s="128">
        <f t="shared" si="470"/>
        <v>124120</v>
      </c>
      <c r="Y439" s="128">
        <f t="shared" si="471"/>
        <v>83720</v>
      </c>
      <c r="Z439" s="128">
        <f t="shared" si="477"/>
        <v>5490</v>
      </c>
      <c r="AA439" s="128">
        <f t="shared" si="472"/>
        <v>24820</v>
      </c>
      <c r="AB439" s="128">
        <f t="shared" si="473"/>
        <v>22070</v>
      </c>
      <c r="AC439" s="129">
        <f t="shared" si="474"/>
        <v>490070</v>
      </c>
      <c r="AD439" s="619">
        <f t="shared" si="438"/>
        <v>2268130</v>
      </c>
    </row>
    <row r="440" spans="1:30" s="24" customFormat="1" ht="16.5" hidden="1" customHeight="1">
      <c r="A440" s="1150"/>
      <c r="B440" s="119"/>
      <c r="C440" s="120"/>
      <c r="D440" s="120"/>
      <c r="E440" s="124" t="s">
        <v>461</v>
      </c>
      <c r="F440" s="126">
        <f t="shared" si="479"/>
        <v>1893000</v>
      </c>
      <c r="G440" s="126"/>
      <c r="H440" s="126"/>
      <c r="I440" s="126"/>
      <c r="J440" s="126"/>
      <c r="K440" s="126"/>
      <c r="L440" s="126"/>
      <c r="M440" s="126"/>
      <c r="N440" s="126"/>
      <c r="O440" s="126"/>
      <c r="P440" s="126"/>
      <c r="Q440" s="126">
        <f t="shared" si="475"/>
        <v>15380</v>
      </c>
      <c r="R440" s="126">
        <f t="shared" ref="R440:R446" si="480">Q440*40</f>
        <v>615200</v>
      </c>
      <c r="S440" s="126"/>
      <c r="T440" s="127">
        <v>250000</v>
      </c>
      <c r="U440" s="122">
        <f t="shared" si="476"/>
        <v>2758200</v>
      </c>
      <c r="V440" s="333"/>
      <c r="W440" s="338">
        <f t="shared" si="478"/>
        <v>229850</v>
      </c>
      <c r="X440" s="128">
        <f t="shared" si="470"/>
        <v>124120</v>
      </c>
      <c r="Y440" s="128">
        <f t="shared" si="471"/>
        <v>83720</v>
      </c>
      <c r="Z440" s="128">
        <f t="shared" si="477"/>
        <v>5490</v>
      </c>
      <c r="AA440" s="128">
        <f t="shared" si="472"/>
        <v>24820</v>
      </c>
      <c r="AB440" s="128">
        <f t="shared" si="473"/>
        <v>22070</v>
      </c>
      <c r="AC440" s="129">
        <f t="shared" si="474"/>
        <v>490070</v>
      </c>
      <c r="AD440" s="619">
        <f t="shared" si="438"/>
        <v>2268130</v>
      </c>
    </row>
    <row r="441" spans="1:30" s="24" customFormat="1" ht="16.5" hidden="1" customHeight="1">
      <c r="A441" s="1150"/>
      <c r="B441" s="119"/>
      <c r="C441" s="120">
        <v>7</v>
      </c>
      <c r="D441" s="120"/>
      <c r="E441" s="124" t="s">
        <v>462</v>
      </c>
      <c r="F441" s="591">
        <v>1940000</v>
      </c>
      <c r="G441" s="126"/>
      <c r="H441" s="126"/>
      <c r="I441" s="126"/>
      <c r="J441" s="126"/>
      <c r="K441" s="126"/>
      <c r="L441" s="126"/>
      <c r="M441" s="126"/>
      <c r="N441" s="126"/>
      <c r="O441" s="126"/>
      <c r="P441" s="126"/>
      <c r="Q441" s="126">
        <f t="shared" si="475"/>
        <v>15380</v>
      </c>
      <c r="R441" s="126">
        <f t="shared" si="480"/>
        <v>615200</v>
      </c>
      <c r="S441" s="126"/>
      <c r="T441" s="127">
        <v>250000</v>
      </c>
      <c r="U441" s="122">
        <f t="shared" si="476"/>
        <v>2805200</v>
      </c>
      <c r="V441" s="333"/>
      <c r="W441" s="338">
        <f t="shared" si="478"/>
        <v>233770</v>
      </c>
      <c r="X441" s="128">
        <f t="shared" si="470"/>
        <v>126230</v>
      </c>
      <c r="Y441" s="128">
        <f t="shared" si="471"/>
        <v>85140</v>
      </c>
      <c r="Z441" s="128">
        <f t="shared" si="477"/>
        <v>5580</v>
      </c>
      <c r="AA441" s="128">
        <f t="shared" si="472"/>
        <v>25250</v>
      </c>
      <c r="AB441" s="128">
        <f t="shared" si="473"/>
        <v>22440</v>
      </c>
      <c r="AC441" s="129">
        <f t="shared" si="474"/>
        <v>498410</v>
      </c>
      <c r="AD441" s="619">
        <f t="shared" si="438"/>
        <v>2306790</v>
      </c>
    </row>
    <row r="442" spans="1:30" s="24" customFormat="1" ht="16.5" hidden="1" customHeight="1">
      <c r="A442" s="1150"/>
      <c r="B442" s="119"/>
      <c r="C442" s="120"/>
      <c r="D442" s="120"/>
      <c r="E442" s="124" t="s">
        <v>330</v>
      </c>
      <c r="F442" s="126">
        <f t="shared" si="479"/>
        <v>1940000</v>
      </c>
      <c r="G442" s="126"/>
      <c r="H442" s="125"/>
      <c r="I442" s="127"/>
      <c r="J442" s="126"/>
      <c r="K442" s="126"/>
      <c r="L442" s="126"/>
      <c r="M442" s="126"/>
      <c r="N442" s="126"/>
      <c r="O442" s="126"/>
      <c r="P442" s="126"/>
      <c r="Q442" s="126">
        <f t="shared" si="475"/>
        <v>15720</v>
      </c>
      <c r="R442" s="126">
        <f t="shared" si="480"/>
        <v>628800</v>
      </c>
      <c r="S442" s="126"/>
      <c r="T442" s="127">
        <f t="shared" ref="T442:T447" si="481">T441</f>
        <v>250000</v>
      </c>
      <c r="U442" s="122">
        <f t="shared" si="476"/>
        <v>2818800</v>
      </c>
      <c r="V442" s="333"/>
      <c r="W442" s="338">
        <f t="shared" si="478"/>
        <v>234900</v>
      </c>
      <c r="X442" s="128">
        <f t="shared" si="470"/>
        <v>126850</v>
      </c>
      <c r="Y442" s="128">
        <f t="shared" si="471"/>
        <v>85560</v>
      </c>
      <c r="Z442" s="128">
        <f t="shared" si="477"/>
        <v>5610</v>
      </c>
      <c r="AA442" s="128">
        <f t="shared" si="472"/>
        <v>25370</v>
      </c>
      <c r="AB442" s="128">
        <f t="shared" si="473"/>
        <v>22550</v>
      </c>
      <c r="AC442" s="129">
        <f t="shared" si="474"/>
        <v>500840</v>
      </c>
      <c r="AD442" s="619">
        <f t="shared" si="438"/>
        <v>2317960</v>
      </c>
    </row>
    <row r="443" spans="1:30" s="24" customFormat="1" ht="16.5" hidden="1" customHeight="1">
      <c r="A443" s="1150"/>
      <c r="B443" s="119"/>
      <c r="C443" s="120"/>
      <c r="D443" s="120"/>
      <c r="E443" s="124" t="s">
        <v>331</v>
      </c>
      <c r="F443" s="126">
        <f t="shared" si="479"/>
        <v>1940000</v>
      </c>
      <c r="G443" s="126"/>
      <c r="H443" s="126"/>
      <c r="I443" s="126"/>
      <c r="J443" s="126"/>
      <c r="K443" s="126"/>
      <c r="L443" s="126"/>
      <c r="M443" s="126"/>
      <c r="N443" s="126"/>
      <c r="O443" s="126"/>
      <c r="P443" s="126"/>
      <c r="Q443" s="126">
        <f t="shared" si="475"/>
        <v>15720</v>
      </c>
      <c r="R443" s="126">
        <f t="shared" si="480"/>
        <v>628800</v>
      </c>
      <c r="S443" s="126"/>
      <c r="T443" s="127">
        <f t="shared" si="481"/>
        <v>250000</v>
      </c>
      <c r="U443" s="122">
        <f t="shared" si="476"/>
        <v>2818800</v>
      </c>
      <c r="V443" s="333"/>
      <c r="W443" s="338">
        <f t="shared" si="478"/>
        <v>234900</v>
      </c>
      <c r="X443" s="128">
        <f t="shared" si="470"/>
        <v>126850</v>
      </c>
      <c r="Y443" s="128">
        <f t="shared" si="471"/>
        <v>85560</v>
      </c>
      <c r="Z443" s="128">
        <f t="shared" si="477"/>
        <v>5610</v>
      </c>
      <c r="AA443" s="128">
        <f t="shared" si="472"/>
        <v>25370</v>
      </c>
      <c r="AB443" s="128">
        <f t="shared" si="473"/>
        <v>22550</v>
      </c>
      <c r="AC443" s="129">
        <f t="shared" si="474"/>
        <v>500840</v>
      </c>
      <c r="AD443" s="619">
        <f t="shared" si="438"/>
        <v>2317960</v>
      </c>
    </row>
    <row r="444" spans="1:30" s="24" customFormat="1" ht="16.5" hidden="1" customHeight="1">
      <c r="A444" s="1150"/>
      <c r="B444" s="119"/>
      <c r="C444" s="120"/>
      <c r="D444" s="120"/>
      <c r="E444" s="124" t="s">
        <v>62</v>
      </c>
      <c r="F444" s="126">
        <f t="shared" si="479"/>
        <v>1940000</v>
      </c>
      <c r="G444" s="126"/>
      <c r="H444" s="126"/>
      <c r="I444" s="126"/>
      <c r="J444" s="126"/>
      <c r="K444" s="126"/>
      <c r="L444" s="126"/>
      <c r="M444" s="126">
        <f>F444*60%</f>
        <v>1164000</v>
      </c>
      <c r="N444" s="126"/>
      <c r="O444" s="126"/>
      <c r="P444" s="126"/>
      <c r="Q444" s="126">
        <f t="shared" si="475"/>
        <v>15720</v>
      </c>
      <c r="R444" s="126">
        <f t="shared" si="480"/>
        <v>628800</v>
      </c>
      <c r="S444" s="126"/>
      <c r="T444" s="127">
        <f t="shared" si="481"/>
        <v>250000</v>
      </c>
      <c r="U444" s="122">
        <f t="shared" si="476"/>
        <v>3982800</v>
      </c>
      <c r="V444" s="333"/>
      <c r="W444" s="338">
        <f t="shared" si="478"/>
        <v>331900</v>
      </c>
      <c r="X444" s="128">
        <f t="shared" si="470"/>
        <v>179230</v>
      </c>
      <c r="Y444" s="128">
        <f t="shared" si="471"/>
        <v>120880</v>
      </c>
      <c r="Z444" s="128">
        <f t="shared" si="477"/>
        <v>7920</v>
      </c>
      <c r="AA444" s="128">
        <f t="shared" si="472"/>
        <v>35850</v>
      </c>
      <c r="AB444" s="128">
        <f t="shared" si="473"/>
        <v>31860</v>
      </c>
      <c r="AC444" s="129">
        <f t="shared" si="474"/>
        <v>707640</v>
      </c>
      <c r="AD444" s="619">
        <f t="shared" si="438"/>
        <v>3275160</v>
      </c>
    </row>
    <row r="445" spans="1:30" s="24" customFormat="1" ht="16.5" hidden="1" customHeight="1">
      <c r="A445" s="1150"/>
      <c r="B445" s="119"/>
      <c r="C445" s="120"/>
      <c r="D445" s="120"/>
      <c r="E445" s="124" t="s">
        <v>63</v>
      </c>
      <c r="F445" s="126">
        <f t="shared" si="479"/>
        <v>1940000</v>
      </c>
      <c r="G445" s="126"/>
      <c r="H445" s="126"/>
      <c r="I445" s="126"/>
      <c r="J445" s="126"/>
      <c r="K445" s="126"/>
      <c r="L445" s="126"/>
      <c r="M445" s="126"/>
      <c r="N445" s="126"/>
      <c r="O445" s="126"/>
      <c r="P445" s="126"/>
      <c r="Q445" s="126">
        <f t="shared" si="475"/>
        <v>15720</v>
      </c>
      <c r="R445" s="126">
        <f t="shared" si="480"/>
        <v>628800</v>
      </c>
      <c r="S445" s="126"/>
      <c r="T445" s="127">
        <f t="shared" si="481"/>
        <v>250000</v>
      </c>
      <c r="U445" s="122">
        <f t="shared" si="476"/>
        <v>2818800</v>
      </c>
      <c r="V445" s="333"/>
      <c r="W445" s="338">
        <f t="shared" si="478"/>
        <v>234900</v>
      </c>
      <c r="X445" s="128">
        <f t="shared" si="470"/>
        <v>126850</v>
      </c>
      <c r="Y445" s="128">
        <f t="shared" si="471"/>
        <v>85560</v>
      </c>
      <c r="Z445" s="128">
        <f t="shared" si="477"/>
        <v>5610</v>
      </c>
      <c r="AA445" s="128">
        <f t="shared" si="472"/>
        <v>25370</v>
      </c>
      <c r="AB445" s="128">
        <f t="shared" si="473"/>
        <v>22550</v>
      </c>
      <c r="AC445" s="129">
        <f t="shared" si="474"/>
        <v>500840</v>
      </c>
      <c r="AD445" s="619">
        <f t="shared" si="438"/>
        <v>2317960</v>
      </c>
    </row>
    <row r="446" spans="1:30" s="24" customFormat="1" ht="16.5" hidden="1" customHeight="1">
      <c r="A446" s="1150"/>
      <c r="B446" s="119"/>
      <c r="C446" s="120"/>
      <c r="D446" s="120"/>
      <c r="E446" s="124" t="s">
        <v>64</v>
      </c>
      <c r="F446" s="126">
        <f t="shared" si="479"/>
        <v>1940000</v>
      </c>
      <c r="G446" s="126"/>
      <c r="H446" s="126"/>
      <c r="I446" s="126"/>
      <c r="J446" s="126"/>
      <c r="K446" s="126"/>
      <c r="L446" s="126"/>
      <c r="M446" s="126"/>
      <c r="N446" s="126"/>
      <c r="O446" s="126"/>
      <c r="P446" s="126"/>
      <c r="Q446" s="126">
        <f t="shared" si="475"/>
        <v>15720</v>
      </c>
      <c r="R446" s="126">
        <f t="shared" si="480"/>
        <v>628800</v>
      </c>
      <c r="S446" s="126"/>
      <c r="T446" s="127">
        <f t="shared" si="481"/>
        <v>250000</v>
      </c>
      <c r="U446" s="122">
        <f t="shared" si="476"/>
        <v>2818800</v>
      </c>
      <c r="V446" s="333"/>
      <c r="W446" s="338">
        <f t="shared" si="478"/>
        <v>234900</v>
      </c>
      <c r="X446" s="128">
        <f t="shared" si="470"/>
        <v>126850</v>
      </c>
      <c r="Y446" s="128">
        <f t="shared" si="471"/>
        <v>85560</v>
      </c>
      <c r="Z446" s="128">
        <f t="shared" si="477"/>
        <v>5610</v>
      </c>
      <c r="AA446" s="128">
        <f t="shared" si="472"/>
        <v>25370</v>
      </c>
      <c r="AB446" s="128">
        <f t="shared" si="473"/>
        <v>22550</v>
      </c>
      <c r="AC446" s="129">
        <f t="shared" si="474"/>
        <v>500840</v>
      </c>
      <c r="AD446" s="619">
        <f t="shared" si="438"/>
        <v>2317960</v>
      </c>
    </row>
    <row r="447" spans="1:30" s="24" customFormat="1" ht="16.5" hidden="1" customHeight="1">
      <c r="A447" s="1150"/>
      <c r="B447" s="119"/>
      <c r="C447" s="120"/>
      <c r="D447" s="120"/>
      <c r="E447" s="124" t="s">
        <v>463</v>
      </c>
      <c r="F447" s="126">
        <f t="shared" si="479"/>
        <v>1940000</v>
      </c>
      <c r="G447" s="126"/>
      <c r="H447" s="126"/>
      <c r="I447" s="126"/>
      <c r="J447" s="126"/>
      <c r="K447" s="126"/>
      <c r="L447" s="126"/>
      <c r="M447" s="126"/>
      <c r="N447" s="126"/>
      <c r="O447" s="126"/>
      <c r="P447" s="126"/>
      <c r="Q447" s="126">
        <f t="shared" si="475"/>
        <v>15720</v>
      </c>
      <c r="R447" s="126">
        <f>Q447*40*2</f>
        <v>1257600</v>
      </c>
      <c r="S447" s="126"/>
      <c r="T447" s="127">
        <f t="shared" si="481"/>
        <v>250000</v>
      </c>
      <c r="U447" s="122">
        <f t="shared" si="476"/>
        <v>3447600</v>
      </c>
      <c r="V447" s="333"/>
      <c r="W447" s="338">
        <f t="shared" si="478"/>
        <v>287300</v>
      </c>
      <c r="X447" s="128">
        <f t="shared" si="470"/>
        <v>155140</v>
      </c>
      <c r="Y447" s="128">
        <f t="shared" si="471"/>
        <v>104640</v>
      </c>
      <c r="Z447" s="128">
        <f t="shared" si="477"/>
        <v>6860</v>
      </c>
      <c r="AA447" s="128">
        <f t="shared" si="472"/>
        <v>31030</v>
      </c>
      <c r="AB447" s="128">
        <f t="shared" si="473"/>
        <v>27580</v>
      </c>
      <c r="AC447" s="129">
        <f t="shared" si="474"/>
        <v>612550</v>
      </c>
      <c r="AD447" s="619">
        <f t="shared" si="438"/>
        <v>2835050</v>
      </c>
    </row>
    <row r="448" spans="1:30" s="24" customFormat="1" ht="16.5" hidden="1" customHeight="1">
      <c r="A448" s="1150">
        <v>35</v>
      </c>
      <c r="B448" s="119" t="s">
        <v>95</v>
      </c>
      <c r="C448" s="120" t="s">
        <v>661</v>
      </c>
      <c r="D448" s="120">
        <v>1</v>
      </c>
      <c r="E448" s="121" t="s">
        <v>94</v>
      </c>
      <c r="F448" s="122">
        <f>SUM(F449:F460)</f>
        <v>23186000</v>
      </c>
      <c r="G448" s="122">
        <f t="shared" ref="G448:L448" si="482">SUM(G449:G460)</f>
        <v>0</v>
      </c>
      <c r="H448" s="122">
        <f t="shared" si="482"/>
        <v>0</v>
      </c>
      <c r="I448" s="122">
        <f t="shared" si="482"/>
        <v>0</v>
      </c>
      <c r="J448" s="122">
        <f t="shared" si="482"/>
        <v>0</v>
      </c>
      <c r="K448" s="122">
        <f t="shared" si="482"/>
        <v>0</v>
      </c>
      <c r="L448" s="122">
        <f t="shared" si="482"/>
        <v>0</v>
      </c>
      <c r="M448" s="122">
        <f>SUM(M449:M460)</f>
        <v>2299800</v>
      </c>
      <c r="N448" s="122">
        <f>SUM(N449:N460)</f>
        <v>0</v>
      </c>
      <c r="O448" s="122">
        <f>SUM(O449:O460)</f>
        <v>720000</v>
      </c>
      <c r="P448" s="122"/>
      <c r="Q448" s="122"/>
      <c r="R448" s="122">
        <f>SUM(R449:R460)</f>
        <v>7518400</v>
      </c>
      <c r="S448" s="122">
        <f>SUM(S449:S460)</f>
        <v>0</v>
      </c>
      <c r="T448" s="122">
        <f>SUM(T449:T460)</f>
        <v>3000000</v>
      </c>
      <c r="U448" s="122">
        <f>SUM(U449:U460)</f>
        <v>36724200</v>
      </c>
      <c r="V448" s="333"/>
      <c r="W448" s="350">
        <f t="shared" ref="W448:AB448" si="483">SUM(W449:W460)</f>
        <v>3081200</v>
      </c>
      <c r="X448" s="122">
        <f t="shared" si="483"/>
        <v>1652620</v>
      </c>
      <c r="Y448" s="122">
        <f t="shared" si="483"/>
        <v>1114660</v>
      </c>
      <c r="Z448" s="122">
        <f t="shared" si="483"/>
        <v>73080</v>
      </c>
      <c r="AA448" s="122">
        <f t="shared" si="483"/>
        <v>330540</v>
      </c>
      <c r="AB448" s="122">
        <f t="shared" si="483"/>
        <v>293780</v>
      </c>
      <c r="AC448" s="123">
        <f>SUM(AC449:AC460)</f>
        <v>6545880</v>
      </c>
      <c r="AD448" s="618">
        <f t="shared" si="438"/>
        <v>30178320</v>
      </c>
    </row>
    <row r="449" spans="1:30" s="24" customFormat="1" ht="17.25" hidden="1" customHeight="1">
      <c r="A449" s="1150"/>
      <c r="B449" s="119" t="s">
        <v>601</v>
      </c>
      <c r="C449" s="120">
        <v>6</v>
      </c>
      <c r="D449" s="120"/>
      <c r="E449" s="124" t="s">
        <v>457</v>
      </c>
      <c r="F449" s="125">
        <v>1893000</v>
      </c>
      <c r="G449" s="126"/>
      <c r="H449" s="125"/>
      <c r="I449" s="125"/>
      <c r="J449" s="126"/>
      <c r="K449" s="126"/>
      <c r="L449" s="126"/>
      <c r="M449" s="126"/>
      <c r="N449" s="126"/>
      <c r="O449" s="126">
        <v>60000</v>
      </c>
      <c r="P449" s="126"/>
      <c r="Q449" s="126"/>
      <c r="R449" s="126"/>
      <c r="S449" s="126"/>
      <c r="T449" s="127">
        <v>250000</v>
      </c>
      <c r="U449" s="122">
        <f>SUM(F449,M449,O449,R449,T449)</f>
        <v>2203000</v>
      </c>
      <c r="V449" s="333"/>
      <c r="W449" s="338">
        <f>ROUNDUP(U449*1/12,-1)</f>
        <v>183590</v>
      </c>
      <c r="X449" s="128">
        <f t="shared" ref="X449:X460" si="484">ROUND(U449*4.5%,-1)</f>
        <v>99140</v>
      </c>
      <c r="Y449" s="128">
        <f t="shared" ref="Y449:Y460" si="485">ROUNDUP((U449-L449)*3.035%,-1)</f>
        <v>66870</v>
      </c>
      <c r="Z449" s="128">
        <f>ROUNDUP(Y449*6.55%,-1)</f>
        <v>4380</v>
      </c>
      <c r="AA449" s="128">
        <f t="shared" ref="AA449:AA460" si="486">ROUND(U449*0.9%,-1)</f>
        <v>19830</v>
      </c>
      <c r="AB449" s="128">
        <f t="shared" ref="AB449:AB460" si="487">ROUND(U449*0.8%,-1)</f>
        <v>17620</v>
      </c>
      <c r="AC449" s="129">
        <f t="shared" ref="AC449:AC460" si="488">SUM(W449:AB449)</f>
        <v>391430</v>
      </c>
      <c r="AD449" s="619">
        <f t="shared" si="438"/>
        <v>1811570</v>
      </c>
    </row>
    <row r="450" spans="1:30" s="24" customFormat="1" ht="17.25" hidden="1" customHeight="1">
      <c r="A450" s="1150"/>
      <c r="B450" s="119"/>
      <c r="C450" s="120"/>
      <c r="D450" s="120"/>
      <c r="E450" s="124" t="s">
        <v>458</v>
      </c>
      <c r="F450" s="126">
        <f>F449</f>
        <v>1893000</v>
      </c>
      <c r="G450" s="126"/>
      <c r="H450" s="126"/>
      <c r="I450" s="126"/>
      <c r="J450" s="126"/>
      <c r="K450" s="126"/>
      <c r="L450" s="126"/>
      <c r="M450" s="126">
        <f>F450*60%</f>
        <v>1135800</v>
      </c>
      <c r="N450" s="126"/>
      <c r="O450" s="126">
        <f>O449</f>
        <v>60000</v>
      </c>
      <c r="P450" s="126"/>
      <c r="Q450" s="126">
        <f t="shared" ref="Q450:Q460" si="489">ROUND((F449+T449)*1/209*1.5,-1)</f>
        <v>15380</v>
      </c>
      <c r="R450" s="126">
        <f>Q450*40</f>
        <v>615200</v>
      </c>
      <c r="S450" s="126"/>
      <c r="T450" s="127">
        <v>250000</v>
      </c>
      <c r="U450" s="122">
        <f t="shared" ref="U450:U460" si="490">SUM(F450,M450,O450,R450,T450)</f>
        <v>3954000</v>
      </c>
      <c r="V450" s="333"/>
      <c r="W450" s="338">
        <f>ROUNDUP((T450+U450)*1/12,-1)</f>
        <v>350340</v>
      </c>
      <c r="X450" s="128">
        <f t="shared" si="484"/>
        <v>177930</v>
      </c>
      <c r="Y450" s="128">
        <f t="shared" si="485"/>
        <v>120010</v>
      </c>
      <c r="Z450" s="128">
        <f t="shared" ref="Z450:Z460" si="491">ROUNDUP(Y450*6.55%,-1)</f>
        <v>7870</v>
      </c>
      <c r="AA450" s="128">
        <f t="shared" si="486"/>
        <v>35590</v>
      </c>
      <c r="AB450" s="128">
        <f t="shared" si="487"/>
        <v>31630</v>
      </c>
      <c r="AC450" s="129">
        <f t="shared" si="488"/>
        <v>723370</v>
      </c>
      <c r="AD450" s="619">
        <f t="shared" si="438"/>
        <v>3230630</v>
      </c>
    </row>
    <row r="451" spans="1:30" s="24" customFormat="1" ht="17.25" hidden="1" customHeight="1">
      <c r="A451" s="1150"/>
      <c r="B451" s="119"/>
      <c r="C451" s="120">
        <v>7</v>
      </c>
      <c r="D451" s="120"/>
      <c r="E451" s="124" t="s">
        <v>459</v>
      </c>
      <c r="F451" s="591">
        <v>1940000</v>
      </c>
      <c r="G451" s="126"/>
      <c r="H451" s="126"/>
      <c r="I451" s="126"/>
      <c r="J451" s="126"/>
      <c r="K451" s="126"/>
      <c r="L451" s="126"/>
      <c r="M451" s="126"/>
      <c r="N451" s="126"/>
      <c r="O451" s="126">
        <f t="shared" ref="O451:O460" si="492">O450</f>
        <v>60000</v>
      </c>
      <c r="P451" s="126"/>
      <c r="Q451" s="126">
        <f t="shared" si="489"/>
        <v>15380</v>
      </c>
      <c r="R451" s="126">
        <f>Q451*40</f>
        <v>615200</v>
      </c>
      <c r="S451" s="126"/>
      <c r="T451" s="127">
        <v>250000</v>
      </c>
      <c r="U451" s="122">
        <f t="shared" si="490"/>
        <v>2865200</v>
      </c>
      <c r="V451" s="333"/>
      <c r="W451" s="338">
        <f t="shared" ref="W451:W460" si="493">ROUNDUP(U451*1/12,-1)</f>
        <v>238770</v>
      </c>
      <c r="X451" s="128">
        <f t="shared" si="484"/>
        <v>128930</v>
      </c>
      <c r="Y451" s="128">
        <f t="shared" si="485"/>
        <v>86960</v>
      </c>
      <c r="Z451" s="128">
        <f t="shared" si="491"/>
        <v>5700</v>
      </c>
      <c r="AA451" s="128">
        <f t="shared" si="486"/>
        <v>25790</v>
      </c>
      <c r="AB451" s="128">
        <f t="shared" si="487"/>
        <v>22920</v>
      </c>
      <c r="AC451" s="129">
        <f t="shared" si="488"/>
        <v>509070</v>
      </c>
      <c r="AD451" s="619">
        <f t="shared" si="438"/>
        <v>2356130</v>
      </c>
    </row>
    <row r="452" spans="1:30" s="24" customFormat="1" ht="17.25" hidden="1" customHeight="1">
      <c r="A452" s="1150"/>
      <c r="B452" s="119"/>
      <c r="C452" s="120"/>
      <c r="D452" s="120"/>
      <c r="E452" s="124" t="s">
        <v>460</v>
      </c>
      <c r="F452" s="126">
        <f t="shared" ref="F452:F460" si="494">F451</f>
        <v>1940000</v>
      </c>
      <c r="G452" s="126"/>
      <c r="H452" s="126"/>
      <c r="I452" s="126"/>
      <c r="J452" s="126"/>
      <c r="K452" s="126"/>
      <c r="L452" s="126"/>
      <c r="M452" s="126"/>
      <c r="N452" s="126"/>
      <c r="O452" s="126">
        <f t="shared" si="492"/>
        <v>60000</v>
      </c>
      <c r="P452" s="126"/>
      <c r="Q452" s="126">
        <f t="shared" si="489"/>
        <v>15720</v>
      </c>
      <c r="R452" s="126">
        <f>Q452*40</f>
        <v>628800</v>
      </c>
      <c r="S452" s="126"/>
      <c r="T452" s="127">
        <f>T451</f>
        <v>250000</v>
      </c>
      <c r="U452" s="122">
        <f t="shared" si="490"/>
        <v>2878800</v>
      </c>
      <c r="V452" s="333"/>
      <c r="W452" s="338">
        <f t="shared" si="493"/>
        <v>239900</v>
      </c>
      <c r="X452" s="128">
        <f t="shared" si="484"/>
        <v>129550</v>
      </c>
      <c r="Y452" s="128">
        <f t="shared" si="485"/>
        <v>87380</v>
      </c>
      <c r="Z452" s="128">
        <f t="shared" si="491"/>
        <v>5730</v>
      </c>
      <c r="AA452" s="128">
        <f t="shared" si="486"/>
        <v>25910</v>
      </c>
      <c r="AB452" s="128">
        <f t="shared" si="487"/>
        <v>23030</v>
      </c>
      <c r="AC452" s="129">
        <f t="shared" si="488"/>
        <v>511500</v>
      </c>
      <c r="AD452" s="619">
        <f t="shared" si="438"/>
        <v>2367300</v>
      </c>
    </row>
    <row r="453" spans="1:30" s="24" customFormat="1" ht="17.25" hidden="1" customHeight="1">
      <c r="A453" s="1150"/>
      <c r="B453" s="119"/>
      <c r="C453" s="120"/>
      <c r="D453" s="120"/>
      <c r="E453" s="124" t="s">
        <v>461</v>
      </c>
      <c r="F453" s="126">
        <f t="shared" si="494"/>
        <v>1940000</v>
      </c>
      <c r="G453" s="126"/>
      <c r="H453" s="126"/>
      <c r="I453" s="126"/>
      <c r="J453" s="126"/>
      <c r="K453" s="126"/>
      <c r="L453" s="126"/>
      <c r="M453" s="126"/>
      <c r="N453" s="126"/>
      <c r="O453" s="126">
        <f t="shared" si="492"/>
        <v>60000</v>
      </c>
      <c r="P453" s="126"/>
      <c r="Q453" s="126">
        <f t="shared" si="489"/>
        <v>15720</v>
      </c>
      <c r="R453" s="126">
        <f t="shared" ref="R453:R459" si="495">Q453*40</f>
        <v>628800</v>
      </c>
      <c r="S453" s="126"/>
      <c r="T453" s="127">
        <f t="shared" ref="T453:T460" si="496">T452</f>
        <v>250000</v>
      </c>
      <c r="U453" s="122">
        <f t="shared" si="490"/>
        <v>2878800</v>
      </c>
      <c r="V453" s="333"/>
      <c r="W453" s="338">
        <f t="shared" si="493"/>
        <v>239900</v>
      </c>
      <c r="X453" s="128">
        <f t="shared" si="484"/>
        <v>129550</v>
      </c>
      <c r="Y453" s="128">
        <f t="shared" si="485"/>
        <v>87380</v>
      </c>
      <c r="Z453" s="128">
        <f t="shared" si="491"/>
        <v>5730</v>
      </c>
      <c r="AA453" s="128">
        <f t="shared" si="486"/>
        <v>25910</v>
      </c>
      <c r="AB453" s="128">
        <f t="shared" si="487"/>
        <v>23030</v>
      </c>
      <c r="AC453" s="129">
        <f t="shared" si="488"/>
        <v>511500</v>
      </c>
      <c r="AD453" s="619">
        <f t="shared" si="438"/>
        <v>2367300</v>
      </c>
    </row>
    <row r="454" spans="1:30" s="24" customFormat="1" ht="17.25" hidden="1" customHeight="1">
      <c r="A454" s="1150"/>
      <c r="B454" s="119"/>
      <c r="C454" s="120"/>
      <c r="D454" s="120"/>
      <c r="E454" s="124" t="s">
        <v>462</v>
      </c>
      <c r="F454" s="126">
        <f t="shared" si="494"/>
        <v>1940000</v>
      </c>
      <c r="G454" s="126"/>
      <c r="H454" s="126"/>
      <c r="I454" s="126"/>
      <c r="J454" s="126"/>
      <c r="K454" s="126"/>
      <c r="L454" s="126"/>
      <c r="M454" s="126"/>
      <c r="N454" s="126"/>
      <c r="O454" s="126">
        <f t="shared" si="492"/>
        <v>60000</v>
      </c>
      <c r="P454" s="126"/>
      <c r="Q454" s="126">
        <f t="shared" si="489"/>
        <v>15720</v>
      </c>
      <c r="R454" s="126">
        <f t="shared" si="495"/>
        <v>628800</v>
      </c>
      <c r="S454" s="126"/>
      <c r="T454" s="127">
        <f t="shared" si="496"/>
        <v>250000</v>
      </c>
      <c r="U454" s="122">
        <f t="shared" si="490"/>
        <v>2878800</v>
      </c>
      <c r="V454" s="333"/>
      <c r="W454" s="338">
        <f t="shared" si="493"/>
        <v>239900</v>
      </c>
      <c r="X454" s="128">
        <f t="shared" si="484"/>
        <v>129550</v>
      </c>
      <c r="Y454" s="128">
        <f t="shared" si="485"/>
        <v>87380</v>
      </c>
      <c r="Z454" s="128">
        <f t="shared" si="491"/>
        <v>5730</v>
      </c>
      <c r="AA454" s="128">
        <f t="shared" si="486"/>
        <v>25910</v>
      </c>
      <c r="AB454" s="128">
        <f t="shared" si="487"/>
        <v>23030</v>
      </c>
      <c r="AC454" s="129">
        <f t="shared" si="488"/>
        <v>511500</v>
      </c>
      <c r="AD454" s="619">
        <f t="shared" si="438"/>
        <v>2367300</v>
      </c>
    </row>
    <row r="455" spans="1:30" s="24" customFormat="1" ht="17.25" hidden="1" customHeight="1">
      <c r="A455" s="1150"/>
      <c r="B455" s="119"/>
      <c r="C455" s="120"/>
      <c r="D455" s="120"/>
      <c r="E455" s="124" t="s">
        <v>330</v>
      </c>
      <c r="F455" s="126">
        <f t="shared" si="494"/>
        <v>1940000</v>
      </c>
      <c r="G455" s="126"/>
      <c r="H455" s="125"/>
      <c r="I455" s="127"/>
      <c r="J455" s="126"/>
      <c r="K455" s="126"/>
      <c r="L455" s="126"/>
      <c r="M455" s="126"/>
      <c r="N455" s="126"/>
      <c r="O455" s="126">
        <f t="shared" si="492"/>
        <v>60000</v>
      </c>
      <c r="P455" s="126"/>
      <c r="Q455" s="126">
        <f t="shared" si="489"/>
        <v>15720</v>
      </c>
      <c r="R455" s="126">
        <f t="shared" si="495"/>
        <v>628800</v>
      </c>
      <c r="S455" s="126"/>
      <c r="T455" s="127">
        <f t="shared" si="496"/>
        <v>250000</v>
      </c>
      <c r="U455" s="122">
        <f t="shared" si="490"/>
        <v>2878800</v>
      </c>
      <c r="V455" s="333"/>
      <c r="W455" s="338">
        <f t="shared" si="493"/>
        <v>239900</v>
      </c>
      <c r="X455" s="128">
        <f t="shared" si="484"/>
        <v>129550</v>
      </c>
      <c r="Y455" s="128">
        <f t="shared" si="485"/>
        <v>87380</v>
      </c>
      <c r="Z455" s="128">
        <f t="shared" si="491"/>
        <v>5730</v>
      </c>
      <c r="AA455" s="128">
        <f t="shared" si="486"/>
        <v>25910</v>
      </c>
      <c r="AB455" s="128">
        <f t="shared" si="487"/>
        <v>23030</v>
      </c>
      <c r="AC455" s="129">
        <f t="shared" si="488"/>
        <v>511500</v>
      </c>
      <c r="AD455" s="619">
        <f t="shared" si="438"/>
        <v>2367300</v>
      </c>
    </row>
    <row r="456" spans="1:30" s="24" customFormat="1" ht="17.25" hidden="1" customHeight="1">
      <c r="A456" s="1150"/>
      <c r="B456" s="119"/>
      <c r="C456" s="120"/>
      <c r="D456" s="120"/>
      <c r="E456" s="124" t="s">
        <v>331</v>
      </c>
      <c r="F456" s="126">
        <f t="shared" si="494"/>
        <v>1940000</v>
      </c>
      <c r="G456" s="126"/>
      <c r="H456" s="126"/>
      <c r="I456" s="126"/>
      <c r="J456" s="126"/>
      <c r="K456" s="126"/>
      <c r="L456" s="126"/>
      <c r="M456" s="126"/>
      <c r="N456" s="126"/>
      <c r="O456" s="126">
        <f t="shared" si="492"/>
        <v>60000</v>
      </c>
      <c r="P456" s="126"/>
      <c r="Q456" s="126">
        <f t="shared" si="489"/>
        <v>15720</v>
      </c>
      <c r="R456" s="126">
        <f t="shared" si="495"/>
        <v>628800</v>
      </c>
      <c r="S456" s="126"/>
      <c r="T456" s="127">
        <f t="shared" si="496"/>
        <v>250000</v>
      </c>
      <c r="U456" s="122">
        <f t="shared" si="490"/>
        <v>2878800</v>
      </c>
      <c r="V456" s="333"/>
      <c r="W456" s="338">
        <f t="shared" si="493"/>
        <v>239900</v>
      </c>
      <c r="X456" s="128">
        <f t="shared" si="484"/>
        <v>129550</v>
      </c>
      <c r="Y456" s="128">
        <f t="shared" si="485"/>
        <v>87380</v>
      </c>
      <c r="Z456" s="128">
        <f t="shared" si="491"/>
        <v>5730</v>
      </c>
      <c r="AA456" s="128">
        <f t="shared" si="486"/>
        <v>25910</v>
      </c>
      <c r="AB456" s="128">
        <f t="shared" si="487"/>
        <v>23030</v>
      </c>
      <c r="AC456" s="129">
        <f t="shared" si="488"/>
        <v>511500</v>
      </c>
      <c r="AD456" s="619">
        <f t="shared" si="438"/>
        <v>2367300</v>
      </c>
    </row>
    <row r="457" spans="1:30" s="24" customFormat="1" ht="17.25" hidden="1" customHeight="1">
      <c r="A457" s="1150"/>
      <c r="B457" s="119"/>
      <c r="C457" s="120"/>
      <c r="D457" s="120"/>
      <c r="E457" s="124" t="s">
        <v>62</v>
      </c>
      <c r="F457" s="126">
        <f t="shared" si="494"/>
        <v>1940000</v>
      </c>
      <c r="G457" s="126"/>
      <c r="H457" s="126"/>
      <c r="I457" s="126"/>
      <c r="J457" s="126"/>
      <c r="K457" s="126"/>
      <c r="L457" s="126"/>
      <c r="M457" s="126">
        <f>F457*60%</f>
        <v>1164000</v>
      </c>
      <c r="N457" s="126"/>
      <c r="O457" s="126">
        <f t="shared" si="492"/>
        <v>60000</v>
      </c>
      <c r="P457" s="126"/>
      <c r="Q457" s="126">
        <f t="shared" si="489"/>
        <v>15720</v>
      </c>
      <c r="R457" s="126">
        <f t="shared" si="495"/>
        <v>628800</v>
      </c>
      <c r="S457" s="126"/>
      <c r="T457" s="127">
        <f t="shared" si="496"/>
        <v>250000</v>
      </c>
      <c r="U457" s="122">
        <f t="shared" si="490"/>
        <v>4042800</v>
      </c>
      <c r="V457" s="333"/>
      <c r="W457" s="338">
        <f t="shared" si="493"/>
        <v>336900</v>
      </c>
      <c r="X457" s="128">
        <f t="shared" si="484"/>
        <v>181930</v>
      </c>
      <c r="Y457" s="128">
        <f t="shared" si="485"/>
        <v>122700</v>
      </c>
      <c r="Z457" s="128">
        <f t="shared" si="491"/>
        <v>8040</v>
      </c>
      <c r="AA457" s="128">
        <f t="shared" si="486"/>
        <v>36390</v>
      </c>
      <c r="AB457" s="128">
        <f t="shared" si="487"/>
        <v>32340</v>
      </c>
      <c r="AC457" s="129">
        <f t="shared" si="488"/>
        <v>718300</v>
      </c>
      <c r="AD457" s="619">
        <f t="shared" si="438"/>
        <v>3324500</v>
      </c>
    </row>
    <row r="458" spans="1:30" s="24" customFormat="1" ht="17.25" hidden="1" customHeight="1">
      <c r="A458" s="1150"/>
      <c r="B458" s="119"/>
      <c r="C458" s="120"/>
      <c r="D458" s="120"/>
      <c r="E458" s="124" t="s">
        <v>63</v>
      </c>
      <c r="F458" s="126">
        <f t="shared" si="494"/>
        <v>1940000</v>
      </c>
      <c r="G458" s="126"/>
      <c r="H458" s="126"/>
      <c r="I458" s="126"/>
      <c r="J458" s="126"/>
      <c r="K458" s="126"/>
      <c r="L458" s="126"/>
      <c r="M458" s="126"/>
      <c r="N458" s="126"/>
      <c r="O458" s="126">
        <f t="shared" si="492"/>
        <v>60000</v>
      </c>
      <c r="P458" s="126"/>
      <c r="Q458" s="126">
        <f t="shared" si="489"/>
        <v>15720</v>
      </c>
      <c r="R458" s="126">
        <f t="shared" si="495"/>
        <v>628800</v>
      </c>
      <c r="S458" s="126"/>
      <c r="T458" s="127">
        <f t="shared" si="496"/>
        <v>250000</v>
      </c>
      <c r="U458" s="122">
        <f t="shared" si="490"/>
        <v>2878800</v>
      </c>
      <c r="V458" s="333"/>
      <c r="W458" s="338">
        <f t="shared" si="493"/>
        <v>239900</v>
      </c>
      <c r="X458" s="128">
        <f t="shared" si="484"/>
        <v>129550</v>
      </c>
      <c r="Y458" s="128">
        <f t="shared" si="485"/>
        <v>87380</v>
      </c>
      <c r="Z458" s="128">
        <f t="shared" si="491"/>
        <v>5730</v>
      </c>
      <c r="AA458" s="128">
        <f t="shared" si="486"/>
        <v>25910</v>
      </c>
      <c r="AB458" s="128">
        <f t="shared" si="487"/>
        <v>23030</v>
      </c>
      <c r="AC458" s="129">
        <f t="shared" si="488"/>
        <v>511500</v>
      </c>
      <c r="AD458" s="619">
        <f t="shared" si="438"/>
        <v>2367300</v>
      </c>
    </row>
    <row r="459" spans="1:30" s="24" customFormat="1" ht="17.25" hidden="1" customHeight="1">
      <c r="A459" s="1150"/>
      <c r="B459" s="119"/>
      <c r="C459" s="120"/>
      <c r="D459" s="120"/>
      <c r="E459" s="124" t="s">
        <v>64</v>
      </c>
      <c r="F459" s="126">
        <f t="shared" si="494"/>
        <v>1940000</v>
      </c>
      <c r="G459" s="126"/>
      <c r="H459" s="126"/>
      <c r="I459" s="126"/>
      <c r="J459" s="126"/>
      <c r="K459" s="126"/>
      <c r="L459" s="126"/>
      <c r="M459" s="126"/>
      <c r="N459" s="126"/>
      <c r="O459" s="126">
        <f t="shared" si="492"/>
        <v>60000</v>
      </c>
      <c r="P459" s="126"/>
      <c r="Q459" s="126">
        <f t="shared" si="489"/>
        <v>15720</v>
      </c>
      <c r="R459" s="126">
        <f t="shared" si="495"/>
        <v>628800</v>
      </c>
      <c r="S459" s="126"/>
      <c r="T459" s="127">
        <f t="shared" si="496"/>
        <v>250000</v>
      </c>
      <c r="U459" s="122">
        <f t="shared" si="490"/>
        <v>2878800</v>
      </c>
      <c r="V459" s="333"/>
      <c r="W459" s="338">
        <f t="shared" si="493"/>
        <v>239900</v>
      </c>
      <c r="X459" s="128">
        <f t="shared" si="484"/>
        <v>129550</v>
      </c>
      <c r="Y459" s="128">
        <f t="shared" si="485"/>
        <v>87380</v>
      </c>
      <c r="Z459" s="128">
        <f t="shared" si="491"/>
        <v>5730</v>
      </c>
      <c r="AA459" s="128">
        <f t="shared" si="486"/>
        <v>25910</v>
      </c>
      <c r="AB459" s="128">
        <f t="shared" si="487"/>
        <v>23030</v>
      </c>
      <c r="AC459" s="129">
        <f t="shared" si="488"/>
        <v>511500</v>
      </c>
      <c r="AD459" s="619">
        <f t="shared" si="438"/>
        <v>2367300</v>
      </c>
    </row>
    <row r="460" spans="1:30" s="24" customFormat="1" ht="17.25" hidden="1" customHeight="1">
      <c r="A460" s="1150"/>
      <c r="B460" s="119"/>
      <c r="C460" s="120"/>
      <c r="D460" s="120"/>
      <c r="E460" s="124" t="s">
        <v>463</v>
      </c>
      <c r="F460" s="126">
        <f t="shared" si="494"/>
        <v>1940000</v>
      </c>
      <c r="G460" s="126"/>
      <c r="H460" s="126"/>
      <c r="I460" s="126"/>
      <c r="J460" s="126"/>
      <c r="K460" s="126"/>
      <c r="L460" s="126"/>
      <c r="M460" s="126"/>
      <c r="N460" s="126"/>
      <c r="O460" s="126">
        <f t="shared" si="492"/>
        <v>60000</v>
      </c>
      <c r="P460" s="126"/>
      <c r="Q460" s="126">
        <f t="shared" si="489"/>
        <v>15720</v>
      </c>
      <c r="R460" s="126">
        <f>Q460*40*2</f>
        <v>1257600</v>
      </c>
      <c r="S460" s="126"/>
      <c r="T460" s="127">
        <f t="shared" si="496"/>
        <v>250000</v>
      </c>
      <c r="U460" s="122">
        <f t="shared" si="490"/>
        <v>3507600</v>
      </c>
      <c r="V460" s="333"/>
      <c r="W460" s="338">
        <f t="shared" si="493"/>
        <v>292300</v>
      </c>
      <c r="X460" s="128">
        <f t="shared" si="484"/>
        <v>157840</v>
      </c>
      <c r="Y460" s="128">
        <f t="shared" si="485"/>
        <v>106460</v>
      </c>
      <c r="Z460" s="128">
        <f t="shared" si="491"/>
        <v>6980</v>
      </c>
      <c r="AA460" s="128">
        <f t="shared" si="486"/>
        <v>31570</v>
      </c>
      <c r="AB460" s="128">
        <f t="shared" si="487"/>
        <v>28060</v>
      </c>
      <c r="AC460" s="129">
        <f t="shared" si="488"/>
        <v>623210</v>
      </c>
      <c r="AD460" s="619">
        <f t="shared" si="438"/>
        <v>2884390</v>
      </c>
    </row>
    <row r="461" spans="1:30" s="24" customFormat="1" ht="17.25" hidden="1" customHeight="1">
      <c r="A461" s="1150">
        <v>36</v>
      </c>
      <c r="B461" s="119" t="s">
        <v>95</v>
      </c>
      <c r="C461" s="120" t="s">
        <v>664</v>
      </c>
      <c r="D461" s="120">
        <v>1</v>
      </c>
      <c r="E461" s="121" t="s">
        <v>94</v>
      </c>
      <c r="F461" s="122">
        <f t="shared" ref="F461:L461" si="497">SUM(F462:F473)</f>
        <v>21267000</v>
      </c>
      <c r="G461" s="122">
        <f t="shared" si="497"/>
        <v>0</v>
      </c>
      <c r="H461" s="122">
        <f t="shared" si="497"/>
        <v>0</v>
      </c>
      <c r="I461" s="122">
        <f t="shared" si="497"/>
        <v>0</v>
      </c>
      <c r="J461" s="122">
        <f t="shared" si="497"/>
        <v>0</v>
      </c>
      <c r="K461" s="122">
        <f t="shared" si="497"/>
        <v>0</v>
      </c>
      <c r="L461" s="122">
        <f t="shared" si="497"/>
        <v>0</v>
      </c>
      <c r="M461" s="122">
        <f>SUM(M462:M473)</f>
        <v>2111400</v>
      </c>
      <c r="N461" s="122">
        <f>SUM(N462:N473)</f>
        <v>0</v>
      </c>
      <c r="O461" s="122">
        <f>SUM(O462:O473)</f>
        <v>0</v>
      </c>
      <c r="P461" s="122"/>
      <c r="Q461" s="122"/>
      <c r="R461" s="122">
        <f>SUM(R462:R473)</f>
        <v>6795600</v>
      </c>
      <c r="S461" s="122">
        <f>SUM(S462:S473)</f>
        <v>0</v>
      </c>
      <c r="T461" s="122">
        <f>SUM(T462:T473)</f>
        <v>2400000</v>
      </c>
      <c r="U461" s="122">
        <f>SUM(U462:U473)</f>
        <v>32574000</v>
      </c>
      <c r="V461" s="333"/>
      <c r="W461" s="350">
        <f t="shared" ref="W461:AB461" si="498">SUM(W462:W473)</f>
        <v>2731210</v>
      </c>
      <c r="X461" s="122">
        <f t="shared" si="498"/>
        <v>1465860</v>
      </c>
      <c r="Y461" s="122">
        <f t="shared" si="498"/>
        <v>988680</v>
      </c>
      <c r="Z461" s="122">
        <f t="shared" si="498"/>
        <v>64790</v>
      </c>
      <c r="AA461" s="122">
        <f t="shared" si="498"/>
        <v>293200</v>
      </c>
      <c r="AB461" s="122">
        <f t="shared" si="498"/>
        <v>260590</v>
      </c>
      <c r="AC461" s="123">
        <f>SUM(AC462:AC473)</f>
        <v>5804330</v>
      </c>
      <c r="AD461" s="618">
        <f t="shared" si="438"/>
        <v>26769670</v>
      </c>
    </row>
    <row r="462" spans="1:30" s="24" customFormat="1" ht="17.25" hidden="1" customHeight="1">
      <c r="A462" s="1150"/>
      <c r="B462" s="119" t="s">
        <v>654</v>
      </c>
      <c r="C462" s="120">
        <v>4</v>
      </c>
      <c r="D462" s="120"/>
      <c r="E462" s="124" t="s">
        <v>457</v>
      </c>
      <c r="F462" s="125">
        <v>1734000</v>
      </c>
      <c r="G462" s="126"/>
      <c r="H462" s="125"/>
      <c r="I462" s="125"/>
      <c r="J462" s="126"/>
      <c r="K462" s="126"/>
      <c r="L462" s="126"/>
      <c r="M462" s="126"/>
      <c r="N462" s="126"/>
      <c r="O462" s="126"/>
      <c r="P462" s="126"/>
      <c r="Q462" s="126"/>
      <c r="R462" s="126"/>
      <c r="S462" s="126"/>
      <c r="T462" s="127">
        <v>200000</v>
      </c>
      <c r="U462" s="122">
        <f>SUM(F462,M462,O462,R462,T462)</f>
        <v>1934000</v>
      </c>
      <c r="V462" s="333"/>
      <c r="W462" s="338">
        <f>ROUNDUP(U462*1/12,-1)</f>
        <v>161170</v>
      </c>
      <c r="X462" s="128">
        <f t="shared" ref="X462:X473" si="499">ROUND(U462*4.5%,-1)</f>
        <v>87030</v>
      </c>
      <c r="Y462" s="128">
        <f t="shared" ref="Y462:Y473" si="500">ROUNDUP((U462-L462)*3.035%,-1)</f>
        <v>58700</v>
      </c>
      <c r="Z462" s="128">
        <f t="shared" ref="Z462:Z473" si="501">ROUNDUP(Y462*6.55%,-1)</f>
        <v>3850</v>
      </c>
      <c r="AA462" s="128">
        <f t="shared" ref="AA462:AA473" si="502">ROUND(U462*0.9%,-1)</f>
        <v>17410</v>
      </c>
      <c r="AB462" s="128">
        <f t="shared" ref="AB462:AB473" si="503">ROUND(U462*0.8%,-1)</f>
        <v>15470</v>
      </c>
      <c r="AC462" s="129">
        <f t="shared" ref="AC462:AC473" si="504">SUM(W462:AB462)</f>
        <v>343630</v>
      </c>
      <c r="AD462" s="619">
        <f t="shared" si="438"/>
        <v>1590370</v>
      </c>
    </row>
    <row r="463" spans="1:30" s="24" customFormat="1" ht="17.25" hidden="1" customHeight="1">
      <c r="A463" s="1150"/>
      <c r="B463" s="119"/>
      <c r="C463" s="120"/>
      <c r="D463" s="120"/>
      <c r="E463" s="124" t="s">
        <v>458</v>
      </c>
      <c r="F463" s="126">
        <f>F462</f>
        <v>1734000</v>
      </c>
      <c r="G463" s="126"/>
      <c r="H463" s="126"/>
      <c r="I463" s="126"/>
      <c r="J463" s="126"/>
      <c r="K463" s="126"/>
      <c r="L463" s="126"/>
      <c r="M463" s="126">
        <f>F463*60%</f>
        <v>1040400</v>
      </c>
      <c r="N463" s="126"/>
      <c r="O463" s="126">
        <f t="shared" ref="O463:O473" si="505">O462</f>
        <v>0</v>
      </c>
      <c r="P463" s="126"/>
      <c r="Q463" s="126">
        <f t="shared" ref="Q463:Q473" si="506">ROUND((F462+T462)*1/209*1.5,-1)</f>
        <v>13880</v>
      </c>
      <c r="R463" s="126">
        <f>Q463*40</f>
        <v>555200</v>
      </c>
      <c r="S463" s="126"/>
      <c r="T463" s="127">
        <v>200000</v>
      </c>
      <c r="U463" s="122">
        <f t="shared" ref="U463:U473" si="507">SUM(F463,M463,O463,R463,T463)</f>
        <v>3529600</v>
      </c>
      <c r="V463" s="333"/>
      <c r="W463" s="338">
        <f>ROUNDUP((T463+U463)*1/12,-1)</f>
        <v>310800</v>
      </c>
      <c r="X463" s="128">
        <f t="shared" si="499"/>
        <v>158830</v>
      </c>
      <c r="Y463" s="128">
        <f t="shared" si="500"/>
        <v>107130</v>
      </c>
      <c r="Z463" s="128">
        <f t="shared" si="501"/>
        <v>7020</v>
      </c>
      <c r="AA463" s="128">
        <f t="shared" si="502"/>
        <v>31770</v>
      </c>
      <c r="AB463" s="128">
        <f t="shared" si="503"/>
        <v>28240</v>
      </c>
      <c r="AC463" s="129">
        <f t="shared" si="504"/>
        <v>643790</v>
      </c>
      <c r="AD463" s="619">
        <f t="shared" si="438"/>
        <v>2885810</v>
      </c>
    </row>
    <row r="464" spans="1:30" s="24" customFormat="1" ht="17.25" hidden="1" customHeight="1">
      <c r="A464" s="1150"/>
      <c r="B464" s="119"/>
      <c r="C464" s="120"/>
      <c r="D464" s="120"/>
      <c r="E464" s="124" t="s">
        <v>459</v>
      </c>
      <c r="F464" s="126">
        <f>F463</f>
        <v>1734000</v>
      </c>
      <c r="G464" s="126"/>
      <c r="H464" s="126"/>
      <c r="I464" s="126"/>
      <c r="J464" s="126"/>
      <c r="K464" s="126"/>
      <c r="L464" s="126"/>
      <c r="M464" s="126"/>
      <c r="N464" s="126"/>
      <c r="O464" s="126">
        <f t="shared" si="505"/>
        <v>0</v>
      </c>
      <c r="P464" s="126"/>
      <c r="Q464" s="126">
        <f t="shared" si="506"/>
        <v>13880</v>
      </c>
      <c r="R464" s="126">
        <f>Q464*40</f>
        <v>555200</v>
      </c>
      <c r="S464" s="126"/>
      <c r="T464" s="127">
        <v>200000</v>
      </c>
      <c r="U464" s="122">
        <f t="shared" si="507"/>
        <v>2489200</v>
      </c>
      <c r="V464" s="333"/>
      <c r="W464" s="338">
        <f t="shared" ref="W464:W473" si="508">ROUNDUP(U464*1/12,-1)</f>
        <v>207440</v>
      </c>
      <c r="X464" s="128">
        <f t="shared" si="499"/>
        <v>112010</v>
      </c>
      <c r="Y464" s="128">
        <f t="shared" si="500"/>
        <v>75550</v>
      </c>
      <c r="Z464" s="128">
        <f t="shared" si="501"/>
        <v>4950</v>
      </c>
      <c r="AA464" s="128">
        <f t="shared" si="502"/>
        <v>22400</v>
      </c>
      <c r="AB464" s="128">
        <f t="shared" si="503"/>
        <v>19910</v>
      </c>
      <c r="AC464" s="129">
        <f t="shared" si="504"/>
        <v>442260</v>
      </c>
      <c r="AD464" s="619">
        <f t="shared" si="438"/>
        <v>2046940</v>
      </c>
    </row>
    <row r="465" spans="1:30" s="24" customFormat="1" ht="17.25" hidden="1" customHeight="1">
      <c r="A465" s="1150"/>
      <c r="B465" s="119"/>
      <c r="C465" s="120">
        <v>5</v>
      </c>
      <c r="D465" s="120"/>
      <c r="E465" s="124" t="s">
        <v>460</v>
      </c>
      <c r="F465" s="591">
        <v>1785000</v>
      </c>
      <c r="G465" s="126"/>
      <c r="H465" s="126"/>
      <c r="I465" s="126"/>
      <c r="J465" s="126"/>
      <c r="K465" s="126"/>
      <c r="L465" s="126"/>
      <c r="M465" s="126"/>
      <c r="N465" s="126"/>
      <c r="O465" s="126">
        <f t="shared" si="505"/>
        <v>0</v>
      </c>
      <c r="P465" s="126"/>
      <c r="Q465" s="126">
        <f t="shared" si="506"/>
        <v>13880</v>
      </c>
      <c r="R465" s="126">
        <f>Q465*40</f>
        <v>555200</v>
      </c>
      <c r="S465" s="126"/>
      <c r="T465" s="127">
        <v>200000</v>
      </c>
      <c r="U465" s="122">
        <f t="shared" si="507"/>
        <v>2540200</v>
      </c>
      <c r="V465" s="333"/>
      <c r="W465" s="338">
        <f t="shared" si="508"/>
        <v>211690</v>
      </c>
      <c r="X465" s="128">
        <f t="shared" si="499"/>
        <v>114310</v>
      </c>
      <c r="Y465" s="128">
        <f t="shared" si="500"/>
        <v>77100</v>
      </c>
      <c r="Z465" s="128">
        <f t="shared" si="501"/>
        <v>5060</v>
      </c>
      <c r="AA465" s="128">
        <f t="shared" si="502"/>
        <v>22860</v>
      </c>
      <c r="AB465" s="128">
        <f t="shared" si="503"/>
        <v>20320</v>
      </c>
      <c r="AC465" s="129">
        <f t="shared" si="504"/>
        <v>451340</v>
      </c>
      <c r="AD465" s="619">
        <f t="shared" si="438"/>
        <v>2088860</v>
      </c>
    </row>
    <row r="466" spans="1:30" s="24" customFormat="1" ht="17.25" hidden="1" customHeight="1">
      <c r="A466" s="1150"/>
      <c r="B466" s="119"/>
      <c r="C466" s="120"/>
      <c r="D466" s="120"/>
      <c r="E466" s="124" t="s">
        <v>461</v>
      </c>
      <c r="F466" s="126">
        <f>F465</f>
        <v>1785000</v>
      </c>
      <c r="G466" s="126"/>
      <c r="H466" s="126"/>
      <c r="I466" s="126"/>
      <c r="J466" s="126"/>
      <c r="K466" s="126"/>
      <c r="L466" s="126"/>
      <c r="M466" s="126"/>
      <c r="N466" s="126"/>
      <c r="O466" s="126">
        <f t="shared" si="505"/>
        <v>0</v>
      </c>
      <c r="P466" s="126"/>
      <c r="Q466" s="126">
        <f t="shared" si="506"/>
        <v>14250</v>
      </c>
      <c r="R466" s="126">
        <f t="shared" ref="R466:R472" si="509">Q466*40</f>
        <v>570000</v>
      </c>
      <c r="S466" s="126"/>
      <c r="T466" s="127">
        <f t="shared" ref="T466:T473" si="510">T465</f>
        <v>200000</v>
      </c>
      <c r="U466" s="122">
        <f t="shared" si="507"/>
        <v>2555000</v>
      </c>
      <c r="V466" s="333"/>
      <c r="W466" s="338">
        <f t="shared" si="508"/>
        <v>212920</v>
      </c>
      <c r="X466" s="128">
        <f t="shared" si="499"/>
        <v>114980</v>
      </c>
      <c r="Y466" s="128">
        <f t="shared" si="500"/>
        <v>77550</v>
      </c>
      <c r="Z466" s="128">
        <f t="shared" si="501"/>
        <v>5080</v>
      </c>
      <c r="AA466" s="128">
        <f t="shared" si="502"/>
        <v>23000</v>
      </c>
      <c r="AB466" s="128">
        <f t="shared" si="503"/>
        <v>20440</v>
      </c>
      <c r="AC466" s="129">
        <f t="shared" si="504"/>
        <v>453970</v>
      </c>
      <c r="AD466" s="619">
        <f t="shared" si="438"/>
        <v>2101030</v>
      </c>
    </row>
    <row r="467" spans="1:30" s="24" customFormat="1" ht="17.25" hidden="1" customHeight="1">
      <c r="A467" s="1150"/>
      <c r="B467" s="119"/>
      <c r="C467" s="120"/>
      <c r="D467" s="120"/>
      <c r="E467" s="124" t="s">
        <v>462</v>
      </c>
      <c r="F467" s="126">
        <f>F466</f>
        <v>1785000</v>
      </c>
      <c r="G467" s="126"/>
      <c r="H467" s="126"/>
      <c r="I467" s="126"/>
      <c r="J467" s="126"/>
      <c r="K467" s="126"/>
      <c r="L467" s="126"/>
      <c r="M467" s="126"/>
      <c r="N467" s="126"/>
      <c r="O467" s="126">
        <f t="shared" si="505"/>
        <v>0</v>
      </c>
      <c r="P467" s="126"/>
      <c r="Q467" s="126">
        <f t="shared" si="506"/>
        <v>14250</v>
      </c>
      <c r="R467" s="126">
        <f t="shared" si="509"/>
        <v>570000</v>
      </c>
      <c r="S467" s="126"/>
      <c r="T467" s="127">
        <f t="shared" si="510"/>
        <v>200000</v>
      </c>
      <c r="U467" s="122">
        <f t="shared" si="507"/>
        <v>2555000</v>
      </c>
      <c r="V467" s="333"/>
      <c r="W467" s="338">
        <f t="shared" si="508"/>
        <v>212920</v>
      </c>
      <c r="X467" s="128">
        <f t="shared" si="499"/>
        <v>114980</v>
      </c>
      <c r="Y467" s="128">
        <f t="shared" si="500"/>
        <v>77550</v>
      </c>
      <c r="Z467" s="128">
        <f t="shared" si="501"/>
        <v>5080</v>
      </c>
      <c r="AA467" s="128">
        <f t="shared" si="502"/>
        <v>23000</v>
      </c>
      <c r="AB467" s="128">
        <f t="shared" si="503"/>
        <v>20440</v>
      </c>
      <c r="AC467" s="129">
        <f t="shared" si="504"/>
        <v>453970</v>
      </c>
      <c r="AD467" s="619">
        <f t="shared" si="438"/>
        <v>2101030</v>
      </c>
    </row>
    <row r="468" spans="1:30" s="24" customFormat="1" ht="17.25" hidden="1" customHeight="1">
      <c r="A468" s="1150"/>
      <c r="B468" s="119"/>
      <c r="C468" s="120"/>
      <c r="D468" s="120"/>
      <c r="E468" s="124" t="s">
        <v>330</v>
      </c>
      <c r="F468" s="126">
        <f t="shared" ref="F468:F473" si="511">F467</f>
        <v>1785000</v>
      </c>
      <c r="G468" s="126"/>
      <c r="H468" s="125"/>
      <c r="I468" s="127"/>
      <c r="J468" s="126"/>
      <c r="K468" s="126"/>
      <c r="L468" s="126"/>
      <c r="M468" s="126"/>
      <c r="N468" s="126"/>
      <c r="O468" s="126">
        <f t="shared" si="505"/>
        <v>0</v>
      </c>
      <c r="P468" s="126"/>
      <c r="Q468" s="126">
        <f t="shared" si="506"/>
        <v>14250</v>
      </c>
      <c r="R468" s="126">
        <f t="shared" si="509"/>
        <v>570000</v>
      </c>
      <c r="S468" s="126"/>
      <c r="T468" s="127">
        <f t="shared" si="510"/>
        <v>200000</v>
      </c>
      <c r="U468" s="122">
        <f t="shared" si="507"/>
        <v>2555000</v>
      </c>
      <c r="V468" s="333"/>
      <c r="W468" s="338">
        <f t="shared" si="508"/>
        <v>212920</v>
      </c>
      <c r="X468" s="128">
        <f t="shared" si="499"/>
        <v>114980</v>
      </c>
      <c r="Y468" s="128">
        <f t="shared" si="500"/>
        <v>77550</v>
      </c>
      <c r="Z468" s="128">
        <f t="shared" si="501"/>
        <v>5080</v>
      </c>
      <c r="AA468" s="128">
        <f t="shared" si="502"/>
        <v>23000</v>
      </c>
      <c r="AB468" s="128">
        <f t="shared" si="503"/>
        <v>20440</v>
      </c>
      <c r="AC468" s="129">
        <f t="shared" si="504"/>
        <v>453970</v>
      </c>
      <c r="AD468" s="619">
        <f t="shared" si="438"/>
        <v>2101030</v>
      </c>
    </row>
    <row r="469" spans="1:30" s="24" customFormat="1" ht="17.25" hidden="1" customHeight="1">
      <c r="A469" s="1150"/>
      <c r="B469" s="119"/>
      <c r="C469" s="120"/>
      <c r="D469" s="120"/>
      <c r="E469" s="124" t="s">
        <v>331</v>
      </c>
      <c r="F469" s="126">
        <f t="shared" si="511"/>
        <v>1785000</v>
      </c>
      <c r="G469" s="126"/>
      <c r="H469" s="126"/>
      <c r="I469" s="126"/>
      <c r="J469" s="126"/>
      <c r="K469" s="126"/>
      <c r="L469" s="126"/>
      <c r="M469" s="126"/>
      <c r="N469" s="126"/>
      <c r="O469" s="126">
        <f t="shared" si="505"/>
        <v>0</v>
      </c>
      <c r="P469" s="126"/>
      <c r="Q469" s="126">
        <f t="shared" si="506"/>
        <v>14250</v>
      </c>
      <c r="R469" s="126">
        <f t="shared" si="509"/>
        <v>570000</v>
      </c>
      <c r="S469" s="126"/>
      <c r="T469" s="127">
        <f t="shared" si="510"/>
        <v>200000</v>
      </c>
      <c r="U469" s="122">
        <f t="shared" si="507"/>
        <v>2555000</v>
      </c>
      <c r="V469" s="333"/>
      <c r="W469" s="338">
        <f t="shared" si="508"/>
        <v>212920</v>
      </c>
      <c r="X469" s="128">
        <f t="shared" si="499"/>
        <v>114980</v>
      </c>
      <c r="Y469" s="128">
        <f t="shared" si="500"/>
        <v>77550</v>
      </c>
      <c r="Z469" s="128">
        <f t="shared" si="501"/>
        <v>5080</v>
      </c>
      <c r="AA469" s="128">
        <f t="shared" si="502"/>
        <v>23000</v>
      </c>
      <c r="AB469" s="128">
        <f t="shared" si="503"/>
        <v>20440</v>
      </c>
      <c r="AC469" s="129">
        <f t="shared" si="504"/>
        <v>453970</v>
      </c>
      <c r="AD469" s="619">
        <f t="shared" ref="AD469:AD512" si="512">U469-AC469</f>
        <v>2101030</v>
      </c>
    </row>
    <row r="470" spans="1:30" s="24" customFormat="1" ht="17.25" hidden="1" customHeight="1">
      <c r="A470" s="1150"/>
      <c r="B470" s="119"/>
      <c r="C470" s="120"/>
      <c r="D470" s="120"/>
      <c r="E470" s="124" t="s">
        <v>62</v>
      </c>
      <c r="F470" s="126">
        <f t="shared" si="511"/>
        <v>1785000</v>
      </c>
      <c r="G470" s="126"/>
      <c r="H470" s="126"/>
      <c r="I470" s="126"/>
      <c r="J470" s="126"/>
      <c r="K470" s="126"/>
      <c r="L470" s="126"/>
      <c r="M470" s="126">
        <f>F470*60%</f>
        <v>1071000</v>
      </c>
      <c r="N470" s="126"/>
      <c r="O470" s="126">
        <f t="shared" si="505"/>
        <v>0</v>
      </c>
      <c r="P470" s="126"/>
      <c r="Q470" s="126">
        <f t="shared" si="506"/>
        <v>14250</v>
      </c>
      <c r="R470" s="126">
        <f t="shared" si="509"/>
        <v>570000</v>
      </c>
      <c r="S470" s="126"/>
      <c r="T470" s="127">
        <f t="shared" si="510"/>
        <v>200000</v>
      </c>
      <c r="U470" s="122">
        <f t="shared" si="507"/>
        <v>3626000</v>
      </c>
      <c r="V470" s="333"/>
      <c r="W470" s="338">
        <f t="shared" si="508"/>
        <v>302170</v>
      </c>
      <c r="X470" s="128">
        <f t="shared" si="499"/>
        <v>163170</v>
      </c>
      <c r="Y470" s="128">
        <f t="shared" si="500"/>
        <v>110050</v>
      </c>
      <c r="Z470" s="128">
        <f t="shared" si="501"/>
        <v>7210</v>
      </c>
      <c r="AA470" s="128">
        <f t="shared" si="502"/>
        <v>32630</v>
      </c>
      <c r="AB470" s="128">
        <f t="shared" si="503"/>
        <v>29010</v>
      </c>
      <c r="AC470" s="129">
        <f t="shared" si="504"/>
        <v>644240</v>
      </c>
      <c r="AD470" s="619">
        <f t="shared" si="512"/>
        <v>2981760</v>
      </c>
    </row>
    <row r="471" spans="1:30" s="24" customFormat="1" ht="17.25" hidden="1" customHeight="1">
      <c r="A471" s="1150"/>
      <c r="B471" s="119"/>
      <c r="C471" s="120"/>
      <c r="D471" s="120"/>
      <c r="E471" s="124" t="s">
        <v>63</v>
      </c>
      <c r="F471" s="126">
        <f t="shared" si="511"/>
        <v>1785000</v>
      </c>
      <c r="G471" s="126"/>
      <c r="H471" s="126"/>
      <c r="I471" s="126"/>
      <c r="J471" s="126"/>
      <c r="K471" s="126"/>
      <c r="L471" s="126"/>
      <c r="M471" s="126"/>
      <c r="N471" s="126"/>
      <c r="O471" s="126">
        <f t="shared" si="505"/>
        <v>0</v>
      </c>
      <c r="P471" s="126"/>
      <c r="Q471" s="126">
        <f t="shared" si="506"/>
        <v>14250</v>
      </c>
      <c r="R471" s="126">
        <f t="shared" si="509"/>
        <v>570000</v>
      </c>
      <c r="S471" s="126"/>
      <c r="T471" s="127">
        <f t="shared" si="510"/>
        <v>200000</v>
      </c>
      <c r="U471" s="122">
        <f t="shared" si="507"/>
        <v>2555000</v>
      </c>
      <c r="V471" s="333"/>
      <c r="W471" s="338">
        <f t="shared" si="508"/>
        <v>212920</v>
      </c>
      <c r="X471" s="128">
        <f t="shared" si="499"/>
        <v>114980</v>
      </c>
      <c r="Y471" s="128">
        <f t="shared" si="500"/>
        <v>77550</v>
      </c>
      <c r="Z471" s="128">
        <f t="shared" si="501"/>
        <v>5080</v>
      </c>
      <c r="AA471" s="128">
        <f t="shared" si="502"/>
        <v>23000</v>
      </c>
      <c r="AB471" s="128">
        <f t="shared" si="503"/>
        <v>20440</v>
      </c>
      <c r="AC471" s="129">
        <f t="shared" si="504"/>
        <v>453970</v>
      </c>
      <c r="AD471" s="619">
        <f t="shared" si="512"/>
        <v>2101030</v>
      </c>
    </row>
    <row r="472" spans="1:30" s="24" customFormat="1" ht="17.25" hidden="1" customHeight="1">
      <c r="A472" s="1150"/>
      <c r="B472" s="119"/>
      <c r="C472" s="120"/>
      <c r="D472" s="120"/>
      <c r="E472" s="124" t="s">
        <v>64</v>
      </c>
      <c r="F472" s="126">
        <f t="shared" si="511"/>
        <v>1785000</v>
      </c>
      <c r="G472" s="126"/>
      <c r="H472" s="126"/>
      <c r="I472" s="126"/>
      <c r="J472" s="126"/>
      <c r="K472" s="126"/>
      <c r="L472" s="126"/>
      <c r="M472" s="126"/>
      <c r="N472" s="126"/>
      <c r="O472" s="126">
        <f t="shared" si="505"/>
        <v>0</v>
      </c>
      <c r="P472" s="126"/>
      <c r="Q472" s="126">
        <f t="shared" si="506"/>
        <v>14250</v>
      </c>
      <c r="R472" s="126">
        <f t="shared" si="509"/>
        <v>570000</v>
      </c>
      <c r="S472" s="126"/>
      <c r="T472" s="127">
        <f t="shared" si="510"/>
        <v>200000</v>
      </c>
      <c r="U472" s="122">
        <f t="shared" si="507"/>
        <v>2555000</v>
      </c>
      <c r="V472" s="333"/>
      <c r="W472" s="338">
        <f t="shared" si="508"/>
        <v>212920</v>
      </c>
      <c r="X472" s="128">
        <f t="shared" si="499"/>
        <v>114980</v>
      </c>
      <c r="Y472" s="128">
        <f t="shared" si="500"/>
        <v>77550</v>
      </c>
      <c r="Z472" s="128">
        <f t="shared" si="501"/>
        <v>5080</v>
      </c>
      <c r="AA472" s="128">
        <f t="shared" si="502"/>
        <v>23000</v>
      </c>
      <c r="AB472" s="128">
        <f t="shared" si="503"/>
        <v>20440</v>
      </c>
      <c r="AC472" s="129">
        <f t="shared" si="504"/>
        <v>453970</v>
      </c>
      <c r="AD472" s="619">
        <f t="shared" si="512"/>
        <v>2101030</v>
      </c>
    </row>
    <row r="473" spans="1:30" s="24" customFormat="1" ht="17.25" hidden="1" customHeight="1">
      <c r="A473" s="1150"/>
      <c r="B473" s="119"/>
      <c r="C473" s="120"/>
      <c r="D473" s="120"/>
      <c r="E473" s="124" t="s">
        <v>463</v>
      </c>
      <c r="F473" s="126">
        <f t="shared" si="511"/>
        <v>1785000</v>
      </c>
      <c r="G473" s="126"/>
      <c r="H473" s="126"/>
      <c r="I473" s="126"/>
      <c r="J473" s="126"/>
      <c r="K473" s="126"/>
      <c r="L473" s="126"/>
      <c r="M473" s="126"/>
      <c r="N473" s="126"/>
      <c r="O473" s="126">
        <f t="shared" si="505"/>
        <v>0</v>
      </c>
      <c r="P473" s="126"/>
      <c r="Q473" s="126">
        <f t="shared" si="506"/>
        <v>14250</v>
      </c>
      <c r="R473" s="126">
        <f>Q473*40*2</f>
        <v>1140000</v>
      </c>
      <c r="S473" s="126"/>
      <c r="T473" s="127">
        <f t="shared" si="510"/>
        <v>200000</v>
      </c>
      <c r="U473" s="122">
        <f t="shared" si="507"/>
        <v>3125000</v>
      </c>
      <c r="V473" s="333"/>
      <c r="W473" s="338">
        <f t="shared" si="508"/>
        <v>260420</v>
      </c>
      <c r="X473" s="128">
        <f t="shared" si="499"/>
        <v>140630</v>
      </c>
      <c r="Y473" s="128">
        <f t="shared" si="500"/>
        <v>94850</v>
      </c>
      <c r="Z473" s="128">
        <f t="shared" si="501"/>
        <v>6220</v>
      </c>
      <c r="AA473" s="128">
        <f t="shared" si="502"/>
        <v>28130</v>
      </c>
      <c r="AB473" s="128">
        <f t="shared" si="503"/>
        <v>25000</v>
      </c>
      <c r="AC473" s="129">
        <f t="shared" si="504"/>
        <v>555250</v>
      </c>
      <c r="AD473" s="619">
        <f t="shared" si="512"/>
        <v>2569750</v>
      </c>
    </row>
    <row r="474" spans="1:30" s="24" customFormat="1" ht="16.5" hidden="1" customHeight="1">
      <c r="A474" s="1150">
        <v>37</v>
      </c>
      <c r="B474" s="119" t="s">
        <v>95</v>
      </c>
      <c r="C474" s="120" t="s">
        <v>664</v>
      </c>
      <c r="D474" s="120">
        <v>1</v>
      </c>
      <c r="E474" s="121" t="s">
        <v>94</v>
      </c>
      <c r="F474" s="122">
        <f t="shared" ref="F474:L474" si="513">SUM(F475:F486)</f>
        <v>21114000</v>
      </c>
      <c r="G474" s="122">
        <f t="shared" si="513"/>
        <v>0</v>
      </c>
      <c r="H474" s="122">
        <f t="shared" si="513"/>
        <v>0</v>
      </c>
      <c r="I474" s="122">
        <f t="shared" si="513"/>
        <v>0</v>
      </c>
      <c r="J474" s="122">
        <f t="shared" si="513"/>
        <v>0</v>
      </c>
      <c r="K474" s="122">
        <f t="shared" si="513"/>
        <v>0</v>
      </c>
      <c r="L474" s="122">
        <f t="shared" si="513"/>
        <v>0</v>
      </c>
      <c r="M474" s="122">
        <f>SUM(M475:M486)</f>
        <v>2111400</v>
      </c>
      <c r="N474" s="122">
        <f>SUM(N475:N486)</f>
        <v>0</v>
      </c>
      <c r="O474" s="122">
        <f>SUM(O475:O486)</f>
        <v>0</v>
      </c>
      <c r="P474" s="122"/>
      <c r="Q474" s="122"/>
      <c r="R474" s="122">
        <f>SUM(R475:R486)</f>
        <v>6751200</v>
      </c>
      <c r="S474" s="122">
        <f>SUM(S475:S486)</f>
        <v>0</v>
      </c>
      <c r="T474" s="122">
        <f>SUM(T475:T486)</f>
        <v>2400000</v>
      </c>
      <c r="U474" s="122">
        <f>SUM(U475:U486)</f>
        <v>32376600</v>
      </c>
      <c r="V474" s="333"/>
      <c r="W474" s="350">
        <f t="shared" ref="W474:AB474" si="514">SUM(W475:W486)</f>
        <v>2714770</v>
      </c>
      <c r="X474" s="122">
        <f t="shared" si="514"/>
        <v>1456950</v>
      </c>
      <c r="Y474" s="122">
        <f t="shared" si="514"/>
        <v>982680</v>
      </c>
      <c r="Z474" s="122">
        <f t="shared" si="514"/>
        <v>64400</v>
      </c>
      <c r="AA474" s="122">
        <f t="shared" si="514"/>
        <v>291400</v>
      </c>
      <c r="AB474" s="122">
        <f t="shared" si="514"/>
        <v>259000</v>
      </c>
      <c r="AC474" s="123">
        <f>SUM(AC475:AC486)</f>
        <v>5769200</v>
      </c>
      <c r="AD474" s="618">
        <f t="shared" si="512"/>
        <v>26607400</v>
      </c>
    </row>
    <row r="475" spans="1:30" s="24" customFormat="1" ht="17.25" hidden="1" customHeight="1">
      <c r="A475" s="1150"/>
      <c r="B475" s="119" t="s">
        <v>657</v>
      </c>
      <c r="C475" s="120">
        <v>4</v>
      </c>
      <c r="D475" s="120"/>
      <c r="E475" s="124" t="s">
        <v>457</v>
      </c>
      <c r="F475" s="125">
        <v>1734000</v>
      </c>
      <c r="G475" s="126"/>
      <c r="H475" s="125"/>
      <c r="I475" s="125"/>
      <c r="J475" s="126"/>
      <c r="K475" s="126"/>
      <c r="L475" s="126"/>
      <c r="M475" s="126"/>
      <c r="N475" s="126"/>
      <c r="O475" s="126"/>
      <c r="P475" s="126"/>
      <c r="Q475" s="126"/>
      <c r="R475" s="126"/>
      <c r="S475" s="126"/>
      <c r="T475" s="127">
        <v>200000</v>
      </c>
      <c r="U475" s="122">
        <f>SUM(F475,M475,O475,R475,T475)</f>
        <v>1934000</v>
      </c>
      <c r="V475" s="333"/>
      <c r="W475" s="338">
        <f>ROUNDUP(U475*1/12,-1)</f>
        <v>161170</v>
      </c>
      <c r="X475" s="128">
        <f t="shared" ref="X475:X486" si="515">ROUND(U475*4.5%,-1)</f>
        <v>87030</v>
      </c>
      <c r="Y475" s="128">
        <f t="shared" ref="Y475:Y486" si="516">ROUNDUP((U475-L475)*3.035%,-1)</f>
        <v>58700</v>
      </c>
      <c r="Z475" s="128">
        <f>ROUNDUP(Y475*6.55%,-1)</f>
        <v>3850</v>
      </c>
      <c r="AA475" s="128">
        <f t="shared" ref="AA475:AA486" si="517">ROUND(U475*0.9%,-1)</f>
        <v>17410</v>
      </c>
      <c r="AB475" s="128">
        <f t="shared" ref="AB475:AB486" si="518">ROUND(U475*0.8%,-1)</f>
        <v>15470</v>
      </c>
      <c r="AC475" s="129">
        <f t="shared" ref="AC475:AC486" si="519">SUM(W475:AB475)</f>
        <v>343630</v>
      </c>
      <c r="AD475" s="619">
        <f t="shared" si="512"/>
        <v>1590370</v>
      </c>
    </row>
    <row r="476" spans="1:30" s="24" customFormat="1" ht="16.5" hidden="1" customHeight="1">
      <c r="A476" s="1150"/>
      <c r="B476" s="119"/>
      <c r="C476" s="120"/>
      <c r="D476" s="120"/>
      <c r="E476" s="124" t="s">
        <v>458</v>
      </c>
      <c r="F476" s="126">
        <f>F475</f>
        <v>1734000</v>
      </c>
      <c r="G476" s="126"/>
      <c r="H476" s="126"/>
      <c r="I476" s="126"/>
      <c r="J476" s="126"/>
      <c r="K476" s="126"/>
      <c r="L476" s="126"/>
      <c r="M476" s="126">
        <f>F476*60%</f>
        <v>1040400</v>
      </c>
      <c r="N476" s="126"/>
      <c r="O476" s="126">
        <f t="shared" ref="O476:O486" si="520">O475</f>
        <v>0</v>
      </c>
      <c r="P476" s="126"/>
      <c r="Q476" s="126">
        <f t="shared" ref="Q476:Q486" si="521">ROUND((F475+T475)*1/209*1.5,-1)</f>
        <v>13880</v>
      </c>
      <c r="R476" s="126">
        <f>Q476*40</f>
        <v>555200</v>
      </c>
      <c r="S476" s="126"/>
      <c r="T476" s="127">
        <v>200000</v>
      </c>
      <c r="U476" s="122">
        <f t="shared" ref="U476:U486" si="522">SUM(F476,M476,O476,R476,T476)</f>
        <v>3529600</v>
      </c>
      <c r="V476" s="333"/>
      <c r="W476" s="338">
        <f>ROUNDUP((T476+U476)*1/12,-1)</f>
        <v>310800</v>
      </c>
      <c r="X476" s="128">
        <f t="shared" si="515"/>
        <v>158830</v>
      </c>
      <c r="Y476" s="128">
        <f t="shared" si="516"/>
        <v>107130</v>
      </c>
      <c r="Z476" s="128">
        <f t="shared" ref="Z476:Z486" si="523">ROUNDUP(Y476*6.55%,-1)</f>
        <v>7020</v>
      </c>
      <c r="AA476" s="128">
        <f t="shared" si="517"/>
        <v>31770</v>
      </c>
      <c r="AB476" s="128">
        <f t="shared" si="518"/>
        <v>28240</v>
      </c>
      <c r="AC476" s="129">
        <f t="shared" si="519"/>
        <v>643790</v>
      </c>
      <c r="AD476" s="619">
        <f t="shared" si="512"/>
        <v>2885810</v>
      </c>
    </row>
    <row r="477" spans="1:30" s="24" customFormat="1" ht="16.5" hidden="1" customHeight="1">
      <c r="A477" s="1150"/>
      <c r="B477" s="119"/>
      <c r="C477" s="120"/>
      <c r="D477" s="120"/>
      <c r="E477" s="124" t="s">
        <v>459</v>
      </c>
      <c r="F477" s="126">
        <f>F476</f>
        <v>1734000</v>
      </c>
      <c r="G477" s="126"/>
      <c r="H477" s="126"/>
      <c r="I477" s="126"/>
      <c r="J477" s="126"/>
      <c r="K477" s="126"/>
      <c r="L477" s="126"/>
      <c r="M477" s="126"/>
      <c r="N477" s="126"/>
      <c r="O477" s="126">
        <f t="shared" si="520"/>
        <v>0</v>
      </c>
      <c r="P477" s="126"/>
      <c r="Q477" s="126">
        <f t="shared" si="521"/>
        <v>13880</v>
      </c>
      <c r="R477" s="126">
        <f>Q477*40</f>
        <v>555200</v>
      </c>
      <c r="S477" s="126"/>
      <c r="T477" s="127">
        <v>200000</v>
      </c>
      <c r="U477" s="122">
        <f t="shared" si="522"/>
        <v>2489200</v>
      </c>
      <c r="V477" s="333"/>
      <c r="W477" s="338">
        <f t="shared" ref="W477:W486" si="524">ROUNDUP(U477*1/12,-1)</f>
        <v>207440</v>
      </c>
      <c r="X477" s="128">
        <f t="shared" si="515"/>
        <v>112010</v>
      </c>
      <c r="Y477" s="128">
        <f t="shared" si="516"/>
        <v>75550</v>
      </c>
      <c r="Z477" s="128">
        <f t="shared" si="523"/>
        <v>4950</v>
      </c>
      <c r="AA477" s="128">
        <f t="shared" si="517"/>
        <v>22400</v>
      </c>
      <c r="AB477" s="128">
        <f t="shared" si="518"/>
        <v>19910</v>
      </c>
      <c r="AC477" s="129">
        <f t="shared" si="519"/>
        <v>442260</v>
      </c>
      <c r="AD477" s="619">
        <f t="shared" si="512"/>
        <v>2046940</v>
      </c>
    </row>
    <row r="478" spans="1:30" s="24" customFormat="1" ht="18" hidden="1" customHeight="1">
      <c r="A478" s="1150"/>
      <c r="B478" s="119"/>
      <c r="C478" s="120"/>
      <c r="D478" s="120"/>
      <c r="E478" s="124" t="s">
        <v>460</v>
      </c>
      <c r="F478" s="126">
        <f>F477</f>
        <v>1734000</v>
      </c>
      <c r="G478" s="126"/>
      <c r="H478" s="126"/>
      <c r="I478" s="126"/>
      <c r="J478" s="126"/>
      <c r="K478" s="126"/>
      <c r="L478" s="126"/>
      <c r="M478" s="126"/>
      <c r="N478" s="126"/>
      <c r="O478" s="126">
        <f t="shared" si="520"/>
        <v>0</v>
      </c>
      <c r="P478" s="126"/>
      <c r="Q478" s="126">
        <f t="shared" si="521"/>
        <v>13880</v>
      </c>
      <c r="R478" s="126">
        <f>Q478*40</f>
        <v>555200</v>
      </c>
      <c r="S478" s="126"/>
      <c r="T478" s="127">
        <v>200000</v>
      </c>
      <c r="U478" s="122">
        <f t="shared" si="522"/>
        <v>2489200</v>
      </c>
      <c r="V478" s="333"/>
      <c r="W478" s="338">
        <f t="shared" si="524"/>
        <v>207440</v>
      </c>
      <c r="X478" s="128">
        <f t="shared" si="515"/>
        <v>112010</v>
      </c>
      <c r="Y478" s="128">
        <f t="shared" si="516"/>
        <v>75550</v>
      </c>
      <c r="Z478" s="128">
        <f t="shared" si="523"/>
        <v>4950</v>
      </c>
      <c r="AA478" s="128">
        <f t="shared" si="517"/>
        <v>22400</v>
      </c>
      <c r="AB478" s="128">
        <f t="shared" si="518"/>
        <v>19910</v>
      </c>
      <c r="AC478" s="129">
        <f t="shared" si="519"/>
        <v>442260</v>
      </c>
      <c r="AD478" s="619">
        <f t="shared" si="512"/>
        <v>2046940</v>
      </c>
    </row>
    <row r="479" spans="1:30" s="24" customFormat="1" ht="18" hidden="1" customHeight="1">
      <c r="A479" s="1150"/>
      <c r="B479" s="119"/>
      <c r="C479" s="120"/>
      <c r="D479" s="120"/>
      <c r="E479" s="124" t="s">
        <v>461</v>
      </c>
      <c r="F479" s="126">
        <f>F478</f>
        <v>1734000</v>
      </c>
      <c r="G479" s="126"/>
      <c r="H479" s="126"/>
      <c r="I479" s="126"/>
      <c r="J479" s="126"/>
      <c r="K479" s="126"/>
      <c r="L479" s="126"/>
      <c r="M479" s="126"/>
      <c r="N479" s="126"/>
      <c r="O479" s="126">
        <f t="shared" si="520"/>
        <v>0</v>
      </c>
      <c r="P479" s="126"/>
      <c r="Q479" s="126">
        <f t="shared" si="521"/>
        <v>13880</v>
      </c>
      <c r="R479" s="126">
        <f t="shared" ref="R479:R485" si="525">Q479*40</f>
        <v>555200</v>
      </c>
      <c r="S479" s="126"/>
      <c r="T479" s="127">
        <f t="shared" ref="T479:T486" si="526">T478</f>
        <v>200000</v>
      </c>
      <c r="U479" s="122">
        <f t="shared" si="522"/>
        <v>2489200</v>
      </c>
      <c r="V479" s="333"/>
      <c r="W479" s="338">
        <f t="shared" si="524"/>
        <v>207440</v>
      </c>
      <c r="X479" s="128">
        <f t="shared" si="515"/>
        <v>112010</v>
      </c>
      <c r="Y479" s="128">
        <f t="shared" si="516"/>
        <v>75550</v>
      </c>
      <c r="Z479" s="128">
        <f t="shared" si="523"/>
        <v>4950</v>
      </c>
      <c r="AA479" s="128">
        <f t="shared" si="517"/>
        <v>22400</v>
      </c>
      <c r="AB479" s="128">
        <f t="shared" si="518"/>
        <v>19910</v>
      </c>
      <c r="AC479" s="129">
        <f t="shared" si="519"/>
        <v>442260</v>
      </c>
      <c r="AD479" s="619">
        <f t="shared" si="512"/>
        <v>2046940</v>
      </c>
    </row>
    <row r="480" spans="1:30" s="24" customFormat="1" ht="18" hidden="1" customHeight="1">
      <c r="A480" s="1150"/>
      <c r="B480" s="119"/>
      <c r="C480" s="120"/>
      <c r="D480" s="120"/>
      <c r="E480" s="124" t="s">
        <v>462</v>
      </c>
      <c r="F480" s="126">
        <f>F479</f>
        <v>1734000</v>
      </c>
      <c r="G480" s="126"/>
      <c r="H480" s="126"/>
      <c r="I480" s="126"/>
      <c r="J480" s="126"/>
      <c r="K480" s="126"/>
      <c r="L480" s="126"/>
      <c r="M480" s="126"/>
      <c r="N480" s="126"/>
      <c r="O480" s="126">
        <f t="shared" si="520"/>
        <v>0</v>
      </c>
      <c r="P480" s="126"/>
      <c r="Q480" s="126">
        <f t="shared" si="521"/>
        <v>13880</v>
      </c>
      <c r="R480" s="126">
        <f t="shared" si="525"/>
        <v>555200</v>
      </c>
      <c r="S480" s="126"/>
      <c r="T480" s="127">
        <f t="shared" si="526"/>
        <v>200000</v>
      </c>
      <c r="U480" s="122">
        <f t="shared" si="522"/>
        <v>2489200</v>
      </c>
      <c r="V480" s="333"/>
      <c r="W480" s="338">
        <f t="shared" si="524"/>
        <v>207440</v>
      </c>
      <c r="X480" s="128">
        <f t="shared" si="515"/>
        <v>112010</v>
      </c>
      <c r="Y480" s="128">
        <f t="shared" si="516"/>
        <v>75550</v>
      </c>
      <c r="Z480" s="128">
        <f t="shared" si="523"/>
        <v>4950</v>
      </c>
      <c r="AA480" s="128">
        <f t="shared" si="517"/>
        <v>22400</v>
      </c>
      <c r="AB480" s="128">
        <f t="shared" si="518"/>
        <v>19910</v>
      </c>
      <c r="AC480" s="129">
        <f t="shared" si="519"/>
        <v>442260</v>
      </c>
      <c r="AD480" s="619">
        <f t="shared" si="512"/>
        <v>2046940</v>
      </c>
    </row>
    <row r="481" spans="1:30" s="24" customFormat="1" ht="16.5" hidden="1" customHeight="1">
      <c r="A481" s="1150"/>
      <c r="B481" s="119"/>
      <c r="C481" s="120">
        <v>5</v>
      </c>
      <c r="D481" s="120"/>
      <c r="E481" s="124" t="s">
        <v>330</v>
      </c>
      <c r="F481" s="125">
        <v>1785000</v>
      </c>
      <c r="G481" s="126"/>
      <c r="H481" s="125"/>
      <c r="I481" s="127"/>
      <c r="J481" s="126"/>
      <c r="K481" s="126"/>
      <c r="L481" s="126"/>
      <c r="M481" s="126"/>
      <c r="N481" s="126"/>
      <c r="O481" s="126">
        <f t="shared" si="520"/>
        <v>0</v>
      </c>
      <c r="P481" s="126"/>
      <c r="Q481" s="126">
        <f t="shared" si="521"/>
        <v>13880</v>
      </c>
      <c r="R481" s="126">
        <f t="shared" si="525"/>
        <v>555200</v>
      </c>
      <c r="S481" s="126"/>
      <c r="T481" s="127">
        <f t="shared" si="526"/>
        <v>200000</v>
      </c>
      <c r="U481" s="122">
        <f t="shared" si="522"/>
        <v>2540200</v>
      </c>
      <c r="V481" s="333"/>
      <c r="W481" s="338">
        <f t="shared" si="524"/>
        <v>211690</v>
      </c>
      <c r="X481" s="128">
        <f t="shared" si="515"/>
        <v>114310</v>
      </c>
      <c r="Y481" s="128">
        <f t="shared" si="516"/>
        <v>77100</v>
      </c>
      <c r="Z481" s="128">
        <f t="shared" si="523"/>
        <v>5060</v>
      </c>
      <c r="AA481" s="128">
        <f t="shared" si="517"/>
        <v>22860</v>
      </c>
      <c r="AB481" s="128">
        <f t="shared" si="518"/>
        <v>20320</v>
      </c>
      <c r="AC481" s="129">
        <f t="shared" si="519"/>
        <v>451340</v>
      </c>
      <c r="AD481" s="619">
        <f t="shared" si="512"/>
        <v>2088860</v>
      </c>
    </row>
    <row r="482" spans="1:30" s="24" customFormat="1" ht="17.25" hidden="1" customHeight="1">
      <c r="A482" s="1150"/>
      <c r="B482" s="119"/>
      <c r="C482" s="120"/>
      <c r="D482" s="120"/>
      <c r="E482" s="124" t="s">
        <v>331</v>
      </c>
      <c r="F482" s="126">
        <f>F481</f>
        <v>1785000</v>
      </c>
      <c r="G482" s="126"/>
      <c r="H482" s="126"/>
      <c r="I482" s="126"/>
      <c r="J482" s="126"/>
      <c r="K482" s="126"/>
      <c r="L482" s="126"/>
      <c r="M482" s="126"/>
      <c r="N482" s="126"/>
      <c r="O482" s="126">
        <f t="shared" si="520"/>
        <v>0</v>
      </c>
      <c r="P482" s="126"/>
      <c r="Q482" s="126">
        <f t="shared" si="521"/>
        <v>14250</v>
      </c>
      <c r="R482" s="126">
        <f t="shared" si="525"/>
        <v>570000</v>
      </c>
      <c r="S482" s="126"/>
      <c r="T482" s="127">
        <f t="shared" si="526"/>
        <v>200000</v>
      </c>
      <c r="U482" s="122">
        <f t="shared" si="522"/>
        <v>2555000</v>
      </c>
      <c r="V482" s="333"/>
      <c r="W482" s="338">
        <f t="shared" si="524"/>
        <v>212920</v>
      </c>
      <c r="X482" s="128">
        <f t="shared" si="515"/>
        <v>114980</v>
      </c>
      <c r="Y482" s="128">
        <f t="shared" si="516"/>
        <v>77550</v>
      </c>
      <c r="Z482" s="128">
        <f t="shared" si="523"/>
        <v>5080</v>
      </c>
      <c r="AA482" s="128">
        <f t="shared" si="517"/>
        <v>23000</v>
      </c>
      <c r="AB482" s="128">
        <f t="shared" si="518"/>
        <v>20440</v>
      </c>
      <c r="AC482" s="129">
        <f t="shared" si="519"/>
        <v>453970</v>
      </c>
      <c r="AD482" s="619">
        <f t="shared" si="512"/>
        <v>2101030</v>
      </c>
    </row>
    <row r="483" spans="1:30" s="24" customFormat="1" ht="17.25" hidden="1" customHeight="1">
      <c r="A483" s="1150"/>
      <c r="B483" s="119"/>
      <c r="C483" s="120"/>
      <c r="D483" s="120"/>
      <c r="E483" s="124" t="s">
        <v>62</v>
      </c>
      <c r="F483" s="126">
        <f>F482</f>
        <v>1785000</v>
      </c>
      <c r="G483" s="126"/>
      <c r="H483" s="126"/>
      <c r="I483" s="126"/>
      <c r="J483" s="126"/>
      <c r="K483" s="126"/>
      <c r="L483" s="126"/>
      <c r="M483" s="126">
        <f>F483*60%</f>
        <v>1071000</v>
      </c>
      <c r="N483" s="126"/>
      <c r="O483" s="126">
        <f t="shared" si="520"/>
        <v>0</v>
      </c>
      <c r="P483" s="126"/>
      <c r="Q483" s="126">
        <f t="shared" si="521"/>
        <v>14250</v>
      </c>
      <c r="R483" s="126">
        <f t="shared" si="525"/>
        <v>570000</v>
      </c>
      <c r="S483" s="126"/>
      <c r="T483" s="127">
        <f t="shared" si="526"/>
        <v>200000</v>
      </c>
      <c r="U483" s="122">
        <f t="shared" si="522"/>
        <v>3626000</v>
      </c>
      <c r="V483" s="333"/>
      <c r="W483" s="338">
        <f t="shared" si="524"/>
        <v>302170</v>
      </c>
      <c r="X483" s="128">
        <f t="shared" si="515"/>
        <v>163170</v>
      </c>
      <c r="Y483" s="128">
        <f t="shared" si="516"/>
        <v>110050</v>
      </c>
      <c r="Z483" s="128">
        <f t="shared" si="523"/>
        <v>7210</v>
      </c>
      <c r="AA483" s="128">
        <f t="shared" si="517"/>
        <v>32630</v>
      </c>
      <c r="AB483" s="128">
        <f t="shared" si="518"/>
        <v>29010</v>
      </c>
      <c r="AC483" s="129">
        <f t="shared" si="519"/>
        <v>644240</v>
      </c>
      <c r="AD483" s="619">
        <f t="shared" si="512"/>
        <v>2981760</v>
      </c>
    </row>
    <row r="484" spans="1:30" s="24" customFormat="1" ht="17.25" hidden="1" customHeight="1">
      <c r="A484" s="1150"/>
      <c r="B484" s="119"/>
      <c r="C484" s="120"/>
      <c r="D484" s="120"/>
      <c r="E484" s="124" t="s">
        <v>63</v>
      </c>
      <c r="F484" s="126">
        <f>F483</f>
        <v>1785000</v>
      </c>
      <c r="G484" s="126"/>
      <c r="H484" s="126"/>
      <c r="I484" s="126"/>
      <c r="J484" s="126"/>
      <c r="K484" s="126"/>
      <c r="L484" s="126"/>
      <c r="M484" s="126"/>
      <c r="N484" s="126"/>
      <c r="O484" s="126">
        <f t="shared" si="520"/>
        <v>0</v>
      </c>
      <c r="P484" s="126"/>
      <c r="Q484" s="126">
        <f t="shared" si="521"/>
        <v>14250</v>
      </c>
      <c r="R484" s="126">
        <f t="shared" si="525"/>
        <v>570000</v>
      </c>
      <c r="S484" s="126"/>
      <c r="T484" s="127">
        <f t="shared" si="526"/>
        <v>200000</v>
      </c>
      <c r="U484" s="122">
        <f t="shared" si="522"/>
        <v>2555000</v>
      </c>
      <c r="V484" s="333"/>
      <c r="W484" s="338">
        <f t="shared" si="524"/>
        <v>212920</v>
      </c>
      <c r="X484" s="128">
        <f t="shared" si="515"/>
        <v>114980</v>
      </c>
      <c r="Y484" s="128">
        <f t="shared" si="516"/>
        <v>77550</v>
      </c>
      <c r="Z484" s="128">
        <f t="shared" si="523"/>
        <v>5080</v>
      </c>
      <c r="AA484" s="128">
        <f t="shared" si="517"/>
        <v>23000</v>
      </c>
      <c r="AB484" s="128">
        <f t="shared" si="518"/>
        <v>20440</v>
      </c>
      <c r="AC484" s="129">
        <f t="shared" si="519"/>
        <v>453970</v>
      </c>
      <c r="AD484" s="619">
        <f t="shared" si="512"/>
        <v>2101030</v>
      </c>
    </row>
    <row r="485" spans="1:30" s="24" customFormat="1" ht="16.5" hidden="1" customHeight="1">
      <c r="A485" s="1150"/>
      <c r="B485" s="119"/>
      <c r="C485" s="120"/>
      <c r="D485" s="120"/>
      <c r="E485" s="124" t="s">
        <v>64</v>
      </c>
      <c r="F485" s="126">
        <f>F484</f>
        <v>1785000</v>
      </c>
      <c r="G485" s="126"/>
      <c r="H485" s="126"/>
      <c r="I485" s="126"/>
      <c r="J485" s="126"/>
      <c r="K485" s="126"/>
      <c r="L485" s="126"/>
      <c r="M485" s="126"/>
      <c r="N485" s="126"/>
      <c r="O485" s="126">
        <f t="shared" si="520"/>
        <v>0</v>
      </c>
      <c r="P485" s="126"/>
      <c r="Q485" s="126">
        <f t="shared" si="521"/>
        <v>14250</v>
      </c>
      <c r="R485" s="126">
        <f t="shared" si="525"/>
        <v>570000</v>
      </c>
      <c r="S485" s="126"/>
      <c r="T485" s="127">
        <f t="shared" si="526"/>
        <v>200000</v>
      </c>
      <c r="U485" s="122">
        <f t="shared" si="522"/>
        <v>2555000</v>
      </c>
      <c r="V485" s="333"/>
      <c r="W485" s="338">
        <f t="shared" si="524"/>
        <v>212920</v>
      </c>
      <c r="X485" s="128">
        <f t="shared" si="515"/>
        <v>114980</v>
      </c>
      <c r="Y485" s="128">
        <f t="shared" si="516"/>
        <v>77550</v>
      </c>
      <c r="Z485" s="128">
        <f t="shared" si="523"/>
        <v>5080</v>
      </c>
      <c r="AA485" s="128">
        <f t="shared" si="517"/>
        <v>23000</v>
      </c>
      <c r="AB485" s="128">
        <f t="shared" si="518"/>
        <v>20440</v>
      </c>
      <c r="AC485" s="129">
        <f t="shared" si="519"/>
        <v>453970</v>
      </c>
      <c r="AD485" s="619">
        <f t="shared" si="512"/>
        <v>2101030</v>
      </c>
    </row>
    <row r="486" spans="1:30" s="24" customFormat="1" ht="16.5" hidden="1" customHeight="1">
      <c r="A486" s="1150"/>
      <c r="B486" s="119"/>
      <c r="C486" s="120"/>
      <c r="D486" s="120"/>
      <c r="E486" s="124" t="s">
        <v>463</v>
      </c>
      <c r="F486" s="126">
        <f>F485</f>
        <v>1785000</v>
      </c>
      <c r="G486" s="126"/>
      <c r="H486" s="126"/>
      <c r="I486" s="126"/>
      <c r="J486" s="126"/>
      <c r="K486" s="126"/>
      <c r="L486" s="126"/>
      <c r="M486" s="126"/>
      <c r="N486" s="126"/>
      <c r="O486" s="126">
        <f t="shared" si="520"/>
        <v>0</v>
      </c>
      <c r="P486" s="126"/>
      <c r="Q486" s="126">
        <f t="shared" si="521"/>
        <v>14250</v>
      </c>
      <c r="R486" s="126">
        <f>Q486*40*2</f>
        <v>1140000</v>
      </c>
      <c r="S486" s="126"/>
      <c r="T486" s="127">
        <f t="shared" si="526"/>
        <v>200000</v>
      </c>
      <c r="U486" s="122">
        <f t="shared" si="522"/>
        <v>3125000</v>
      </c>
      <c r="V486" s="333"/>
      <c r="W486" s="338">
        <f t="shared" si="524"/>
        <v>260420</v>
      </c>
      <c r="X486" s="128">
        <f t="shared" si="515"/>
        <v>140630</v>
      </c>
      <c r="Y486" s="128">
        <f t="shared" si="516"/>
        <v>94850</v>
      </c>
      <c r="Z486" s="128">
        <f t="shared" si="523"/>
        <v>6220</v>
      </c>
      <c r="AA486" s="128">
        <f t="shared" si="517"/>
        <v>28130</v>
      </c>
      <c r="AB486" s="128">
        <f t="shared" si="518"/>
        <v>25000</v>
      </c>
      <c r="AC486" s="129">
        <f t="shared" si="519"/>
        <v>555250</v>
      </c>
      <c r="AD486" s="619">
        <f t="shared" si="512"/>
        <v>2569750</v>
      </c>
    </row>
    <row r="487" spans="1:30" s="24" customFormat="1" ht="16.5" hidden="1" customHeight="1">
      <c r="A487" s="1150">
        <v>38</v>
      </c>
      <c r="B487" s="119" t="s">
        <v>95</v>
      </c>
      <c r="C487" s="120" t="s">
        <v>333</v>
      </c>
      <c r="D487" s="120">
        <v>1</v>
      </c>
      <c r="E487" s="121" t="s">
        <v>94</v>
      </c>
      <c r="F487" s="122">
        <f t="shared" ref="F487:L487" si="527">SUM(F488:F499)</f>
        <v>20384000</v>
      </c>
      <c r="G487" s="122">
        <f t="shared" si="527"/>
        <v>0</v>
      </c>
      <c r="H487" s="122">
        <f t="shared" si="527"/>
        <v>0</v>
      </c>
      <c r="I487" s="122">
        <f t="shared" si="527"/>
        <v>0</v>
      </c>
      <c r="J487" s="122">
        <f t="shared" si="527"/>
        <v>0</v>
      </c>
      <c r="K487" s="122">
        <f t="shared" si="527"/>
        <v>0</v>
      </c>
      <c r="L487" s="122">
        <f t="shared" si="527"/>
        <v>0</v>
      </c>
      <c r="M487" s="122">
        <f>SUM(M488:M499)</f>
        <v>2049000</v>
      </c>
      <c r="N487" s="122">
        <f>SUM(N488:N499)</f>
        <v>0</v>
      </c>
      <c r="O487" s="122">
        <f>SUM(O488:O499)</f>
        <v>240000</v>
      </c>
      <c r="P487" s="122"/>
      <c r="Q487" s="122"/>
      <c r="R487" s="122">
        <f>SUM(R488:R499)</f>
        <v>6540800</v>
      </c>
      <c r="S487" s="122">
        <f>SUM(S488:S499)</f>
        <v>0</v>
      </c>
      <c r="T487" s="122">
        <f>SUM(T488:T499)</f>
        <v>2400000</v>
      </c>
      <c r="U487" s="122">
        <f>SUM(U488:U499)</f>
        <v>31613800</v>
      </c>
      <c r="V487" s="333"/>
      <c r="W487" s="350">
        <f t="shared" ref="W487:AB487" si="528">SUM(W488:W499)</f>
        <v>2651190</v>
      </c>
      <c r="X487" s="122">
        <f t="shared" si="528"/>
        <v>1422650</v>
      </c>
      <c r="Y487" s="122">
        <f t="shared" si="528"/>
        <v>959540</v>
      </c>
      <c r="Z487" s="122">
        <f t="shared" si="528"/>
        <v>62910</v>
      </c>
      <c r="AA487" s="122">
        <f t="shared" si="528"/>
        <v>284530</v>
      </c>
      <c r="AB487" s="122">
        <f t="shared" si="528"/>
        <v>252930</v>
      </c>
      <c r="AC487" s="123">
        <f>SUM(AC488:AC499)</f>
        <v>5633750</v>
      </c>
      <c r="AD487" s="618">
        <f t="shared" si="512"/>
        <v>25980050</v>
      </c>
    </row>
    <row r="488" spans="1:30" s="24" customFormat="1" ht="17.25" hidden="1" customHeight="1">
      <c r="A488" s="1150"/>
      <c r="B488" s="119" t="s">
        <v>734</v>
      </c>
      <c r="C488" s="120">
        <v>3</v>
      </c>
      <c r="D488" s="120"/>
      <c r="E488" s="124" t="s">
        <v>457</v>
      </c>
      <c r="F488" s="125">
        <v>1681000</v>
      </c>
      <c r="G488" s="126"/>
      <c r="H488" s="125"/>
      <c r="I488" s="125"/>
      <c r="J488" s="126"/>
      <c r="K488" s="126"/>
      <c r="L488" s="126"/>
      <c r="M488" s="126"/>
      <c r="N488" s="126"/>
      <c r="O488" s="126">
        <v>20000</v>
      </c>
      <c r="P488" s="126"/>
      <c r="Q488" s="126"/>
      <c r="R488" s="126"/>
      <c r="S488" s="126"/>
      <c r="T488" s="127">
        <v>200000</v>
      </c>
      <c r="U488" s="122">
        <f>SUM(F488,M488,O488,R488,T488)</f>
        <v>1901000</v>
      </c>
      <c r="V488" s="333"/>
      <c r="W488" s="338">
        <f>ROUNDUP(U488*1/12,-1)</f>
        <v>158420</v>
      </c>
      <c r="X488" s="128">
        <f t="shared" ref="X488:X499" si="529">ROUND(U488*4.5%,-1)</f>
        <v>85550</v>
      </c>
      <c r="Y488" s="128">
        <f t="shared" ref="Y488:Y499" si="530">ROUNDUP((U488-L488)*3.035%,-1)</f>
        <v>57700</v>
      </c>
      <c r="Z488" s="128">
        <f>ROUNDUP(Y488*6.55%,-1)</f>
        <v>3780</v>
      </c>
      <c r="AA488" s="128">
        <f t="shared" ref="AA488:AA499" si="531">ROUND(U488*0.9%,-1)</f>
        <v>17110</v>
      </c>
      <c r="AB488" s="128">
        <f t="shared" ref="AB488:AB499" si="532">ROUND(U488*0.8%,-1)</f>
        <v>15210</v>
      </c>
      <c r="AC488" s="129">
        <f t="shared" ref="AC488:AC499" si="533">SUM(W488:AB488)</f>
        <v>337770</v>
      </c>
      <c r="AD488" s="619">
        <f t="shared" si="512"/>
        <v>1563230</v>
      </c>
    </row>
    <row r="489" spans="1:30" s="24" customFormat="1" ht="16.5" hidden="1" customHeight="1">
      <c r="A489" s="1150"/>
      <c r="B489" s="119"/>
      <c r="C489" s="120"/>
      <c r="D489" s="120"/>
      <c r="E489" s="124" t="s">
        <v>458</v>
      </c>
      <c r="F489" s="126">
        <f>F488</f>
        <v>1681000</v>
      </c>
      <c r="G489" s="126"/>
      <c r="H489" s="126"/>
      <c r="I489" s="126"/>
      <c r="J489" s="126"/>
      <c r="K489" s="126"/>
      <c r="L489" s="126"/>
      <c r="M489" s="126">
        <f>F489*60%</f>
        <v>1008600</v>
      </c>
      <c r="N489" s="126"/>
      <c r="O489" s="126">
        <f t="shared" ref="O489:O499" si="534">O488</f>
        <v>20000</v>
      </c>
      <c r="P489" s="126"/>
      <c r="Q489" s="126">
        <f t="shared" ref="Q489:Q499" si="535">ROUND((F488+T488)*1/209*1.5,-1)</f>
        <v>13500</v>
      </c>
      <c r="R489" s="126">
        <f>Q489*40</f>
        <v>540000</v>
      </c>
      <c r="S489" s="126"/>
      <c r="T489" s="127">
        <v>200000</v>
      </c>
      <c r="U489" s="122">
        <f t="shared" ref="U489:U499" si="536">SUM(F489,M489,O489,R489,T489)</f>
        <v>3449600</v>
      </c>
      <c r="V489" s="333"/>
      <c r="W489" s="338">
        <f>ROUNDUP((T489+U489)*1/12,-1)</f>
        <v>304140</v>
      </c>
      <c r="X489" s="128">
        <f t="shared" si="529"/>
        <v>155230</v>
      </c>
      <c r="Y489" s="128">
        <f t="shared" si="530"/>
        <v>104700</v>
      </c>
      <c r="Z489" s="128">
        <f t="shared" ref="Z489:Z499" si="537">ROUNDUP(Y489*6.55%,-1)</f>
        <v>6860</v>
      </c>
      <c r="AA489" s="128">
        <f t="shared" si="531"/>
        <v>31050</v>
      </c>
      <c r="AB489" s="128">
        <f t="shared" si="532"/>
        <v>27600</v>
      </c>
      <c r="AC489" s="129">
        <f t="shared" si="533"/>
        <v>629580</v>
      </c>
      <c r="AD489" s="619">
        <f t="shared" si="512"/>
        <v>2820020</v>
      </c>
    </row>
    <row r="490" spans="1:30" s="24" customFormat="1" ht="16.5" hidden="1" customHeight="1">
      <c r="A490" s="1150"/>
      <c r="B490" s="119"/>
      <c r="C490" s="120"/>
      <c r="D490" s="120"/>
      <c r="E490" s="124" t="s">
        <v>459</v>
      </c>
      <c r="F490" s="126">
        <f>F489</f>
        <v>1681000</v>
      </c>
      <c r="G490" s="126"/>
      <c r="H490" s="126"/>
      <c r="I490" s="126"/>
      <c r="J490" s="126"/>
      <c r="K490" s="126"/>
      <c r="L490" s="126"/>
      <c r="M490" s="126"/>
      <c r="N490" s="126"/>
      <c r="O490" s="126">
        <f t="shared" si="534"/>
        <v>20000</v>
      </c>
      <c r="P490" s="126"/>
      <c r="Q490" s="126">
        <f t="shared" si="535"/>
        <v>13500</v>
      </c>
      <c r="R490" s="126">
        <f>Q490*40</f>
        <v>540000</v>
      </c>
      <c r="S490" s="126"/>
      <c r="T490" s="127">
        <v>200000</v>
      </c>
      <c r="U490" s="122">
        <f t="shared" si="536"/>
        <v>2441000</v>
      </c>
      <c r="V490" s="333"/>
      <c r="W490" s="338">
        <f t="shared" ref="W490:W499" si="538">ROUNDUP(U490*1/12,-1)</f>
        <v>203420</v>
      </c>
      <c r="X490" s="128">
        <f t="shared" si="529"/>
        <v>109850</v>
      </c>
      <c r="Y490" s="128">
        <f t="shared" si="530"/>
        <v>74090</v>
      </c>
      <c r="Z490" s="128">
        <f t="shared" si="537"/>
        <v>4860</v>
      </c>
      <c r="AA490" s="128">
        <f t="shared" si="531"/>
        <v>21970</v>
      </c>
      <c r="AB490" s="128">
        <f t="shared" si="532"/>
        <v>19530</v>
      </c>
      <c r="AC490" s="129">
        <f t="shared" si="533"/>
        <v>433720</v>
      </c>
      <c r="AD490" s="619">
        <f t="shared" si="512"/>
        <v>2007280</v>
      </c>
    </row>
    <row r="491" spans="1:30" s="24" customFormat="1" ht="16.5" hidden="1" customHeight="1">
      <c r="A491" s="1150"/>
      <c r="B491" s="119"/>
      <c r="C491" s="120"/>
      <c r="D491" s="120"/>
      <c r="E491" s="124" t="s">
        <v>460</v>
      </c>
      <c r="F491" s="126">
        <f>F490</f>
        <v>1681000</v>
      </c>
      <c r="G491" s="126"/>
      <c r="H491" s="126"/>
      <c r="I491" s="126"/>
      <c r="J491" s="126"/>
      <c r="K491" s="126"/>
      <c r="L491" s="126"/>
      <c r="M491" s="126"/>
      <c r="N491" s="126"/>
      <c r="O491" s="126">
        <f t="shared" si="534"/>
        <v>20000</v>
      </c>
      <c r="P491" s="126"/>
      <c r="Q491" s="126">
        <f t="shared" si="535"/>
        <v>13500</v>
      </c>
      <c r="R491" s="126">
        <f>Q491*40</f>
        <v>540000</v>
      </c>
      <c r="S491" s="126"/>
      <c r="T491" s="127">
        <v>200000</v>
      </c>
      <c r="U491" s="122">
        <f t="shared" si="536"/>
        <v>2441000</v>
      </c>
      <c r="V491" s="333"/>
      <c r="W491" s="338">
        <f t="shared" si="538"/>
        <v>203420</v>
      </c>
      <c r="X491" s="128">
        <f t="shared" si="529"/>
        <v>109850</v>
      </c>
      <c r="Y491" s="128">
        <f t="shared" si="530"/>
        <v>74090</v>
      </c>
      <c r="Z491" s="128">
        <f t="shared" si="537"/>
        <v>4860</v>
      </c>
      <c r="AA491" s="128">
        <f t="shared" si="531"/>
        <v>21970</v>
      </c>
      <c r="AB491" s="128">
        <f t="shared" si="532"/>
        <v>19530</v>
      </c>
      <c r="AC491" s="129">
        <f t="shared" si="533"/>
        <v>433720</v>
      </c>
      <c r="AD491" s="619">
        <f t="shared" si="512"/>
        <v>2007280</v>
      </c>
    </row>
    <row r="492" spans="1:30" s="24" customFormat="1" ht="16.5" hidden="1" customHeight="1">
      <c r="A492" s="1150"/>
      <c r="B492" s="119"/>
      <c r="C492" s="120"/>
      <c r="D492" s="120"/>
      <c r="E492" s="124" t="s">
        <v>461</v>
      </c>
      <c r="F492" s="126">
        <f>F491</f>
        <v>1681000</v>
      </c>
      <c r="G492" s="126"/>
      <c r="H492" s="126"/>
      <c r="I492" s="126"/>
      <c r="J492" s="126"/>
      <c r="K492" s="126"/>
      <c r="L492" s="126"/>
      <c r="M492" s="126"/>
      <c r="N492" s="126"/>
      <c r="O492" s="126">
        <f t="shared" si="534"/>
        <v>20000</v>
      </c>
      <c r="P492" s="126"/>
      <c r="Q492" s="126">
        <f t="shared" si="535"/>
        <v>13500</v>
      </c>
      <c r="R492" s="126">
        <f t="shared" ref="R492:R498" si="539">Q492*40</f>
        <v>540000</v>
      </c>
      <c r="S492" s="126"/>
      <c r="T492" s="127">
        <f t="shared" ref="T492:T499" si="540">T491</f>
        <v>200000</v>
      </c>
      <c r="U492" s="122">
        <f t="shared" si="536"/>
        <v>2441000</v>
      </c>
      <c r="V492" s="333"/>
      <c r="W492" s="338">
        <f t="shared" si="538"/>
        <v>203420</v>
      </c>
      <c r="X492" s="128">
        <f t="shared" si="529"/>
        <v>109850</v>
      </c>
      <c r="Y492" s="128">
        <f t="shared" si="530"/>
        <v>74090</v>
      </c>
      <c r="Z492" s="128">
        <f t="shared" si="537"/>
        <v>4860</v>
      </c>
      <c r="AA492" s="128">
        <f t="shared" si="531"/>
        <v>21970</v>
      </c>
      <c r="AB492" s="128">
        <f t="shared" si="532"/>
        <v>19530</v>
      </c>
      <c r="AC492" s="129">
        <f t="shared" si="533"/>
        <v>433720</v>
      </c>
      <c r="AD492" s="619">
        <f t="shared" si="512"/>
        <v>2007280</v>
      </c>
    </row>
    <row r="493" spans="1:30" s="24" customFormat="1" ht="16.5" hidden="1" customHeight="1">
      <c r="A493" s="1150"/>
      <c r="B493" s="119"/>
      <c r="C493" s="120"/>
      <c r="D493" s="120"/>
      <c r="E493" s="124" t="s">
        <v>462</v>
      </c>
      <c r="F493" s="126">
        <f>F492</f>
        <v>1681000</v>
      </c>
      <c r="G493" s="126"/>
      <c r="H493" s="126"/>
      <c r="I493" s="126"/>
      <c r="J493" s="126"/>
      <c r="K493" s="126"/>
      <c r="L493" s="126"/>
      <c r="M493" s="126"/>
      <c r="N493" s="126"/>
      <c r="O493" s="126">
        <f t="shared" si="534"/>
        <v>20000</v>
      </c>
      <c r="P493" s="126"/>
      <c r="Q493" s="126">
        <f t="shared" si="535"/>
        <v>13500</v>
      </c>
      <c r="R493" s="126">
        <f t="shared" si="539"/>
        <v>540000</v>
      </c>
      <c r="S493" s="126"/>
      <c r="T493" s="127">
        <f t="shared" si="540"/>
        <v>200000</v>
      </c>
      <c r="U493" s="122">
        <f t="shared" si="536"/>
        <v>2441000</v>
      </c>
      <c r="V493" s="333"/>
      <c r="W493" s="338">
        <f t="shared" si="538"/>
        <v>203420</v>
      </c>
      <c r="X493" s="128">
        <f t="shared" si="529"/>
        <v>109850</v>
      </c>
      <c r="Y493" s="128">
        <f t="shared" si="530"/>
        <v>74090</v>
      </c>
      <c r="Z493" s="128">
        <f t="shared" si="537"/>
        <v>4860</v>
      </c>
      <c r="AA493" s="128">
        <f t="shared" si="531"/>
        <v>21970</v>
      </c>
      <c r="AB493" s="128">
        <f t="shared" si="532"/>
        <v>19530</v>
      </c>
      <c r="AC493" s="129">
        <f t="shared" si="533"/>
        <v>433720</v>
      </c>
      <c r="AD493" s="619">
        <f t="shared" si="512"/>
        <v>2007280</v>
      </c>
    </row>
    <row r="494" spans="1:30" s="24" customFormat="1" ht="16.5" hidden="1" customHeight="1">
      <c r="A494" s="1150"/>
      <c r="B494" s="119"/>
      <c r="C494" s="120"/>
      <c r="D494" s="120"/>
      <c r="E494" s="124" t="s">
        <v>330</v>
      </c>
      <c r="F494" s="126">
        <f t="shared" ref="F494:F499" si="541">F493</f>
        <v>1681000</v>
      </c>
      <c r="G494" s="126"/>
      <c r="H494" s="125"/>
      <c r="I494" s="127"/>
      <c r="J494" s="126"/>
      <c r="K494" s="126"/>
      <c r="L494" s="126"/>
      <c r="M494" s="126"/>
      <c r="N494" s="126"/>
      <c r="O494" s="126">
        <f t="shared" si="534"/>
        <v>20000</v>
      </c>
      <c r="P494" s="126"/>
      <c r="Q494" s="126">
        <f t="shared" si="535"/>
        <v>13500</v>
      </c>
      <c r="R494" s="126">
        <f t="shared" si="539"/>
        <v>540000</v>
      </c>
      <c r="S494" s="126"/>
      <c r="T494" s="127">
        <f t="shared" si="540"/>
        <v>200000</v>
      </c>
      <c r="U494" s="122">
        <f t="shared" si="536"/>
        <v>2441000</v>
      </c>
      <c r="V494" s="333"/>
      <c r="W494" s="338">
        <f t="shared" si="538"/>
        <v>203420</v>
      </c>
      <c r="X494" s="128">
        <f t="shared" si="529"/>
        <v>109850</v>
      </c>
      <c r="Y494" s="128">
        <f t="shared" si="530"/>
        <v>74090</v>
      </c>
      <c r="Z494" s="128">
        <f t="shared" si="537"/>
        <v>4860</v>
      </c>
      <c r="AA494" s="128">
        <f t="shared" si="531"/>
        <v>21970</v>
      </c>
      <c r="AB494" s="128">
        <f t="shared" si="532"/>
        <v>19530</v>
      </c>
      <c r="AC494" s="129">
        <f t="shared" si="533"/>
        <v>433720</v>
      </c>
      <c r="AD494" s="619">
        <f t="shared" si="512"/>
        <v>2007280</v>
      </c>
    </row>
    <row r="495" spans="1:30" s="24" customFormat="1" ht="16.5" hidden="1" customHeight="1">
      <c r="A495" s="1150"/>
      <c r="B495" s="119"/>
      <c r="C495" s="120"/>
      <c r="D495" s="120"/>
      <c r="E495" s="124" t="s">
        <v>331</v>
      </c>
      <c r="F495" s="126">
        <f t="shared" si="541"/>
        <v>1681000</v>
      </c>
      <c r="G495" s="126"/>
      <c r="H495" s="126"/>
      <c r="I495" s="126"/>
      <c r="J495" s="126"/>
      <c r="K495" s="126"/>
      <c r="L495" s="126"/>
      <c r="M495" s="126"/>
      <c r="N495" s="126"/>
      <c r="O495" s="126">
        <f t="shared" si="534"/>
        <v>20000</v>
      </c>
      <c r="P495" s="126"/>
      <c r="Q495" s="126">
        <f t="shared" si="535"/>
        <v>13500</v>
      </c>
      <c r="R495" s="126">
        <f t="shared" si="539"/>
        <v>540000</v>
      </c>
      <c r="S495" s="126"/>
      <c r="T495" s="127">
        <f t="shared" si="540"/>
        <v>200000</v>
      </c>
      <c r="U495" s="122">
        <f t="shared" si="536"/>
        <v>2441000</v>
      </c>
      <c r="V495" s="333"/>
      <c r="W495" s="338">
        <f t="shared" si="538"/>
        <v>203420</v>
      </c>
      <c r="X495" s="128">
        <f t="shared" si="529"/>
        <v>109850</v>
      </c>
      <c r="Y495" s="128">
        <f t="shared" si="530"/>
        <v>74090</v>
      </c>
      <c r="Z495" s="128">
        <f t="shared" si="537"/>
        <v>4860</v>
      </c>
      <c r="AA495" s="128">
        <f t="shared" si="531"/>
        <v>21970</v>
      </c>
      <c r="AB495" s="128">
        <f t="shared" si="532"/>
        <v>19530</v>
      </c>
      <c r="AC495" s="129">
        <f t="shared" si="533"/>
        <v>433720</v>
      </c>
      <c r="AD495" s="619">
        <f t="shared" si="512"/>
        <v>2007280</v>
      </c>
    </row>
    <row r="496" spans="1:30" s="24" customFormat="1" ht="16.5" hidden="1" customHeight="1">
      <c r="A496" s="1150"/>
      <c r="B496" s="119"/>
      <c r="C496" s="120">
        <v>4</v>
      </c>
      <c r="D496" s="120"/>
      <c r="E496" s="124" t="s">
        <v>62</v>
      </c>
      <c r="F496" s="591">
        <v>1734000</v>
      </c>
      <c r="G496" s="126"/>
      <c r="H496" s="126"/>
      <c r="I496" s="126"/>
      <c r="J496" s="126"/>
      <c r="K496" s="126"/>
      <c r="L496" s="126"/>
      <c r="M496" s="126">
        <f>F496*60%</f>
        <v>1040400</v>
      </c>
      <c r="N496" s="126"/>
      <c r="O496" s="126">
        <f t="shared" si="534"/>
        <v>20000</v>
      </c>
      <c r="P496" s="126"/>
      <c r="Q496" s="126">
        <f t="shared" si="535"/>
        <v>13500</v>
      </c>
      <c r="R496" s="126">
        <f t="shared" si="539"/>
        <v>540000</v>
      </c>
      <c r="S496" s="126"/>
      <c r="T496" s="127">
        <f t="shared" si="540"/>
        <v>200000</v>
      </c>
      <c r="U496" s="122">
        <f t="shared" si="536"/>
        <v>3534400</v>
      </c>
      <c r="V496" s="333"/>
      <c r="W496" s="338">
        <f t="shared" si="538"/>
        <v>294540</v>
      </c>
      <c r="X496" s="128">
        <f t="shared" si="529"/>
        <v>159050</v>
      </c>
      <c r="Y496" s="128">
        <f t="shared" si="530"/>
        <v>107270</v>
      </c>
      <c r="Z496" s="128">
        <f t="shared" si="537"/>
        <v>7030</v>
      </c>
      <c r="AA496" s="128">
        <f t="shared" si="531"/>
        <v>31810</v>
      </c>
      <c r="AB496" s="128">
        <f t="shared" si="532"/>
        <v>28280</v>
      </c>
      <c r="AC496" s="129">
        <f t="shared" si="533"/>
        <v>627980</v>
      </c>
      <c r="AD496" s="619">
        <f t="shared" si="512"/>
        <v>2906420</v>
      </c>
    </row>
    <row r="497" spans="1:30" s="24" customFormat="1" ht="16.5" hidden="1" customHeight="1">
      <c r="A497" s="1150"/>
      <c r="B497" s="119"/>
      <c r="C497" s="120"/>
      <c r="D497" s="120"/>
      <c r="E497" s="124" t="s">
        <v>63</v>
      </c>
      <c r="F497" s="126">
        <f t="shared" si="541"/>
        <v>1734000</v>
      </c>
      <c r="G497" s="126"/>
      <c r="H497" s="126"/>
      <c r="I497" s="126"/>
      <c r="J497" s="126"/>
      <c r="K497" s="126"/>
      <c r="L497" s="126"/>
      <c r="M497" s="126"/>
      <c r="N497" s="126"/>
      <c r="O497" s="126">
        <f t="shared" si="534"/>
        <v>20000</v>
      </c>
      <c r="P497" s="126"/>
      <c r="Q497" s="126">
        <f t="shared" si="535"/>
        <v>13880</v>
      </c>
      <c r="R497" s="126">
        <f t="shared" si="539"/>
        <v>555200</v>
      </c>
      <c r="S497" s="126"/>
      <c r="T497" s="127">
        <f t="shared" si="540"/>
        <v>200000</v>
      </c>
      <c r="U497" s="122">
        <f t="shared" si="536"/>
        <v>2509200</v>
      </c>
      <c r="V497" s="333"/>
      <c r="W497" s="338">
        <f t="shared" si="538"/>
        <v>209100</v>
      </c>
      <c r="X497" s="128">
        <f t="shared" si="529"/>
        <v>112910</v>
      </c>
      <c r="Y497" s="128">
        <f t="shared" si="530"/>
        <v>76160</v>
      </c>
      <c r="Z497" s="128">
        <f t="shared" si="537"/>
        <v>4990</v>
      </c>
      <c r="AA497" s="128">
        <f t="shared" si="531"/>
        <v>22580</v>
      </c>
      <c r="AB497" s="128">
        <f t="shared" si="532"/>
        <v>20070</v>
      </c>
      <c r="AC497" s="129">
        <f t="shared" si="533"/>
        <v>445810</v>
      </c>
      <c r="AD497" s="619">
        <f t="shared" si="512"/>
        <v>2063390</v>
      </c>
    </row>
    <row r="498" spans="1:30" s="24" customFormat="1" ht="16.5" hidden="1" customHeight="1">
      <c r="A498" s="1150"/>
      <c r="B498" s="119"/>
      <c r="C498" s="120"/>
      <c r="D498" s="120"/>
      <c r="E498" s="124" t="s">
        <v>64</v>
      </c>
      <c r="F498" s="126">
        <f t="shared" si="541"/>
        <v>1734000</v>
      </c>
      <c r="G498" s="126"/>
      <c r="H498" s="126"/>
      <c r="I498" s="126"/>
      <c r="J498" s="126"/>
      <c r="K498" s="126"/>
      <c r="L498" s="126"/>
      <c r="M498" s="126"/>
      <c r="N498" s="126"/>
      <c r="O498" s="126">
        <f t="shared" si="534"/>
        <v>20000</v>
      </c>
      <c r="P498" s="126"/>
      <c r="Q498" s="126">
        <f t="shared" si="535"/>
        <v>13880</v>
      </c>
      <c r="R498" s="126">
        <f t="shared" si="539"/>
        <v>555200</v>
      </c>
      <c r="S498" s="126"/>
      <c r="T498" s="127">
        <f t="shared" si="540"/>
        <v>200000</v>
      </c>
      <c r="U498" s="122">
        <f t="shared" si="536"/>
        <v>2509200</v>
      </c>
      <c r="V498" s="333"/>
      <c r="W498" s="338">
        <f t="shared" si="538"/>
        <v>209100</v>
      </c>
      <c r="X498" s="128">
        <f t="shared" si="529"/>
        <v>112910</v>
      </c>
      <c r="Y498" s="128">
        <f t="shared" si="530"/>
        <v>76160</v>
      </c>
      <c r="Z498" s="128">
        <f t="shared" si="537"/>
        <v>4990</v>
      </c>
      <c r="AA498" s="128">
        <f t="shared" si="531"/>
        <v>22580</v>
      </c>
      <c r="AB498" s="128">
        <f t="shared" si="532"/>
        <v>20070</v>
      </c>
      <c r="AC498" s="129">
        <f t="shared" si="533"/>
        <v>445810</v>
      </c>
      <c r="AD498" s="619">
        <f t="shared" si="512"/>
        <v>2063390</v>
      </c>
    </row>
    <row r="499" spans="1:30" s="24" customFormat="1" ht="16.5" hidden="1" customHeight="1">
      <c r="A499" s="1150"/>
      <c r="B499" s="119"/>
      <c r="C499" s="120"/>
      <c r="D499" s="120"/>
      <c r="E499" s="124" t="s">
        <v>463</v>
      </c>
      <c r="F499" s="126">
        <f t="shared" si="541"/>
        <v>1734000</v>
      </c>
      <c r="G499" s="126"/>
      <c r="H499" s="126"/>
      <c r="I499" s="126"/>
      <c r="J499" s="126"/>
      <c r="K499" s="126"/>
      <c r="L499" s="126"/>
      <c r="M499" s="126"/>
      <c r="N499" s="126"/>
      <c r="O499" s="126">
        <f t="shared" si="534"/>
        <v>20000</v>
      </c>
      <c r="P499" s="126"/>
      <c r="Q499" s="126">
        <f t="shared" si="535"/>
        <v>13880</v>
      </c>
      <c r="R499" s="126">
        <f>Q499*40*2</f>
        <v>1110400</v>
      </c>
      <c r="S499" s="126"/>
      <c r="T499" s="127">
        <f t="shared" si="540"/>
        <v>200000</v>
      </c>
      <c r="U499" s="122">
        <f t="shared" si="536"/>
        <v>3064400</v>
      </c>
      <c r="V499" s="333"/>
      <c r="W499" s="338">
        <f t="shared" si="538"/>
        <v>255370</v>
      </c>
      <c r="X499" s="128">
        <f t="shared" si="529"/>
        <v>137900</v>
      </c>
      <c r="Y499" s="128">
        <f t="shared" si="530"/>
        <v>93010</v>
      </c>
      <c r="Z499" s="128">
        <f t="shared" si="537"/>
        <v>6100</v>
      </c>
      <c r="AA499" s="128">
        <f t="shared" si="531"/>
        <v>27580</v>
      </c>
      <c r="AB499" s="128">
        <f t="shared" si="532"/>
        <v>24520</v>
      </c>
      <c r="AC499" s="129">
        <f t="shared" si="533"/>
        <v>544480</v>
      </c>
      <c r="AD499" s="619">
        <f t="shared" si="512"/>
        <v>2519920</v>
      </c>
    </row>
    <row r="500" spans="1:30" s="24" customFormat="1" ht="16.5" hidden="1" customHeight="1">
      <c r="A500" s="1150">
        <v>39</v>
      </c>
      <c r="B500" s="119" t="s">
        <v>95</v>
      </c>
      <c r="C500" s="120" t="s">
        <v>735</v>
      </c>
      <c r="D500" s="120">
        <v>1</v>
      </c>
      <c r="E500" s="121" t="s">
        <v>94</v>
      </c>
      <c r="F500" s="122">
        <f t="shared" ref="F500:L500" si="542">SUM(F501:F512)</f>
        <v>20068000</v>
      </c>
      <c r="G500" s="122">
        <f t="shared" si="542"/>
        <v>0</v>
      </c>
      <c r="H500" s="122">
        <f t="shared" si="542"/>
        <v>0</v>
      </c>
      <c r="I500" s="122">
        <f t="shared" si="542"/>
        <v>0</v>
      </c>
      <c r="J500" s="122">
        <f t="shared" si="542"/>
        <v>0</v>
      </c>
      <c r="K500" s="122">
        <f t="shared" si="542"/>
        <v>0</v>
      </c>
      <c r="L500" s="122">
        <f t="shared" si="542"/>
        <v>0</v>
      </c>
      <c r="M500" s="122">
        <f>SUM(M501:M512)</f>
        <v>1986000</v>
      </c>
      <c r="N500" s="122">
        <f>SUM(N501:N512)</f>
        <v>0</v>
      </c>
      <c r="O500" s="122">
        <f>SUM(O501:O512)</f>
        <v>0</v>
      </c>
      <c r="P500" s="122"/>
      <c r="Q500" s="122"/>
      <c r="R500" s="122">
        <f>SUM(R501:R512)</f>
        <v>6450400</v>
      </c>
      <c r="S500" s="122">
        <f>SUM(S501:S512)</f>
        <v>0</v>
      </c>
      <c r="T500" s="122">
        <f>SUM(T501:T512)</f>
        <v>2400000</v>
      </c>
      <c r="U500" s="122">
        <f>SUM(U501:U512)</f>
        <v>30904400</v>
      </c>
      <c r="V500" s="333"/>
      <c r="W500" s="350">
        <f t="shared" ref="W500:AB500" si="543">SUM(W501:W512)</f>
        <v>2592040</v>
      </c>
      <c r="X500" s="122">
        <f t="shared" si="543"/>
        <v>1390740</v>
      </c>
      <c r="Y500" s="122">
        <f t="shared" si="543"/>
        <v>937990</v>
      </c>
      <c r="Z500" s="122">
        <f t="shared" si="543"/>
        <v>61510</v>
      </c>
      <c r="AA500" s="122">
        <f t="shared" si="543"/>
        <v>278150</v>
      </c>
      <c r="AB500" s="122">
        <f t="shared" si="543"/>
        <v>247250</v>
      </c>
      <c r="AC500" s="123">
        <f>SUM(AC501:AC512)</f>
        <v>5507680</v>
      </c>
      <c r="AD500" s="618">
        <f t="shared" si="512"/>
        <v>25396720</v>
      </c>
    </row>
    <row r="501" spans="1:30" s="24" customFormat="1" ht="17.25" hidden="1" customHeight="1">
      <c r="A501" s="1150"/>
      <c r="B501" s="119" t="s">
        <v>759</v>
      </c>
      <c r="C501" s="120">
        <v>2</v>
      </c>
      <c r="D501" s="120"/>
      <c r="E501" s="124" t="s">
        <v>457</v>
      </c>
      <c r="F501" s="125">
        <v>1629000</v>
      </c>
      <c r="G501" s="126"/>
      <c r="H501" s="125"/>
      <c r="I501" s="125"/>
      <c r="J501" s="126"/>
      <c r="K501" s="126"/>
      <c r="L501" s="126"/>
      <c r="M501" s="126"/>
      <c r="N501" s="126"/>
      <c r="O501" s="126"/>
      <c r="P501" s="126"/>
      <c r="Q501" s="126"/>
      <c r="R501" s="126"/>
      <c r="S501" s="126"/>
      <c r="T501" s="127">
        <v>200000</v>
      </c>
      <c r="U501" s="122">
        <f>SUM(F501,M501,O501,R501,T501)</f>
        <v>1829000</v>
      </c>
      <c r="V501" s="333"/>
      <c r="W501" s="338">
        <f>ROUNDUP(U501*1/12,-1)</f>
        <v>152420</v>
      </c>
      <c r="X501" s="128">
        <f t="shared" ref="X501:X512" si="544">ROUND(U501*4.5%,-1)</f>
        <v>82310</v>
      </c>
      <c r="Y501" s="128">
        <f t="shared" ref="Y501:Y512" si="545">ROUNDUP((U501-L501)*3.035%,-1)</f>
        <v>55520</v>
      </c>
      <c r="Z501" s="128">
        <f>ROUNDUP(Y501*6.55%,-1)</f>
        <v>3640</v>
      </c>
      <c r="AA501" s="128">
        <f t="shared" ref="AA501:AA512" si="546">ROUND(U501*0.9%,-1)</f>
        <v>16460</v>
      </c>
      <c r="AB501" s="128">
        <f t="shared" ref="AB501:AB512" si="547">ROUND(U501*0.8%,-1)</f>
        <v>14630</v>
      </c>
      <c r="AC501" s="129">
        <f t="shared" ref="AC501:AC512" si="548">SUM(W501:AB501)</f>
        <v>324980</v>
      </c>
      <c r="AD501" s="619">
        <f t="shared" si="512"/>
        <v>1504020</v>
      </c>
    </row>
    <row r="502" spans="1:30" s="24" customFormat="1" ht="16.5" hidden="1" customHeight="1">
      <c r="A502" s="1150"/>
      <c r="B502" s="119"/>
      <c r="C502" s="120"/>
      <c r="D502" s="120"/>
      <c r="E502" s="124" t="s">
        <v>458</v>
      </c>
      <c r="F502" s="126">
        <f t="shared" ref="F502:F512" si="549">F501</f>
        <v>1629000</v>
      </c>
      <c r="G502" s="126"/>
      <c r="H502" s="126"/>
      <c r="I502" s="126"/>
      <c r="J502" s="126"/>
      <c r="K502" s="126"/>
      <c r="L502" s="126"/>
      <c r="M502" s="126">
        <f>F502*60%</f>
        <v>977400</v>
      </c>
      <c r="N502" s="126"/>
      <c r="O502" s="126"/>
      <c r="P502" s="126"/>
      <c r="Q502" s="126">
        <f t="shared" ref="Q502:Q512" si="550">ROUND((F501+T501)*1/209*1.5,-1)</f>
        <v>13130</v>
      </c>
      <c r="R502" s="126">
        <f>Q502*40</f>
        <v>525200</v>
      </c>
      <c r="S502" s="126"/>
      <c r="T502" s="127">
        <v>200000</v>
      </c>
      <c r="U502" s="122">
        <f t="shared" ref="U502:U512" si="551">SUM(F502,M502,O502,R502,T502)</f>
        <v>3331600</v>
      </c>
      <c r="V502" s="333"/>
      <c r="W502" s="338">
        <f>ROUNDUP((T502+U502)*1/12,-1)</f>
        <v>294300</v>
      </c>
      <c r="X502" s="128">
        <f t="shared" si="544"/>
        <v>149920</v>
      </c>
      <c r="Y502" s="128">
        <f t="shared" si="545"/>
        <v>101120</v>
      </c>
      <c r="Z502" s="128">
        <f t="shared" ref="Z502:Z512" si="552">ROUNDUP(Y502*6.55%,-1)</f>
        <v>6630</v>
      </c>
      <c r="AA502" s="128">
        <f t="shared" si="546"/>
        <v>29980</v>
      </c>
      <c r="AB502" s="128">
        <f t="shared" si="547"/>
        <v>26650</v>
      </c>
      <c r="AC502" s="129">
        <f t="shared" si="548"/>
        <v>608600</v>
      </c>
      <c r="AD502" s="619">
        <f t="shared" si="512"/>
        <v>2723000</v>
      </c>
    </row>
    <row r="503" spans="1:30" s="24" customFormat="1" ht="16.5" hidden="1" customHeight="1">
      <c r="A503" s="1150"/>
      <c r="B503" s="119"/>
      <c r="C503" s="120">
        <v>3</v>
      </c>
      <c r="D503" s="120"/>
      <c r="E503" s="124" t="s">
        <v>459</v>
      </c>
      <c r="F503" s="125">
        <v>1681000</v>
      </c>
      <c r="G503" s="126"/>
      <c r="H503" s="126"/>
      <c r="I503" s="126"/>
      <c r="J503" s="126"/>
      <c r="K503" s="126"/>
      <c r="L503" s="126"/>
      <c r="M503" s="126"/>
      <c r="N503" s="126"/>
      <c r="O503" s="126"/>
      <c r="P503" s="126"/>
      <c r="Q503" s="126">
        <f t="shared" si="550"/>
        <v>13130</v>
      </c>
      <c r="R503" s="126">
        <f>Q503*40</f>
        <v>525200</v>
      </c>
      <c r="S503" s="126"/>
      <c r="T503" s="127">
        <v>200000</v>
      </c>
      <c r="U503" s="122">
        <f t="shared" si="551"/>
        <v>2406200</v>
      </c>
      <c r="V503" s="333"/>
      <c r="W503" s="338">
        <f t="shared" ref="W503:W512" si="553">ROUNDUP(U503*1/12,-1)</f>
        <v>200520</v>
      </c>
      <c r="X503" s="128">
        <f t="shared" si="544"/>
        <v>108280</v>
      </c>
      <c r="Y503" s="128">
        <f t="shared" si="545"/>
        <v>73030</v>
      </c>
      <c r="Z503" s="128">
        <f t="shared" si="552"/>
        <v>4790</v>
      </c>
      <c r="AA503" s="128">
        <f t="shared" si="546"/>
        <v>21660</v>
      </c>
      <c r="AB503" s="128">
        <f t="shared" si="547"/>
        <v>19250</v>
      </c>
      <c r="AC503" s="129">
        <f t="shared" si="548"/>
        <v>427530</v>
      </c>
      <c r="AD503" s="619">
        <f t="shared" si="512"/>
        <v>1978670</v>
      </c>
    </row>
    <row r="504" spans="1:30" s="24" customFormat="1" ht="18" hidden="1" customHeight="1">
      <c r="A504" s="1150"/>
      <c r="B504" s="119"/>
      <c r="C504" s="120"/>
      <c r="D504" s="120"/>
      <c r="E504" s="124" t="s">
        <v>460</v>
      </c>
      <c r="F504" s="126">
        <f t="shared" si="549"/>
        <v>1681000</v>
      </c>
      <c r="G504" s="126"/>
      <c r="H504" s="126"/>
      <c r="I504" s="126"/>
      <c r="J504" s="126"/>
      <c r="K504" s="126"/>
      <c r="L504" s="126"/>
      <c r="M504" s="126"/>
      <c r="N504" s="126"/>
      <c r="O504" s="126"/>
      <c r="P504" s="126"/>
      <c r="Q504" s="126">
        <f t="shared" si="550"/>
        <v>13500</v>
      </c>
      <c r="R504" s="126">
        <f>Q504*40</f>
        <v>540000</v>
      </c>
      <c r="S504" s="126"/>
      <c r="T504" s="127">
        <v>200000</v>
      </c>
      <c r="U504" s="122">
        <f t="shared" si="551"/>
        <v>2421000</v>
      </c>
      <c r="V504" s="333"/>
      <c r="W504" s="338">
        <f t="shared" si="553"/>
        <v>201750</v>
      </c>
      <c r="X504" s="128">
        <f t="shared" si="544"/>
        <v>108950</v>
      </c>
      <c r="Y504" s="128">
        <f t="shared" si="545"/>
        <v>73480</v>
      </c>
      <c r="Z504" s="128">
        <f t="shared" si="552"/>
        <v>4820</v>
      </c>
      <c r="AA504" s="128">
        <f t="shared" si="546"/>
        <v>21790</v>
      </c>
      <c r="AB504" s="128">
        <f t="shared" si="547"/>
        <v>19370</v>
      </c>
      <c r="AC504" s="129">
        <f t="shared" si="548"/>
        <v>430160</v>
      </c>
      <c r="AD504" s="619">
        <f t="shared" si="512"/>
        <v>1990840</v>
      </c>
    </row>
    <row r="505" spans="1:30" s="24" customFormat="1" ht="18" hidden="1" customHeight="1">
      <c r="A505" s="1150"/>
      <c r="B505" s="119"/>
      <c r="C505" s="120"/>
      <c r="D505" s="120"/>
      <c r="E505" s="124" t="s">
        <v>461</v>
      </c>
      <c r="F505" s="126">
        <f t="shared" si="549"/>
        <v>1681000</v>
      </c>
      <c r="G505" s="126"/>
      <c r="H505" s="126"/>
      <c r="I505" s="126"/>
      <c r="J505" s="126"/>
      <c r="K505" s="126"/>
      <c r="L505" s="126"/>
      <c r="M505" s="126"/>
      <c r="N505" s="126"/>
      <c r="O505" s="126"/>
      <c r="P505" s="126"/>
      <c r="Q505" s="126">
        <f t="shared" si="550"/>
        <v>13500</v>
      </c>
      <c r="R505" s="126">
        <f t="shared" ref="R505:R511" si="554">Q505*40</f>
        <v>540000</v>
      </c>
      <c r="S505" s="126"/>
      <c r="T505" s="127">
        <f t="shared" ref="T505:T512" si="555">T504</f>
        <v>200000</v>
      </c>
      <c r="U505" s="122">
        <f t="shared" si="551"/>
        <v>2421000</v>
      </c>
      <c r="V505" s="333"/>
      <c r="W505" s="338">
        <f t="shared" si="553"/>
        <v>201750</v>
      </c>
      <c r="X505" s="128">
        <f t="shared" si="544"/>
        <v>108950</v>
      </c>
      <c r="Y505" s="128">
        <f t="shared" si="545"/>
        <v>73480</v>
      </c>
      <c r="Z505" s="128">
        <f t="shared" si="552"/>
        <v>4820</v>
      </c>
      <c r="AA505" s="128">
        <f t="shared" si="546"/>
        <v>21790</v>
      </c>
      <c r="AB505" s="128">
        <f t="shared" si="547"/>
        <v>19370</v>
      </c>
      <c r="AC505" s="129">
        <f t="shared" si="548"/>
        <v>430160</v>
      </c>
      <c r="AD505" s="619">
        <f t="shared" si="512"/>
        <v>1990840</v>
      </c>
    </row>
    <row r="506" spans="1:30" s="24" customFormat="1" ht="18" hidden="1" customHeight="1">
      <c r="A506" s="1150"/>
      <c r="B506" s="119"/>
      <c r="C506" s="120"/>
      <c r="D506" s="120"/>
      <c r="E506" s="124" t="s">
        <v>462</v>
      </c>
      <c r="F506" s="126">
        <f t="shared" si="549"/>
        <v>1681000</v>
      </c>
      <c r="G506" s="126"/>
      <c r="H506" s="126"/>
      <c r="I506" s="126"/>
      <c r="J506" s="126"/>
      <c r="K506" s="126"/>
      <c r="L506" s="126"/>
      <c r="M506" s="126"/>
      <c r="N506" s="126"/>
      <c r="O506" s="126"/>
      <c r="P506" s="126"/>
      <c r="Q506" s="126">
        <f t="shared" si="550"/>
        <v>13500</v>
      </c>
      <c r="R506" s="126">
        <f t="shared" si="554"/>
        <v>540000</v>
      </c>
      <c r="S506" s="126"/>
      <c r="T506" s="127">
        <f t="shared" si="555"/>
        <v>200000</v>
      </c>
      <c r="U506" s="122">
        <f t="shared" si="551"/>
        <v>2421000</v>
      </c>
      <c r="V506" s="333"/>
      <c r="W506" s="338">
        <f t="shared" si="553"/>
        <v>201750</v>
      </c>
      <c r="X506" s="128">
        <f t="shared" si="544"/>
        <v>108950</v>
      </c>
      <c r="Y506" s="128">
        <f t="shared" si="545"/>
        <v>73480</v>
      </c>
      <c r="Z506" s="128">
        <f t="shared" si="552"/>
        <v>4820</v>
      </c>
      <c r="AA506" s="128">
        <f t="shared" si="546"/>
        <v>21790</v>
      </c>
      <c r="AB506" s="128">
        <f t="shared" si="547"/>
        <v>19370</v>
      </c>
      <c r="AC506" s="129">
        <f t="shared" si="548"/>
        <v>430160</v>
      </c>
      <c r="AD506" s="619">
        <f t="shared" si="512"/>
        <v>1990840</v>
      </c>
    </row>
    <row r="507" spans="1:30" s="24" customFormat="1" ht="16.5" hidden="1" customHeight="1">
      <c r="A507" s="1150"/>
      <c r="B507" s="119"/>
      <c r="C507" s="120"/>
      <c r="D507" s="120"/>
      <c r="E507" s="124" t="s">
        <v>330</v>
      </c>
      <c r="F507" s="126">
        <f t="shared" si="549"/>
        <v>1681000</v>
      </c>
      <c r="G507" s="126"/>
      <c r="H507" s="125"/>
      <c r="I507" s="127"/>
      <c r="J507" s="126"/>
      <c r="K507" s="126"/>
      <c r="L507" s="126"/>
      <c r="M507" s="126"/>
      <c r="N507" s="126"/>
      <c r="O507" s="126"/>
      <c r="P507" s="126"/>
      <c r="Q507" s="126">
        <f t="shared" si="550"/>
        <v>13500</v>
      </c>
      <c r="R507" s="126">
        <f t="shared" si="554"/>
        <v>540000</v>
      </c>
      <c r="S507" s="126"/>
      <c r="T507" s="127">
        <f t="shared" si="555"/>
        <v>200000</v>
      </c>
      <c r="U507" s="122">
        <f t="shared" si="551"/>
        <v>2421000</v>
      </c>
      <c r="V507" s="333"/>
      <c r="W507" s="338">
        <f t="shared" si="553"/>
        <v>201750</v>
      </c>
      <c r="X507" s="128">
        <f t="shared" si="544"/>
        <v>108950</v>
      </c>
      <c r="Y507" s="128">
        <f t="shared" si="545"/>
        <v>73480</v>
      </c>
      <c r="Z507" s="128">
        <f t="shared" si="552"/>
        <v>4820</v>
      </c>
      <c r="AA507" s="128">
        <f t="shared" si="546"/>
        <v>21790</v>
      </c>
      <c r="AB507" s="128">
        <f t="shared" si="547"/>
        <v>19370</v>
      </c>
      <c r="AC507" s="129">
        <f t="shared" si="548"/>
        <v>430160</v>
      </c>
      <c r="AD507" s="619">
        <f t="shared" si="512"/>
        <v>1990840</v>
      </c>
    </row>
    <row r="508" spans="1:30" s="24" customFormat="1" ht="17.25" hidden="1" customHeight="1">
      <c r="A508" s="1150"/>
      <c r="B508" s="119"/>
      <c r="C508" s="120"/>
      <c r="D508" s="120"/>
      <c r="E508" s="124" t="s">
        <v>331</v>
      </c>
      <c r="F508" s="126">
        <f t="shared" si="549"/>
        <v>1681000</v>
      </c>
      <c r="G508" s="126"/>
      <c r="H508" s="126"/>
      <c r="I508" s="126"/>
      <c r="J508" s="126"/>
      <c r="K508" s="126"/>
      <c r="L508" s="126"/>
      <c r="M508" s="126"/>
      <c r="N508" s="126"/>
      <c r="O508" s="126"/>
      <c r="P508" s="126"/>
      <c r="Q508" s="126">
        <f t="shared" si="550"/>
        <v>13500</v>
      </c>
      <c r="R508" s="126">
        <f t="shared" si="554"/>
        <v>540000</v>
      </c>
      <c r="S508" s="126"/>
      <c r="T508" s="127">
        <f t="shared" si="555"/>
        <v>200000</v>
      </c>
      <c r="U508" s="122">
        <f t="shared" si="551"/>
        <v>2421000</v>
      </c>
      <c r="V508" s="333"/>
      <c r="W508" s="338">
        <f t="shared" si="553"/>
        <v>201750</v>
      </c>
      <c r="X508" s="128">
        <f t="shared" si="544"/>
        <v>108950</v>
      </c>
      <c r="Y508" s="128">
        <f t="shared" si="545"/>
        <v>73480</v>
      </c>
      <c r="Z508" s="128">
        <f t="shared" si="552"/>
        <v>4820</v>
      </c>
      <c r="AA508" s="128">
        <f t="shared" si="546"/>
        <v>21790</v>
      </c>
      <c r="AB508" s="128">
        <f t="shared" si="547"/>
        <v>19370</v>
      </c>
      <c r="AC508" s="129">
        <f t="shared" si="548"/>
        <v>430160</v>
      </c>
      <c r="AD508" s="619">
        <f t="shared" si="512"/>
        <v>1990840</v>
      </c>
    </row>
    <row r="509" spans="1:30" s="24" customFormat="1" ht="17.25" hidden="1" customHeight="1">
      <c r="A509" s="1150"/>
      <c r="B509" s="119"/>
      <c r="C509" s="120"/>
      <c r="D509" s="120"/>
      <c r="E509" s="124" t="s">
        <v>62</v>
      </c>
      <c r="F509" s="126">
        <f t="shared" si="549"/>
        <v>1681000</v>
      </c>
      <c r="G509" s="126"/>
      <c r="H509" s="126"/>
      <c r="I509" s="126"/>
      <c r="J509" s="126"/>
      <c r="K509" s="126"/>
      <c r="L509" s="126"/>
      <c r="M509" s="126">
        <f>F509*60%</f>
        <v>1008600</v>
      </c>
      <c r="N509" s="126"/>
      <c r="O509" s="126"/>
      <c r="P509" s="126"/>
      <c r="Q509" s="126">
        <f t="shared" si="550"/>
        <v>13500</v>
      </c>
      <c r="R509" s="126">
        <f t="shared" si="554"/>
        <v>540000</v>
      </c>
      <c r="S509" s="126"/>
      <c r="T509" s="127">
        <f t="shared" si="555"/>
        <v>200000</v>
      </c>
      <c r="U509" s="122">
        <f t="shared" si="551"/>
        <v>3429600</v>
      </c>
      <c r="V509" s="333"/>
      <c r="W509" s="338">
        <f t="shared" si="553"/>
        <v>285800</v>
      </c>
      <c r="X509" s="128">
        <f t="shared" si="544"/>
        <v>154330</v>
      </c>
      <c r="Y509" s="128">
        <f t="shared" si="545"/>
        <v>104090</v>
      </c>
      <c r="Z509" s="128">
        <f t="shared" si="552"/>
        <v>6820</v>
      </c>
      <c r="AA509" s="128">
        <f t="shared" si="546"/>
        <v>30870</v>
      </c>
      <c r="AB509" s="128">
        <f t="shared" si="547"/>
        <v>27440</v>
      </c>
      <c r="AC509" s="129">
        <f t="shared" si="548"/>
        <v>609350</v>
      </c>
      <c r="AD509" s="619">
        <f t="shared" si="512"/>
        <v>2820250</v>
      </c>
    </row>
    <row r="510" spans="1:30" s="24" customFormat="1" ht="17.25" hidden="1" customHeight="1">
      <c r="A510" s="1150"/>
      <c r="B510" s="119"/>
      <c r="C510" s="120"/>
      <c r="D510" s="120"/>
      <c r="E510" s="124" t="s">
        <v>63</v>
      </c>
      <c r="F510" s="126">
        <f t="shared" si="549"/>
        <v>1681000</v>
      </c>
      <c r="G510" s="126"/>
      <c r="H510" s="126"/>
      <c r="I510" s="126"/>
      <c r="J510" s="126"/>
      <c r="K510" s="126"/>
      <c r="L510" s="126"/>
      <c r="M510" s="126"/>
      <c r="N510" s="126"/>
      <c r="O510" s="126"/>
      <c r="P510" s="126"/>
      <c r="Q510" s="126">
        <f t="shared" si="550"/>
        <v>13500</v>
      </c>
      <c r="R510" s="126">
        <f t="shared" si="554"/>
        <v>540000</v>
      </c>
      <c r="S510" s="126"/>
      <c r="T510" s="127">
        <f t="shared" si="555"/>
        <v>200000</v>
      </c>
      <c r="U510" s="122">
        <f t="shared" si="551"/>
        <v>2421000</v>
      </c>
      <c r="V510" s="333"/>
      <c r="W510" s="338">
        <f t="shared" si="553"/>
        <v>201750</v>
      </c>
      <c r="X510" s="128">
        <f t="shared" si="544"/>
        <v>108950</v>
      </c>
      <c r="Y510" s="128">
        <f t="shared" si="545"/>
        <v>73480</v>
      </c>
      <c r="Z510" s="128">
        <f t="shared" si="552"/>
        <v>4820</v>
      </c>
      <c r="AA510" s="128">
        <f t="shared" si="546"/>
        <v>21790</v>
      </c>
      <c r="AB510" s="128">
        <f t="shared" si="547"/>
        <v>19370</v>
      </c>
      <c r="AC510" s="129">
        <f t="shared" si="548"/>
        <v>430160</v>
      </c>
      <c r="AD510" s="619">
        <f t="shared" si="512"/>
        <v>1990840</v>
      </c>
    </row>
    <row r="511" spans="1:30" s="24" customFormat="1" ht="16.5" hidden="1" customHeight="1">
      <c r="A511" s="1150"/>
      <c r="B511" s="119"/>
      <c r="C511" s="120"/>
      <c r="D511" s="120"/>
      <c r="E511" s="124" t="s">
        <v>64</v>
      </c>
      <c r="F511" s="126">
        <f t="shared" si="549"/>
        <v>1681000</v>
      </c>
      <c r="G511" s="126"/>
      <c r="H511" s="126"/>
      <c r="I511" s="126"/>
      <c r="J511" s="126"/>
      <c r="K511" s="126"/>
      <c r="L511" s="126"/>
      <c r="M511" s="126"/>
      <c r="N511" s="126"/>
      <c r="O511" s="126"/>
      <c r="P511" s="126"/>
      <c r="Q511" s="126">
        <f t="shared" si="550"/>
        <v>13500</v>
      </c>
      <c r="R511" s="126">
        <f t="shared" si="554"/>
        <v>540000</v>
      </c>
      <c r="S511" s="126"/>
      <c r="T511" s="127">
        <f t="shared" si="555"/>
        <v>200000</v>
      </c>
      <c r="U511" s="122">
        <f t="shared" si="551"/>
        <v>2421000</v>
      </c>
      <c r="V511" s="333"/>
      <c r="W511" s="338">
        <f t="shared" si="553"/>
        <v>201750</v>
      </c>
      <c r="X511" s="128">
        <f t="shared" si="544"/>
        <v>108950</v>
      </c>
      <c r="Y511" s="128">
        <f t="shared" si="545"/>
        <v>73480</v>
      </c>
      <c r="Z511" s="128">
        <f t="shared" si="552"/>
        <v>4820</v>
      </c>
      <c r="AA511" s="128">
        <f t="shared" si="546"/>
        <v>21790</v>
      </c>
      <c r="AB511" s="128">
        <f t="shared" si="547"/>
        <v>19370</v>
      </c>
      <c r="AC511" s="129">
        <f t="shared" si="548"/>
        <v>430160</v>
      </c>
      <c r="AD511" s="619">
        <f t="shared" si="512"/>
        <v>1990840</v>
      </c>
    </row>
    <row r="512" spans="1:30" s="24" customFormat="1" ht="16.5" hidden="1" customHeight="1">
      <c r="A512" s="1150"/>
      <c r="B512" s="119"/>
      <c r="C512" s="120"/>
      <c r="D512" s="120"/>
      <c r="E512" s="124" t="s">
        <v>463</v>
      </c>
      <c r="F512" s="126">
        <f t="shared" si="549"/>
        <v>1681000</v>
      </c>
      <c r="G512" s="126"/>
      <c r="H512" s="126"/>
      <c r="I512" s="126"/>
      <c r="J512" s="126"/>
      <c r="K512" s="126"/>
      <c r="L512" s="126"/>
      <c r="M512" s="126"/>
      <c r="N512" s="126"/>
      <c r="O512" s="126"/>
      <c r="P512" s="126"/>
      <c r="Q512" s="126">
        <f t="shared" si="550"/>
        <v>13500</v>
      </c>
      <c r="R512" s="126">
        <f>Q512*40*2</f>
        <v>1080000</v>
      </c>
      <c r="S512" s="126"/>
      <c r="T512" s="127">
        <f t="shared" si="555"/>
        <v>200000</v>
      </c>
      <c r="U512" s="122">
        <f t="shared" si="551"/>
        <v>2961000</v>
      </c>
      <c r="V512" s="333"/>
      <c r="W512" s="338">
        <f t="shared" si="553"/>
        <v>246750</v>
      </c>
      <c r="X512" s="128">
        <f t="shared" si="544"/>
        <v>133250</v>
      </c>
      <c r="Y512" s="128">
        <f t="shared" si="545"/>
        <v>89870</v>
      </c>
      <c r="Z512" s="128">
        <f t="shared" si="552"/>
        <v>5890</v>
      </c>
      <c r="AA512" s="128">
        <f t="shared" si="546"/>
        <v>26650</v>
      </c>
      <c r="AB512" s="128">
        <f t="shared" si="547"/>
        <v>23690</v>
      </c>
      <c r="AC512" s="129">
        <f t="shared" si="548"/>
        <v>526100</v>
      </c>
      <c r="AD512" s="619">
        <f t="shared" si="512"/>
        <v>2434900</v>
      </c>
    </row>
    <row r="513" spans="1:30" s="24" customFormat="1" ht="16.5" hidden="1" customHeight="1">
      <c r="A513" s="1150">
        <v>40</v>
      </c>
      <c r="B513" s="119" t="s">
        <v>95</v>
      </c>
      <c r="C513" s="120" t="s">
        <v>665</v>
      </c>
      <c r="D513" s="120">
        <v>1</v>
      </c>
      <c r="E513" s="121" t="s">
        <v>94</v>
      </c>
      <c r="F513" s="122">
        <f t="shared" ref="F513:L513" si="556">SUM(F514:F525)</f>
        <v>16810000</v>
      </c>
      <c r="G513" s="122">
        <f t="shared" si="556"/>
        <v>0</v>
      </c>
      <c r="H513" s="122">
        <f t="shared" si="556"/>
        <v>0</v>
      </c>
      <c r="I513" s="122">
        <f t="shared" si="556"/>
        <v>0</v>
      </c>
      <c r="J513" s="122">
        <f t="shared" si="556"/>
        <v>0</v>
      </c>
      <c r="K513" s="122">
        <f t="shared" si="556"/>
        <v>0</v>
      </c>
      <c r="L513" s="122">
        <f t="shared" si="556"/>
        <v>0</v>
      </c>
      <c r="M513" s="122">
        <f>SUM(M514:M525)</f>
        <v>1008600</v>
      </c>
      <c r="N513" s="122">
        <f>SUM(N514:N525)</f>
        <v>0</v>
      </c>
      <c r="O513" s="122">
        <f>SUM(O514:O525)</f>
        <v>0</v>
      </c>
      <c r="P513" s="122"/>
      <c r="Q513" s="122"/>
      <c r="R513" s="122">
        <f>SUM(R514:R525)</f>
        <v>5400000</v>
      </c>
      <c r="S513" s="122">
        <f>SUM(S514:S525)</f>
        <v>0</v>
      </c>
      <c r="T513" s="122">
        <f>SUM(T514:T525)</f>
        <v>2000000</v>
      </c>
      <c r="U513" s="122">
        <f>SUM(U514:U525)</f>
        <v>25218600</v>
      </c>
      <c r="V513" s="333"/>
      <c r="W513" s="350">
        <f t="shared" ref="W513:AB513" si="557">SUM(W514:W525)</f>
        <v>2101550</v>
      </c>
      <c r="X513" s="122">
        <f t="shared" si="557"/>
        <v>1134880</v>
      </c>
      <c r="Y513" s="122">
        <f t="shared" si="557"/>
        <v>765410</v>
      </c>
      <c r="Z513" s="122">
        <f t="shared" si="557"/>
        <v>50190</v>
      </c>
      <c r="AA513" s="122">
        <f t="shared" si="557"/>
        <v>226980</v>
      </c>
      <c r="AB513" s="122">
        <f t="shared" si="557"/>
        <v>201770</v>
      </c>
      <c r="AC513" s="123">
        <f>SUM(AC514:AC525)</f>
        <v>4480780</v>
      </c>
      <c r="AD513" s="618">
        <f t="shared" ref="AD513:AD518" si="558">U513-AC513</f>
        <v>20737820</v>
      </c>
    </row>
    <row r="514" spans="1:30" s="24" customFormat="1" ht="17.25" hidden="1" customHeight="1">
      <c r="A514" s="1150"/>
      <c r="B514" s="119" t="s">
        <v>807</v>
      </c>
      <c r="C514" s="120">
        <v>3</v>
      </c>
      <c r="D514" s="120"/>
      <c r="E514" s="124" t="s">
        <v>457</v>
      </c>
      <c r="F514" s="126"/>
      <c r="G514" s="126"/>
      <c r="H514" s="125"/>
      <c r="I514" s="125"/>
      <c r="J514" s="126"/>
      <c r="K514" s="126"/>
      <c r="L514" s="126"/>
      <c r="M514" s="126"/>
      <c r="N514" s="126"/>
      <c r="O514" s="126"/>
      <c r="P514" s="126"/>
      <c r="Q514" s="126"/>
      <c r="R514" s="126"/>
      <c r="S514" s="126"/>
      <c r="T514" s="127"/>
      <c r="U514" s="122">
        <f>SUM(F514,M514,O514,R514,T514)</f>
        <v>0</v>
      </c>
      <c r="V514" s="333"/>
      <c r="W514" s="338">
        <f>ROUNDUP(U514*1/12,-1)</f>
        <v>0</v>
      </c>
      <c r="X514" s="128">
        <f t="shared" ref="X514:X525" si="559">ROUND(U514*4.5%,-1)</f>
        <v>0</v>
      </c>
      <c r="Y514" s="128">
        <f t="shared" ref="Y514:Y525" si="560">ROUNDUP((U514-L514)*3.035%,-1)</f>
        <v>0</v>
      </c>
      <c r="Z514" s="128">
        <f>ROUNDUP(Y514*6.55%,-1)</f>
        <v>0</v>
      </c>
      <c r="AA514" s="128">
        <f t="shared" ref="AA514:AA525" si="561">ROUND(U514*0.9%,-1)</f>
        <v>0</v>
      </c>
      <c r="AB514" s="128">
        <f t="shared" ref="AB514:AB525" si="562">ROUND(U514*0.8%,-1)</f>
        <v>0</v>
      </c>
      <c r="AC514" s="129">
        <f t="shared" ref="AC514:AC525" si="563">SUM(W514:AB514)</f>
        <v>0</v>
      </c>
      <c r="AD514" s="619">
        <f t="shared" si="558"/>
        <v>0</v>
      </c>
    </row>
    <row r="515" spans="1:30" s="24" customFormat="1" ht="16.5" hidden="1" customHeight="1">
      <c r="A515" s="1150"/>
      <c r="B515" s="119"/>
      <c r="C515" s="120"/>
      <c r="D515" s="120"/>
      <c r="E515" s="124" t="s">
        <v>458</v>
      </c>
      <c r="F515" s="126"/>
      <c r="G515" s="126"/>
      <c r="H515" s="126"/>
      <c r="I515" s="126"/>
      <c r="J515" s="126"/>
      <c r="K515" s="126"/>
      <c r="L515" s="126"/>
      <c r="M515" s="126">
        <f>F515*60%</f>
        <v>0</v>
      </c>
      <c r="N515" s="126"/>
      <c r="O515" s="126"/>
      <c r="P515" s="126"/>
      <c r="Q515" s="126"/>
      <c r="R515" s="126">
        <f>Q515*40</f>
        <v>0</v>
      </c>
      <c r="S515" s="126"/>
      <c r="T515" s="127"/>
      <c r="U515" s="122">
        <f t="shared" ref="U515:U528" si="564">SUM(F515,M515,O515,R515,T515)</f>
        <v>0</v>
      </c>
      <c r="V515" s="333"/>
      <c r="W515" s="338">
        <f>ROUNDUP((T515+U515)*1/12,-1)</f>
        <v>0</v>
      </c>
      <c r="X515" s="128">
        <f t="shared" si="559"/>
        <v>0</v>
      </c>
      <c r="Y515" s="128">
        <f t="shared" si="560"/>
        <v>0</v>
      </c>
      <c r="Z515" s="128">
        <f t="shared" ref="Z515:Z551" si="565">ROUNDUP(Y515*6.55%,-1)</f>
        <v>0</v>
      </c>
      <c r="AA515" s="128">
        <f t="shared" si="561"/>
        <v>0</v>
      </c>
      <c r="AB515" s="128">
        <f t="shared" si="562"/>
        <v>0</v>
      </c>
      <c r="AC515" s="129">
        <f t="shared" si="563"/>
        <v>0</v>
      </c>
      <c r="AD515" s="619">
        <f t="shared" si="558"/>
        <v>0</v>
      </c>
    </row>
    <row r="516" spans="1:30" s="24" customFormat="1" ht="16.5" hidden="1" customHeight="1">
      <c r="A516" s="1150"/>
      <c r="B516" s="119"/>
      <c r="C516" s="120">
        <v>3</v>
      </c>
      <c r="D516" s="120"/>
      <c r="E516" s="124" t="s">
        <v>459</v>
      </c>
      <c r="F516" s="126">
        <v>1681000</v>
      </c>
      <c r="G516" s="126"/>
      <c r="H516" s="126"/>
      <c r="I516" s="126"/>
      <c r="J516" s="126"/>
      <c r="K516" s="126"/>
      <c r="L516" s="126"/>
      <c r="M516" s="126"/>
      <c r="N516" s="126"/>
      <c r="O516" s="126">
        <f t="shared" ref="O516:O525" si="566">O515</f>
        <v>0</v>
      </c>
      <c r="P516" s="126"/>
      <c r="Q516" s="126"/>
      <c r="R516" s="126">
        <f>Q516*40</f>
        <v>0</v>
      </c>
      <c r="S516" s="126"/>
      <c r="T516" s="127">
        <v>200000</v>
      </c>
      <c r="U516" s="122">
        <f t="shared" si="564"/>
        <v>1881000</v>
      </c>
      <c r="V516" s="333"/>
      <c r="W516" s="338">
        <f t="shared" ref="W516:W525" si="567">ROUNDUP(U516*1/12,-1)</f>
        <v>156750</v>
      </c>
      <c r="X516" s="128">
        <f t="shared" si="559"/>
        <v>84650</v>
      </c>
      <c r="Y516" s="128">
        <f t="shared" si="560"/>
        <v>57090</v>
      </c>
      <c r="Z516" s="128">
        <f t="shared" si="565"/>
        <v>3740</v>
      </c>
      <c r="AA516" s="128">
        <f t="shared" si="561"/>
        <v>16930</v>
      </c>
      <c r="AB516" s="128">
        <f t="shared" si="562"/>
        <v>15050</v>
      </c>
      <c r="AC516" s="129">
        <f t="shared" si="563"/>
        <v>334210</v>
      </c>
      <c r="AD516" s="619">
        <f t="shared" si="558"/>
        <v>1546790</v>
      </c>
    </row>
    <row r="517" spans="1:30" s="24" customFormat="1" ht="16.5" hidden="1" customHeight="1">
      <c r="A517" s="1150"/>
      <c r="B517" s="119"/>
      <c r="C517" s="120"/>
      <c r="D517" s="120"/>
      <c r="E517" s="124" t="s">
        <v>460</v>
      </c>
      <c r="F517" s="126">
        <f>F516</f>
        <v>1681000</v>
      </c>
      <c r="G517" s="126"/>
      <c r="H517" s="126"/>
      <c r="I517" s="126"/>
      <c r="J517" s="126"/>
      <c r="K517" s="126"/>
      <c r="L517" s="126"/>
      <c r="M517" s="126"/>
      <c r="N517" s="126"/>
      <c r="O517" s="126">
        <f t="shared" si="566"/>
        <v>0</v>
      </c>
      <c r="P517" s="126"/>
      <c r="Q517" s="126">
        <f t="shared" ref="Q517:Q525" si="568">ROUND((F516+T516)*1/209*1.5,-1)</f>
        <v>13500</v>
      </c>
      <c r="R517" s="126">
        <f>Q517*40</f>
        <v>540000</v>
      </c>
      <c r="S517" s="126"/>
      <c r="T517" s="127">
        <v>200000</v>
      </c>
      <c r="U517" s="122">
        <f t="shared" si="564"/>
        <v>2421000</v>
      </c>
      <c r="V517" s="333"/>
      <c r="W517" s="338">
        <f t="shared" si="567"/>
        <v>201750</v>
      </c>
      <c r="X517" s="128">
        <f t="shared" si="559"/>
        <v>108950</v>
      </c>
      <c r="Y517" s="128">
        <f t="shared" si="560"/>
        <v>73480</v>
      </c>
      <c r="Z517" s="128">
        <f t="shared" si="565"/>
        <v>4820</v>
      </c>
      <c r="AA517" s="128">
        <f t="shared" si="561"/>
        <v>21790</v>
      </c>
      <c r="AB517" s="128">
        <f t="shared" si="562"/>
        <v>19370</v>
      </c>
      <c r="AC517" s="129">
        <f t="shared" si="563"/>
        <v>430160</v>
      </c>
      <c r="AD517" s="619">
        <f t="shared" si="558"/>
        <v>1990840</v>
      </c>
    </row>
    <row r="518" spans="1:30" s="24" customFormat="1" ht="16.5" hidden="1" customHeight="1">
      <c r="A518" s="1150"/>
      <c r="B518" s="119"/>
      <c r="C518" s="120"/>
      <c r="D518" s="120"/>
      <c r="E518" s="124" t="s">
        <v>461</v>
      </c>
      <c r="F518" s="126">
        <f>F517</f>
        <v>1681000</v>
      </c>
      <c r="G518" s="126"/>
      <c r="H518" s="126"/>
      <c r="I518" s="126"/>
      <c r="J518" s="126"/>
      <c r="K518" s="126"/>
      <c r="L518" s="126"/>
      <c r="M518" s="126"/>
      <c r="N518" s="126"/>
      <c r="O518" s="126">
        <f t="shared" si="566"/>
        <v>0</v>
      </c>
      <c r="P518" s="126"/>
      <c r="Q518" s="126">
        <f t="shared" si="568"/>
        <v>13500</v>
      </c>
      <c r="R518" s="126">
        <f t="shared" ref="R518:R524" si="569">Q518*40</f>
        <v>540000</v>
      </c>
      <c r="S518" s="126"/>
      <c r="T518" s="127">
        <f t="shared" ref="T518:T525" si="570">T517</f>
        <v>200000</v>
      </c>
      <c r="U518" s="122">
        <f t="shared" si="564"/>
        <v>2421000</v>
      </c>
      <c r="V518" s="333"/>
      <c r="W518" s="338">
        <f t="shared" si="567"/>
        <v>201750</v>
      </c>
      <c r="X518" s="128">
        <f t="shared" si="559"/>
        <v>108950</v>
      </c>
      <c r="Y518" s="128">
        <f t="shared" si="560"/>
        <v>73480</v>
      </c>
      <c r="Z518" s="128">
        <f t="shared" si="565"/>
        <v>4820</v>
      </c>
      <c r="AA518" s="128">
        <f t="shared" si="561"/>
        <v>21790</v>
      </c>
      <c r="AB518" s="128">
        <f t="shared" si="562"/>
        <v>19370</v>
      </c>
      <c r="AC518" s="129">
        <f t="shared" si="563"/>
        <v>430160</v>
      </c>
      <c r="AD518" s="619">
        <f t="shared" si="558"/>
        <v>1990840</v>
      </c>
    </row>
    <row r="519" spans="1:30" s="24" customFormat="1" ht="16.5" hidden="1" customHeight="1">
      <c r="A519" s="1150"/>
      <c r="B519" s="119"/>
      <c r="C519" s="120"/>
      <c r="D519" s="120"/>
      <c r="E519" s="124" t="s">
        <v>462</v>
      </c>
      <c r="F519" s="126">
        <f>F518</f>
        <v>1681000</v>
      </c>
      <c r="G519" s="126"/>
      <c r="H519" s="126"/>
      <c r="I519" s="126"/>
      <c r="J519" s="126"/>
      <c r="K519" s="126"/>
      <c r="L519" s="126"/>
      <c r="M519" s="126"/>
      <c r="N519" s="126"/>
      <c r="O519" s="126">
        <f t="shared" si="566"/>
        <v>0</v>
      </c>
      <c r="P519" s="126"/>
      <c r="Q519" s="126">
        <f t="shared" si="568"/>
        <v>13500</v>
      </c>
      <c r="R519" s="126">
        <f t="shared" si="569"/>
        <v>540000</v>
      </c>
      <c r="S519" s="126"/>
      <c r="T519" s="127">
        <f t="shared" si="570"/>
        <v>200000</v>
      </c>
      <c r="U519" s="122">
        <f t="shared" si="564"/>
        <v>2421000</v>
      </c>
      <c r="V519" s="333"/>
      <c r="W519" s="338">
        <f t="shared" si="567"/>
        <v>201750</v>
      </c>
      <c r="X519" s="128">
        <f t="shared" si="559"/>
        <v>108950</v>
      </c>
      <c r="Y519" s="128">
        <f t="shared" si="560"/>
        <v>73480</v>
      </c>
      <c r="Z519" s="128">
        <f t="shared" si="565"/>
        <v>4820</v>
      </c>
      <c r="AA519" s="128">
        <f t="shared" si="561"/>
        <v>21790</v>
      </c>
      <c r="AB519" s="128">
        <f t="shared" si="562"/>
        <v>19370</v>
      </c>
      <c r="AC519" s="129">
        <f t="shared" si="563"/>
        <v>430160</v>
      </c>
      <c r="AD519" s="619">
        <f t="shared" ref="AD519:AD551" si="571">U519-AC519</f>
        <v>1990840</v>
      </c>
    </row>
    <row r="520" spans="1:30" s="24" customFormat="1" ht="16.5" hidden="1" customHeight="1">
      <c r="A520" s="1150"/>
      <c r="B520" s="119"/>
      <c r="C520" s="120"/>
      <c r="D520" s="120"/>
      <c r="E520" s="124" t="s">
        <v>330</v>
      </c>
      <c r="F520" s="126">
        <f t="shared" ref="F520:F525" si="572">F519</f>
        <v>1681000</v>
      </c>
      <c r="G520" s="126"/>
      <c r="H520" s="125"/>
      <c r="I520" s="127"/>
      <c r="J520" s="126"/>
      <c r="K520" s="126"/>
      <c r="L520" s="126"/>
      <c r="M520" s="126"/>
      <c r="N520" s="126"/>
      <c r="O520" s="126">
        <f t="shared" si="566"/>
        <v>0</v>
      </c>
      <c r="P520" s="126"/>
      <c r="Q520" s="126">
        <f t="shared" si="568"/>
        <v>13500</v>
      </c>
      <c r="R520" s="126">
        <f t="shared" si="569"/>
        <v>540000</v>
      </c>
      <c r="S520" s="126"/>
      <c r="T520" s="127">
        <f t="shared" si="570"/>
        <v>200000</v>
      </c>
      <c r="U520" s="122">
        <f t="shared" si="564"/>
        <v>2421000</v>
      </c>
      <c r="V520" s="333"/>
      <c r="W520" s="338">
        <f t="shared" si="567"/>
        <v>201750</v>
      </c>
      <c r="X520" s="128">
        <f t="shared" si="559"/>
        <v>108950</v>
      </c>
      <c r="Y520" s="128">
        <f t="shared" si="560"/>
        <v>73480</v>
      </c>
      <c r="Z520" s="128">
        <f t="shared" si="565"/>
        <v>4820</v>
      </c>
      <c r="AA520" s="128">
        <f t="shared" si="561"/>
        <v>21790</v>
      </c>
      <c r="AB520" s="128">
        <f t="shared" si="562"/>
        <v>19370</v>
      </c>
      <c r="AC520" s="129">
        <f t="shared" si="563"/>
        <v>430160</v>
      </c>
      <c r="AD520" s="619">
        <f t="shared" si="571"/>
        <v>1990840</v>
      </c>
    </row>
    <row r="521" spans="1:30" s="24" customFormat="1" ht="16.5" hidden="1" customHeight="1">
      <c r="A521" s="1150"/>
      <c r="B521" s="119"/>
      <c r="C521" s="120"/>
      <c r="D521" s="120"/>
      <c r="E521" s="124" t="s">
        <v>331</v>
      </c>
      <c r="F521" s="126">
        <f t="shared" si="572"/>
        <v>1681000</v>
      </c>
      <c r="G521" s="126"/>
      <c r="H521" s="126"/>
      <c r="I521" s="126"/>
      <c r="J521" s="126"/>
      <c r="K521" s="126"/>
      <c r="L521" s="126"/>
      <c r="M521" s="126"/>
      <c r="N521" s="126"/>
      <c r="O521" s="126">
        <f t="shared" si="566"/>
        <v>0</v>
      </c>
      <c r="P521" s="126"/>
      <c r="Q521" s="126">
        <f t="shared" si="568"/>
        <v>13500</v>
      </c>
      <c r="R521" s="126">
        <f t="shared" si="569"/>
        <v>540000</v>
      </c>
      <c r="S521" s="126"/>
      <c r="T521" s="127">
        <f t="shared" si="570"/>
        <v>200000</v>
      </c>
      <c r="U521" s="122">
        <f t="shared" si="564"/>
        <v>2421000</v>
      </c>
      <c r="V521" s="333"/>
      <c r="W521" s="338">
        <f t="shared" si="567"/>
        <v>201750</v>
      </c>
      <c r="X521" s="128">
        <f t="shared" si="559"/>
        <v>108950</v>
      </c>
      <c r="Y521" s="128">
        <f t="shared" si="560"/>
        <v>73480</v>
      </c>
      <c r="Z521" s="128">
        <f t="shared" si="565"/>
        <v>4820</v>
      </c>
      <c r="AA521" s="128">
        <f t="shared" si="561"/>
        <v>21790</v>
      </c>
      <c r="AB521" s="128">
        <f t="shared" si="562"/>
        <v>19370</v>
      </c>
      <c r="AC521" s="129">
        <f t="shared" si="563"/>
        <v>430160</v>
      </c>
      <c r="AD521" s="619">
        <f t="shared" si="571"/>
        <v>1990840</v>
      </c>
    </row>
    <row r="522" spans="1:30" s="24" customFormat="1" ht="16.5" hidden="1" customHeight="1">
      <c r="A522" s="1150"/>
      <c r="B522" s="119"/>
      <c r="C522" s="120"/>
      <c r="D522" s="120"/>
      <c r="E522" s="124" t="s">
        <v>62</v>
      </c>
      <c r="F522" s="126">
        <f t="shared" si="572"/>
        <v>1681000</v>
      </c>
      <c r="G522" s="126"/>
      <c r="H522" s="126"/>
      <c r="I522" s="126"/>
      <c r="J522" s="126"/>
      <c r="K522" s="126"/>
      <c r="L522" s="126"/>
      <c r="M522" s="126">
        <f>F522*60%</f>
        <v>1008600</v>
      </c>
      <c r="N522" s="126"/>
      <c r="O522" s="126">
        <f t="shared" si="566"/>
        <v>0</v>
      </c>
      <c r="P522" s="126"/>
      <c r="Q522" s="126">
        <f t="shared" si="568"/>
        <v>13500</v>
      </c>
      <c r="R522" s="126">
        <f t="shared" si="569"/>
        <v>540000</v>
      </c>
      <c r="S522" s="126"/>
      <c r="T522" s="127">
        <f t="shared" si="570"/>
        <v>200000</v>
      </c>
      <c r="U522" s="122">
        <f t="shared" si="564"/>
        <v>3429600</v>
      </c>
      <c r="V522" s="333"/>
      <c r="W522" s="338">
        <f t="shared" si="567"/>
        <v>285800</v>
      </c>
      <c r="X522" s="128">
        <f t="shared" si="559"/>
        <v>154330</v>
      </c>
      <c r="Y522" s="128">
        <f t="shared" si="560"/>
        <v>104090</v>
      </c>
      <c r="Z522" s="128">
        <f t="shared" si="565"/>
        <v>6820</v>
      </c>
      <c r="AA522" s="128">
        <f t="shared" si="561"/>
        <v>30870</v>
      </c>
      <c r="AB522" s="128">
        <f t="shared" si="562"/>
        <v>27440</v>
      </c>
      <c r="AC522" s="129">
        <f t="shared" si="563"/>
        <v>609350</v>
      </c>
      <c r="AD522" s="619">
        <f t="shared" si="571"/>
        <v>2820250</v>
      </c>
    </row>
    <row r="523" spans="1:30" s="24" customFormat="1" ht="16.5" hidden="1" customHeight="1">
      <c r="A523" s="1150"/>
      <c r="B523" s="119"/>
      <c r="C523" s="120"/>
      <c r="D523" s="120"/>
      <c r="E523" s="124" t="s">
        <v>63</v>
      </c>
      <c r="F523" s="126">
        <f t="shared" si="572"/>
        <v>1681000</v>
      </c>
      <c r="G523" s="126"/>
      <c r="H523" s="126"/>
      <c r="I523" s="126"/>
      <c r="J523" s="126"/>
      <c r="K523" s="126"/>
      <c r="L523" s="126"/>
      <c r="M523" s="126"/>
      <c r="N523" s="126"/>
      <c r="O523" s="126">
        <f t="shared" si="566"/>
        <v>0</v>
      </c>
      <c r="P523" s="126"/>
      <c r="Q523" s="126">
        <f t="shared" si="568"/>
        <v>13500</v>
      </c>
      <c r="R523" s="126">
        <f t="shared" si="569"/>
        <v>540000</v>
      </c>
      <c r="S523" s="126"/>
      <c r="T523" s="127">
        <f t="shared" si="570"/>
        <v>200000</v>
      </c>
      <c r="U523" s="122">
        <f t="shared" si="564"/>
        <v>2421000</v>
      </c>
      <c r="V523" s="333"/>
      <c r="W523" s="338">
        <f t="shared" si="567"/>
        <v>201750</v>
      </c>
      <c r="X523" s="128">
        <f t="shared" si="559"/>
        <v>108950</v>
      </c>
      <c r="Y523" s="128">
        <f t="shared" si="560"/>
        <v>73480</v>
      </c>
      <c r="Z523" s="128">
        <f t="shared" si="565"/>
        <v>4820</v>
      </c>
      <c r="AA523" s="128">
        <f t="shared" si="561"/>
        <v>21790</v>
      </c>
      <c r="AB523" s="128">
        <f t="shared" si="562"/>
        <v>19370</v>
      </c>
      <c r="AC523" s="129">
        <f t="shared" si="563"/>
        <v>430160</v>
      </c>
      <c r="AD523" s="619">
        <f t="shared" si="571"/>
        <v>1990840</v>
      </c>
    </row>
    <row r="524" spans="1:30" s="24" customFormat="1" ht="16.5" hidden="1" customHeight="1">
      <c r="A524" s="1150"/>
      <c r="B524" s="119"/>
      <c r="C524" s="120"/>
      <c r="D524" s="120"/>
      <c r="E524" s="124" t="s">
        <v>64</v>
      </c>
      <c r="F524" s="126">
        <f t="shared" si="572"/>
        <v>1681000</v>
      </c>
      <c r="G524" s="126"/>
      <c r="H524" s="126"/>
      <c r="I524" s="126"/>
      <c r="J524" s="126"/>
      <c r="K524" s="126"/>
      <c r="L524" s="126"/>
      <c r="M524" s="126"/>
      <c r="N524" s="126"/>
      <c r="O524" s="126">
        <f t="shared" si="566"/>
        <v>0</v>
      </c>
      <c r="P524" s="126"/>
      <c r="Q524" s="126">
        <f t="shared" si="568"/>
        <v>13500</v>
      </c>
      <c r="R524" s="126">
        <f t="shared" si="569"/>
        <v>540000</v>
      </c>
      <c r="S524" s="126"/>
      <c r="T524" s="127">
        <f t="shared" si="570"/>
        <v>200000</v>
      </c>
      <c r="U524" s="122">
        <f t="shared" si="564"/>
        <v>2421000</v>
      </c>
      <c r="V524" s="333"/>
      <c r="W524" s="338">
        <f t="shared" si="567"/>
        <v>201750</v>
      </c>
      <c r="X524" s="128">
        <f t="shared" si="559"/>
        <v>108950</v>
      </c>
      <c r="Y524" s="128">
        <f t="shared" si="560"/>
        <v>73480</v>
      </c>
      <c r="Z524" s="128">
        <f t="shared" si="565"/>
        <v>4820</v>
      </c>
      <c r="AA524" s="128">
        <f t="shared" si="561"/>
        <v>21790</v>
      </c>
      <c r="AB524" s="128">
        <f t="shared" si="562"/>
        <v>19370</v>
      </c>
      <c r="AC524" s="129">
        <f t="shared" si="563"/>
        <v>430160</v>
      </c>
      <c r="AD524" s="619">
        <f t="shared" si="571"/>
        <v>1990840</v>
      </c>
    </row>
    <row r="525" spans="1:30" s="24" customFormat="1" ht="16.5" hidden="1" customHeight="1">
      <c r="A525" s="1150"/>
      <c r="B525" s="119"/>
      <c r="C525" s="120"/>
      <c r="D525" s="120"/>
      <c r="E525" s="124" t="s">
        <v>463</v>
      </c>
      <c r="F525" s="126">
        <f t="shared" si="572"/>
        <v>1681000</v>
      </c>
      <c r="G525" s="126"/>
      <c r="H525" s="126"/>
      <c r="I525" s="126"/>
      <c r="J525" s="126"/>
      <c r="K525" s="126"/>
      <c r="L525" s="126"/>
      <c r="M525" s="126"/>
      <c r="N525" s="126"/>
      <c r="O525" s="126">
        <f t="shared" si="566"/>
        <v>0</v>
      </c>
      <c r="P525" s="126"/>
      <c r="Q525" s="126">
        <f t="shared" si="568"/>
        <v>13500</v>
      </c>
      <c r="R525" s="126">
        <f>Q525*40*2</f>
        <v>1080000</v>
      </c>
      <c r="S525" s="126"/>
      <c r="T525" s="127">
        <f t="shared" si="570"/>
        <v>200000</v>
      </c>
      <c r="U525" s="122">
        <f t="shared" si="564"/>
        <v>2961000</v>
      </c>
      <c r="V525" s="333"/>
      <c r="W525" s="338">
        <f t="shared" si="567"/>
        <v>246750</v>
      </c>
      <c r="X525" s="128">
        <f t="shared" si="559"/>
        <v>133250</v>
      </c>
      <c r="Y525" s="128">
        <f t="shared" si="560"/>
        <v>89870</v>
      </c>
      <c r="Z525" s="128">
        <f t="shared" si="565"/>
        <v>5890</v>
      </c>
      <c r="AA525" s="128">
        <f t="shared" si="561"/>
        <v>26650</v>
      </c>
      <c r="AB525" s="128">
        <f t="shared" si="562"/>
        <v>23690</v>
      </c>
      <c r="AC525" s="129">
        <f t="shared" si="563"/>
        <v>526100</v>
      </c>
      <c r="AD525" s="619">
        <f t="shared" si="571"/>
        <v>2434900</v>
      </c>
    </row>
    <row r="526" spans="1:30" s="24" customFormat="1" ht="16.5" hidden="1" customHeight="1">
      <c r="A526" s="1150">
        <v>41</v>
      </c>
      <c r="B526" s="119" t="s">
        <v>95</v>
      </c>
      <c r="C526" s="120" t="s">
        <v>735</v>
      </c>
      <c r="D526" s="120">
        <v>1</v>
      </c>
      <c r="E526" s="121" t="s">
        <v>94</v>
      </c>
      <c r="F526" s="122">
        <f t="shared" ref="F526:L526" si="573">SUM(F527:F538)</f>
        <v>16602000</v>
      </c>
      <c r="G526" s="122">
        <f t="shared" si="573"/>
        <v>0</v>
      </c>
      <c r="H526" s="122">
        <f t="shared" si="573"/>
        <v>0</v>
      </c>
      <c r="I526" s="122">
        <f t="shared" si="573"/>
        <v>0</v>
      </c>
      <c r="J526" s="122">
        <f t="shared" si="573"/>
        <v>0</v>
      </c>
      <c r="K526" s="122">
        <f t="shared" si="573"/>
        <v>0</v>
      </c>
      <c r="L526" s="122">
        <f t="shared" si="573"/>
        <v>0</v>
      </c>
      <c r="M526" s="122">
        <f>SUM(M527:M538)</f>
        <v>1008600</v>
      </c>
      <c r="N526" s="122">
        <f>SUM(N527:N538)</f>
        <v>0</v>
      </c>
      <c r="O526" s="122">
        <f>SUM(O527:O538)</f>
        <v>0</v>
      </c>
      <c r="P526" s="122"/>
      <c r="Q526" s="122"/>
      <c r="R526" s="122">
        <f>SUM(R527:R538)</f>
        <v>5340800</v>
      </c>
      <c r="S526" s="122">
        <f>SUM(S527:S538)</f>
        <v>0</v>
      </c>
      <c r="T526" s="122">
        <f>SUM(T527:T538)</f>
        <v>2000000</v>
      </c>
      <c r="U526" s="122">
        <f>SUM(U527:U538)</f>
        <v>24951400</v>
      </c>
      <c r="V526" s="333"/>
      <c r="W526" s="350">
        <f t="shared" ref="W526:AB526" si="574">SUM(W527:W538)</f>
        <v>2079310</v>
      </c>
      <c r="X526" s="122">
        <f t="shared" si="574"/>
        <v>1122840</v>
      </c>
      <c r="Y526" s="122">
        <f t="shared" si="574"/>
        <v>757300</v>
      </c>
      <c r="Z526" s="122">
        <f t="shared" si="574"/>
        <v>49640</v>
      </c>
      <c r="AA526" s="122">
        <f t="shared" si="574"/>
        <v>224580</v>
      </c>
      <c r="AB526" s="122">
        <f t="shared" si="574"/>
        <v>199610</v>
      </c>
      <c r="AC526" s="123">
        <f>SUM(AC527:AC538)</f>
        <v>4433280</v>
      </c>
      <c r="AD526" s="618">
        <f t="shared" si="571"/>
        <v>20518120</v>
      </c>
    </row>
    <row r="527" spans="1:30" s="24" customFormat="1" ht="17.25" hidden="1" customHeight="1">
      <c r="A527" s="1150"/>
      <c r="B527" s="119" t="s">
        <v>808</v>
      </c>
      <c r="C527" s="120">
        <v>2</v>
      </c>
      <c r="D527" s="120"/>
      <c r="E527" s="124" t="s">
        <v>457</v>
      </c>
      <c r="F527" s="126"/>
      <c r="G527" s="126"/>
      <c r="H527" s="125"/>
      <c r="I527" s="125"/>
      <c r="J527" s="126"/>
      <c r="K527" s="126"/>
      <c r="L527" s="126"/>
      <c r="M527" s="126"/>
      <c r="N527" s="126"/>
      <c r="O527" s="126"/>
      <c r="P527" s="126"/>
      <c r="Q527" s="126"/>
      <c r="R527" s="126"/>
      <c r="S527" s="126"/>
      <c r="T527" s="127"/>
      <c r="U527" s="122">
        <f>SUM(F527,M527,O527,R527,T527)</f>
        <v>0</v>
      </c>
      <c r="V527" s="333"/>
      <c r="W527" s="338">
        <f>ROUNDUP(U527*1/12,-1)</f>
        <v>0</v>
      </c>
      <c r="X527" s="128">
        <f t="shared" ref="X527:X538" si="575">ROUND(U527*4.5%,-1)</f>
        <v>0</v>
      </c>
      <c r="Y527" s="128">
        <f t="shared" ref="Y527:Y538" si="576">ROUNDUP((U527-L527)*3.035%,-1)</f>
        <v>0</v>
      </c>
      <c r="Z527" s="128">
        <f>ROUNDUP(Y527*6.55%,-1)</f>
        <v>0</v>
      </c>
      <c r="AA527" s="128">
        <f t="shared" ref="AA527:AA538" si="577">ROUND(U527*0.9%,-1)</f>
        <v>0</v>
      </c>
      <c r="AB527" s="128">
        <f t="shared" ref="AB527:AB538" si="578">ROUND(U527*0.8%,-1)</f>
        <v>0</v>
      </c>
      <c r="AC527" s="129">
        <f t="shared" ref="AC527:AC538" si="579">SUM(W527:AB527)</f>
        <v>0</v>
      </c>
      <c r="AD527" s="619">
        <f t="shared" si="571"/>
        <v>0</v>
      </c>
    </row>
    <row r="528" spans="1:30" s="24" customFormat="1" ht="16.5" hidden="1" customHeight="1">
      <c r="A528" s="1150"/>
      <c r="B528" s="119"/>
      <c r="C528" s="120"/>
      <c r="D528" s="120"/>
      <c r="E528" s="124" t="s">
        <v>458</v>
      </c>
      <c r="F528" s="126"/>
      <c r="G528" s="126"/>
      <c r="H528" s="126"/>
      <c r="I528" s="126"/>
      <c r="J528" s="126"/>
      <c r="K528" s="126"/>
      <c r="L528" s="126"/>
      <c r="M528" s="126">
        <f>F528*60%</f>
        <v>0</v>
      </c>
      <c r="N528" s="126"/>
      <c r="O528" s="126"/>
      <c r="P528" s="126"/>
      <c r="Q528" s="126"/>
      <c r="R528" s="126">
        <f>Q528*40</f>
        <v>0</v>
      </c>
      <c r="S528" s="126"/>
      <c r="T528" s="127"/>
      <c r="U528" s="122">
        <f t="shared" si="564"/>
        <v>0</v>
      </c>
      <c r="V528" s="333"/>
      <c r="W528" s="338">
        <f>ROUNDUP((T528+U528)*1/12,-1)</f>
        <v>0</v>
      </c>
      <c r="X528" s="128">
        <f t="shared" si="575"/>
        <v>0</v>
      </c>
      <c r="Y528" s="128">
        <f t="shared" si="576"/>
        <v>0</v>
      </c>
      <c r="Z528" s="128">
        <f t="shared" si="565"/>
        <v>0</v>
      </c>
      <c r="AA528" s="128">
        <f t="shared" si="577"/>
        <v>0</v>
      </c>
      <c r="AB528" s="128">
        <f t="shared" si="578"/>
        <v>0</v>
      </c>
      <c r="AC528" s="129">
        <f t="shared" si="579"/>
        <v>0</v>
      </c>
      <c r="AD528" s="619">
        <f t="shared" si="571"/>
        <v>0</v>
      </c>
    </row>
    <row r="529" spans="1:30" s="24" customFormat="1" ht="16.5" hidden="1" customHeight="1">
      <c r="A529" s="1150"/>
      <c r="B529" s="119"/>
      <c r="C529" s="120">
        <v>2</v>
      </c>
      <c r="D529" s="120"/>
      <c r="E529" s="124" t="s">
        <v>459</v>
      </c>
      <c r="F529" s="126">
        <v>1629000</v>
      </c>
      <c r="G529" s="126"/>
      <c r="H529" s="126"/>
      <c r="I529" s="126"/>
      <c r="J529" s="126"/>
      <c r="K529" s="126"/>
      <c r="L529" s="126"/>
      <c r="M529" s="126"/>
      <c r="N529" s="126"/>
      <c r="O529" s="126">
        <f t="shared" ref="O529:O538" si="580">O528</f>
        <v>0</v>
      </c>
      <c r="P529" s="126"/>
      <c r="Q529" s="126"/>
      <c r="R529" s="126">
        <f>Q529*40</f>
        <v>0</v>
      </c>
      <c r="S529" s="126"/>
      <c r="T529" s="127">
        <v>200000</v>
      </c>
      <c r="U529" s="122">
        <f t="shared" ref="U529:U538" si="581">SUM(F529,M529,O529,R529,T529)</f>
        <v>1829000</v>
      </c>
      <c r="V529" s="333"/>
      <c r="W529" s="338">
        <f t="shared" ref="W529:W538" si="582">ROUNDUP(U529*1/12,-1)</f>
        <v>152420</v>
      </c>
      <c r="X529" s="128">
        <f t="shared" si="575"/>
        <v>82310</v>
      </c>
      <c r="Y529" s="128">
        <f t="shared" si="576"/>
        <v>55520</v>
      </c>
      <c r="Z529" s="128">
        <f t="shared" ref="Z529:Z538" si="583">ROUNDUP(Y529*6.55%,-1)</f>
        <v>3640</v>
      </c>
      <c r="AA529" s="128">
        <f t="shared" si="577"/>
        <v>16460</v>
      </c>
      <c r="AB529" s="128">
        <f t="shared" si="578"/>
        <v>14630</v>
      </c>
      <c r="AC529" s="129">
        <f t="shared" si="579"/>
        <v>324980</v>
      </c>
      <c r="AD529" s="619">
        <f t="shared" si="571"/>
        <v>1504020</v>
      </c>
    </row>
    <row r="530" spans="1:30" s="24" customFormat="1" ht="16.5" hidden="1" customHeight="1">
      <c r="A530" s="1150"/>
      <c r="B530" s="119"/>
      <c r="C530" s="120"/>
      <c r="D530" s="120"/>
      <c r="E530" s="124" t="s">
        <v>460</v>
      </c>
      <c r="F530" s="126">
        <f>F529</f>
        <v>1629000</v>
      </c>
      <c r="G530" s="126"/>
      <c r="H530" s="126"/>
      <c r="I530" s="126"/>
      <c r="J530" s="126"/>
      <c r="K530" s="126"/>
      <c r="L530" s="126"/>
      <c r="M530" s="126"/>
      <c r="N530" s="126"/>
      <c r="O530" s="126">
        <f t="shared" si="580"/>
        <v>0</v>
      </c>
      <c r="P530" s="126"/>
      <c r="Q530" s="126">
        <f t="shared" ref="Q530:Q538" si="584">ROUND((F529+T529)*1/209*1.5,-1)</f>
        <v>13130</v>
      </c>
      <c r="R530" s="126">
        <f>Q530*40</f>
        <v>525200</v>
      </c>
      <c r="S530" s="126"/>
      <c r="T530" s="127">
        <v>200000</v>
      </c>
      <c r="U530" s="122">
        <f t="shared" si="581"/>
        <v>2354200</v>
      </c>
      <c r="V530" s="333"/>
      <c r="W530" s="338">
        <f t="shared" si="582"/>
        <v>196190</v>
      </c>
      <c r="X530" s="128">
        <f t="shared" si="575"/>
        <v>105940</v>
      </c>
      <c r="Y530" s="128">
        <f t="shared" si="576"/>
        <v>71450</v>
      </c>
      <c r="Z530" s="128">
        <f t="shared" si="583"/>
        <v>4680</v>
      </c>
      <c r="AA530" s="128">
        <f t="shared" si="577"/>
        <v>21190</v>
      </c>
      <c r="AB530" s="128">
        <f t="shared" si="578"/>
        <v>18830</v>
      </c>
      <c r="AC530" s="129">
        <f t="shared" si="579"/>
        <v>418280</v>
      </c>
      <c r="AD530" s="619">
        <f t="shared" si="571"/>
        <v>1935920</v>
      </c>
    </row>
    <row r="531" spans="1:30" s="24" customFormat="1" ht="16.5" hidden="1" customHeight="1">
      <c r="A531" s="1150"/>
      <c r="B531" s="119"/>
      <c r="C531" s="120"/>
      <c r="D531" s="120"/>
      <c r="E531" s="124" t="s">
        <v>461</v>
      </c>
      <c r="F531" s="126">
        <f>F530</f>
        <v>1629000</v>
      </c>
      <c r="G531" s="126"/>
      <c r="H531" s="126"/>
      <c r="I531" s="126"/>
      <c r="J531" s="126"/>
      <c r="K531" s="126"/>
      <c r="L531" s="126"/>
      <c r="M531" s="126"/>
      <c r="N531" s="126"/>
      <c r="O531" s="126">
        <f t="shared" si="580"/>
        <v>0</v>
      </c>
      <c r="P531" s="126"/>
      <c r="Q531" s="126">
        <f t="shared" si="584"/>
        <v>13130</v>
      </c>
      <c r="R531" s="126">
        <f t="shared" ref="R531:R537" si="585">Q531*40</f>
        <v>525200</v>
      </c>
      <c r="S531" s="126"/>
      <c r="T531" s="127">
        <f t="shared" ref="T531:T538" si="586">T530</f>
        <v>200000</v>
      </c>
      <c r="U531" s="122">
        <f t="shared" si="581"/>
        <v>2354200</v>
      </c>
      <c r="V531" s="333"/>
      <c r="W531" s="338">
        <f t="shared" si="582"/>
        <v>196190</v>
      </c>
      <c r="X531" s="128">
        <f t="shared" si="575"/>
        <v>105940</v>
      </c>
      <c r="Y531" s="128">
        <f t="shared" si="576"/>
        <v>71450</v>
      </c>
      <c r="Z531" s="128">
        <f t="shared" si="583"/>
        <v>4680</v>
      </c>
      <c r="AA531" s="128">
        <f t="shared" si="577"/>
        <v>21190</v>
      </c>
      <c r="AB531" s="128">
        <f t="shared" si="578"/>
        <v>18830</v>
      </c>
      <c r="AC531" s="129">
        <f t="shared" si="579"/>
        <v>418280</v>
      </c>
      <c r="AD531" s="619">
        <f t="shared" si="571"/>
        <v>1935920</v>
      </c>
    </row>
    <row r="532" spans="1:30" s="24" customFormat="1" ht="16.5" hidden="1" customHeight="1">
      <c r="A532" s="1150"/>
      <c r="B532" s="119"/>
      <c r="C532" s="120"/>
      <c r="D532" s="120"/>
      <c r="E532" s="124" t="s">
        <v>462</v>
      </c>
      <c r="F532" s="126">
        <f>F531</f>
        <v>1629000</v>
      </c>
      <c r="G532" s="126"/>
      <c r="H532" s="126"/>
      <c r="I532" s="126"/>
      <c r="J532" s="126"/>
      <c r="K532" s="126"/>
      <c r="L532" s="126"/>
      <c r="M532" s="126"/>
      <c r="N532" s="126"/>
      <c r="O532" s="126">
        <f t="shared" si="580"/>
        <v>0</v>
      </c>
      <c r="P532" s="126"/>
      <c r="Q532" s="126">
        <f t="shared" si="584"/>
        <v>13130</v>
      </c>
      <c r="R532" s="126">
        <f t="shared" si="585"/>
        <v>525200</v>
      </c>
      <c r="S532" s="126"/>
      <c r="T532" s="127">
        <f t="shared" si="586"/>
        <v>200000</v>
      </c>
      <c r="U532" s="122">
        <f t="shared" si="581"/>
        <v>2354200</v>
      </c>
      <c r="V532" s="333"/>
      <c r="W532" s="338">
        <f t="shared" si="582"/>
        <v>196190</v>
      </c>
      <c r="X532" s="128">
        <f t="shared" si="575"/>
        <v>105940</v>
      </c>
      <c r="Y532" s="128">
        <f t="shared" si="576"/>
        <v>71450</v>
      </c>
      <c r="Z532" s="128">
        <f t="shared" si="583"/>
        <v>4680</v>
      </c>
      <c r="AA532" s="128">
        <f t="shared" si="577"/>
        <v>21190</v>
      </c>
      <c r="AB532" s="128">
        <f t="shared" si="578"/>
        <v>18830</v>
      </c>
      <c r="AC532" s="129">
        <f t="shared" si="579"/>
        <v>418280</v>
      </c>
      <c r="AD532" s="619">
        <f t="shared" ref="AD532:AD538" si="587">U532-AC532</f>
        <v>1935920</v>
      </c>
    </row>
    <row r="533" spans="1:30" s="24" customFormat="1" ht="16.5" hidden="1" customHeight="1">
      <c r="A533" s="1150"/>
      <c r="B533" s="119"/>
      <c r="C533" s="120">
        <v>3</v>
      </c>
      <c r="D533" s="120"/>
      <c r="E533" s="638" t="s">
        <v>330</v>
      </c>
      <c r="F533" s="591">
        <v>1681000</v>
      </c>
      <c r="G533" s="126"/>
      <c r="H533" s="125"/>
      <c r="I533" s="127"/>
      <c r="J533" s="126"/>
      <c r="K533" s="126"/>
      <c r="L533" s="126"/>
      <c r="M533" s="126"/>
      <c r="N533" s="126"/>
      <c r="O533" s="126">
        <f t="shared" si="580"/>
        <v>0</v>
      </c>
      <c r="P533" s="126"/>
      <c r="Q533" s="126">
        <f t="shared" si="584"/>
        <v>13130</v>
      </c>
      <c r="R533" s="126">
        <f t="shared" si="585"/>
        <v>525200</v>
      </c>
      <c r="S533" s="126"/>
      <c r="T533" s="127">
        <f t="shared" si="586"/>
        <v>200000</v>
      </c>
      <c r="U533" s="122">
        <f t="shared" si="581"/>
        <v>2406200</v>
      </c>
      <c r="V533" s="333"/>
      <c r="W533" s="338">
        <f t="shared" si="582"/>
        <v>200520</v>
      </c>
      <c r="X533" s="128">
        <f t="shared" si="575"/>
        <v>108280</v>
      </c>
      <c r="Y533" s="128">
        <f t="shared" si="576"/>
        <v>73030</v>
      </c>
      <c r="Z533" s="128">
        <f t="shared" si="583"/>
        <v>4790</v>
      </c>
      <c r="AA533" s="128">
        <f t="shared" si="577"/>
        <v>21660</v>
      </c>
      <c r="AB533" s="128">
        <f t="shared" si="578"/>
        <v>19250</v>
      </c>
      <c r="AC533" s="129">
        <f t="shared" si="579"/>
        <v>427530</v>
      </c>
      <c r="AD533" s="619">
        <f t="shared" si="587"/>
        <v>1978670</v>
      </c>
    </row>
    <row r="534" spans="1:30" s="24" customFormat="1" ht="16.5" hidden="1" customHeight="1">
      <c r="A534" s="1150"/>
      <c r="B534" s="119"/>
      <c r="C534" s="120"/>
      <c r="D534" s="120"/>
      <c r="E534" s="124" t="s">
        <v>331</v>
      </c>
      <c r="F534" s="126">
        <f t="shared" ref="F534:F538" si="588">F533</f>
        <v>1681000</v>
      </c>
      <c r="G534" s="126"/>
      <c r="H534" s="126"/>
      <c r="I534" s="126"/>
      <c r="J534" s="126"/>
      <c r="K534" s="126"/>
      <c r="L534" s="126"/>
      <c r="M534" s="126"/>
      <c r="N534" s="126"/>
      <c r="O534" s="126">
        <f t="shared" si="580"/>
        <v>0</v>
      </c>
      <c r="P534" s="126"/>
      <c r="Q534" s="126">
        <f t="shared" si="584"/>
        <v>13500</v>
      </c>
      <c r="R534" s="126">
        <f t="shared" si="585"/>
        <v>540000</v>
      </c>
      <c r="S534" s="126"/>
      <c r="T534" s="127">
        <f t="shared" si="586"/>
        <v>200000</v>
      </c>
      <c r="U534" s="122">
        <f t="shared" si="581"/>
        <v>2421000</v>
      </c>
      <c r="V534" s="333"/>
      <c r="W534" s="338">
        <f t="shared" si="582"/>
        <v>201750</v>
      </c>
      <c r="X534" s="128">
        <f t="shared" si="575"/>
        <v>108950</v>
      </c>
      <c r="Y534" s="128">
        <f t="shared" si="576"/>
        <v>73480</v>
      </c>
      <c r="Z534" s="128">
        <f t="shared" si="583"/>
        <v>4820</v>
      </c>
      <c r="AA534" s="128">
        <f t="shared" si="577"/>
        <v>21790</v>
      </c>
      <c r="AB534" s="128">
        <f t="shared" si="578"/>
        <v>19370</v>
      </c>
      <c r="AC534" s="129">
        <f t="shared" si="579"/>
        <v>430160</v>
      </c>
      <c r="AD534" s="619">
        <f t="shared" si="587"/>
        <v>1990840</v>
      </c>
    </row>
    <row r="535" spans="1:30" s="24" customFormat="1" ht="16.5" hidden="1" customHeight="1">
      <c r="A535" s="1150"/>
      <c r="B535" s="119"/>
      <c r="C535" s="120"/>
      <c r="D535" s="120"/>
      <c r="E535" s="124" t="s">
        <v>62</v>
      </c>
      <c r="F535" s="126">
        <f t="shared" si="588"/>
        <v>1681000</v>
      </c>
      <c r="G535" s="126"/>
      <c r="H535" s="126"/>
      <c r="I535" s="126"/>
      <c r="J535" s="126"/>
      <c r="K535" s="126"/>
      <c r="L535" s="126"/>
      <c r="M535" s="126">
        <f>F535*60%</f>
        <v>1008600</v>
      </c>
      <c r="N535" s="126"/>
      <c r="O535" s="126">
        <f t="shared" si="580"/>
        <v>0</v>
      </c>
      <c r="P535" s="126"/>
      <c r="Q535" s="126">
        <f t="shared" si="584"/>
        <v>13500</v>
      </c>
      <c r="R535" s="126">
        <f t="shared" si="585"/>
        <v>540000</v>
      </c>
      <c r="S535" s="126"/>
      <c r="T535" s="127">
        <f t="shared" si="586"/>
        <v>200000</v>
      </c>
      <c r="U535" s="122">
        <f t="shared" si="581"/>
        <v>3429600</v>
      </c>
      <c r="V535" s="333"/>
      <c r="W535" s="338">
        <f t="shared" si="582"/>
        <v>285800</v>
      </c>
      <c r="X535" s="128">
        <f t="shared" si="575"/>
        <v>154330</v>
      </c>
      <c r="Y535" s="128">
        <f t="shared" si="576"/>
        <v>104090</v>
      </c>
      <c r="Z535" s="128">
        <f t="shared" si="583"/>
        <v>6820</v>
      </c>
      <c r="AA535" s="128">
        <f t="shared" si="577"/>
        <v>30870</v>
      </c>
      <c r="AB535" s="128">
        <f t="shared" si="578"/>
        <v>27440</v>
      </c>
      <c r="AC535" s="129">
        <f t="shared" si="579"/>
        <v>609350</v>
      </c>
      <c r="AD535" s="619">
        <f t="shared" si="587"/>
        <v>2820250</v>
      </c>
    </row>
    <row r="536" spans="1:30" s="24" customFormat="1" ht="16.5" hidden="1" customHeight="1">
      <c r="A536" s="1150"/>
      <c r="B536" s="119"/>
      <c r="C536" s="120"/>
      <c r="D536" s="120"/>
      <c r="E536" s="124" t="s">
        <v>63</v>
      </c>
      <c r="F536" s="126">
        <f t="shared" si="588"/>
        <v>1681000</v>
      </c>
      <c r="G536" s="126"/>
      <c r="H536" s="126"/>
      <c r="I536" s="126"/>
      <c r="J536" s="126"/>
      <c r="K536" s="126"/>
      <c r="L536" s="126"/>
      <c r="M536" s="126"/>
      <c r="N536" s="126"/>
      <c r="O536" s="126">
        <f t="shared" si="580"/>
        <v>0</v>
      </c>
      <c r="P536" s="126"/>
      <c r="Q536" s="126">
        <f t="shared" si="584"/>
        <v>13500</v>
      </c>
      <c r="R536" s="126">
        <f t="shared" si="585"/>
        <v>540000</v>
      </c>
      <c r="S536" s="126"/>
      <c r="T536" s="127">
        <f t="shared" si="586"/>
        <v>200000</v>
      </c>
      <c r="U536" s="122">
        <f t="shared" si="581"/>
        <v>2421000</v>
      </c>
      <c r="V536" s="333"/>
      <c r="W536" s="338">
        <f t="shared" si="582"/>
        <v>201750</v>
      </c>
      <c r="X536" s="128">
        <f t="shared" si="575"/>
        <v>108950</v>
      </c>
      <c r="Y536" s="128">
        <f t="shared" si="576"/>
        <v>73480</v>
      </c>
      <c r="Z536" s="128">
        <f t="shared" si="583"/>
        <v>4820</v>
      </c>
      <c r="AA536" s="128">
        <f t="shared" si="577"/>
        <v>21790</v>
      </c>
      <c r="AB536" s="128">
        <f t="shared" si="578"/>
        <v>19370</v>
      </c>
      <c r="AC536" s="129">
        <f t="shared" si="579"/>
        <v>430160</v>
      </c>
      <c r="AD536" s="619">
        <f t="shared" si="587"/>
        <v>1990840</v>
      </c>
    </row>
    <row r="537" spans="1:30" s="24" customFormat="1" ht="16.5" hidden="1" customHeight="1">
      <c r="A537" s="1150"/>
      <c r="B537" s="119"/>
      <c r="C537" s="120"/>
      <c r="D537" s="120"/>
      <c r="E537" s="124" t="s">
        <v>64</v>
      </c>
      <c r="F537" s="126">
        <f t="shared" si="588"/>
        <v>1681000</v>
      </c>
      <c r="G537" s="126"/>
      <c r="H537" s="126"/>
      <c r="I537" s="126"/>
      <c r="J537" s="126"/>
      <c r="K537" s="126"/>
      <c r="L537" s="126"/>
      <c r="M537" s="126"/>
      <c r="N537" s="126"/>
      <c r="O537" s="126">
        <f t="shared" si="580"/>
        <v>0</v>
      </c>
      <c r="P537" s="126"/>
      <c r="Q537" s="126">
        <f t="shared" si="584"/>
        <v>13500</v>
      </c>
      <c r="R537" s="126">
        <f t="shared" si="585"/>
        <v>540000</v>
      </c>
      <c r="S537" s="126"/>
      <c r="T537" s="127">
        <f t="shared" si="586"/>
        <v>200000</v>
      </c>
      <c r="U537" s="122">
        <f t="shared" si="581"/>
        <v>2421000</v>
      </c>
      <c r="V537" s="333"/>
      <c r="W537" s="338">
        <f t="shared" si="582"/>
        <v>201750</v>
      </c>
      <c r="X537" s="128">
        <f t="shared" si="575"/>
        <v>108950</v>
      </c>
      <c r="Y537" s="128">
        <f t="shared" si="576"/>
        <v>73480</v>
      </c>
      <c r="Z537" s="128">
        <f t="shared" si="583"/>
        <v>4820</v>
      </c>
      <c r="AA537" s="128">
        <f t="shared" si="577"/>
        <v>21790</v>
      </c>
      <c r="AB537" s="128">
        <f t="shared" si="578"/>
        <v>19370</v>
      </c>
      <c r="AC537" s="129">
        <f t="shared" si="579"/>
        <v>430160</v>
      </c>
      <c r="AD537" s="619">
        <f t="shared" si="587"/>
        <v>1990840</v>
      </c>
    </row>
    <row r="538" spans="1:30" s="24" customFormat="1" ht="16.5" hidden="1" customHeight="1">
      <c r="A538" s="1150"/>
      <c r="B538" s="119"/>
      <c r="C538" s="120"/>
      <c r="D538" s="120"/>
      <c r="E538" s="124" t="s">
        <v>463</v>
      </c>
      <c r="F538" s="126">
        <f t="shared" si="588"/>
        <v>1681000</v>
      </c>
      <c r="G538" s="126"/>
      <c r="H538" s="126"/>
      <c r="I538" s="126"/>
      <c r="J538" s="126"/>
      <c r="K538" s="126"/>
      <c r="L538" s="126"/>
      <c r="M538" s="126"/>
      <c r="N538" s="126"/>
      <c r="O538" s="126">
        <f t="shared" si="580"/>
        <v>0</v>
      </c>
      <c r="P538" s="126"/>
      <c r="Q538" s="126">
        <f t="shared" si="584"/>
        <v>13500</v>
      </c>
      <c r="R538" s="126">
        <f>Q538*40*2</f>
        <v>1080000</v>
      </c>
      <c r="S538" s="126"/>
      <c r="T538" s="127">
        <f t="shared" si="586"/>
        <v>200000</v>
      </c>
      <c r="U538" s="122">
        <f t="shared" si="581"/>
        <v>2961000</v>
      </c>
      <c r="V538" s="333"/>
      <c r="W538" s="338">
        <f t="shared" si="582"/>
        <v>246750</v>
      </c>
      <c r="X538" s="128">
        <f t="shared" si="575"/>
        <v>133250</v>
      </c>
      <c r="Y538" s="128">
        <f t="shared" si="576"/>
        <v>89870</v>
      </c>
      <c r="Z538" s="128">
        <f t="shared" si="583"/>
        <v>5890</v>
      </c>
      <c r="AA538" s="128">
        <f t="shared" si="577"/>
        <v>26650</v>
      </c>
      <c r="AB538" s="128">
        <f t="shared" si="578"/>
        <v>23690</v>
      </c>
      <c r="AC538" s="129">
        <f t="shared" si="579"/>
        <v>526100</v>
      </c>
      <c r="AD538" s="619">
        <f t="shared" si="587"/>
        <v>2434900</v>
      </c>
    </row>
    <row r="539" spans="1:30" s="24" customFormat="1" ht="16.5" hidden="1" customHeight="1">
      <c r="A539" s="1150">
        <v>42</v>
      </c>
      <c r="B539" s="119" t="s">
        <v>95</v>
      </c>
      <c r="C539" s="120" t="s">
        <v>810</v>
      </c>
      <c r="D539" s="120">
        <v>1</v>
      </c>
      <c r="E539" s="121" t="s">
        <v>94</v>
      </c>
      <c r="F539" s="122">
        <f t="shared" ref="F539:L539" si="589">SUM(F540:F551)</f>
        <v>13344000</v>
      </c>
      <c r="G539" s="122">
        <f t="shared" si="589"/>
        <v>0</v>
      </c>
      <c r="H539" s="122">
        <f t="shared" si="589"/>
        <v>0</v>
      </c>
      <c r="I539" s="122">
        <f t="shared" si="589"/>
        <v>0</v>
      </c>
      <c r="J539" s="122">
        <f t="shared" si="589"/>
        <v>0</v>
      </c>
      <c r="K539" s="122">
        <f t="shared" si="589"/>
        <v>0</v>
      </c>
      <c r="L539" s="122">
        <f t="shared" si="589"/>
        <v>0</v>
      </c>
      <c r="M539" s="122">
        <f>SUM(M540:M551)</f>
        <v>1008600</v>
      </c>
      <c r="N539" s="122">
        <f>SUM(N540:N551)</f>
        <v>0</v>
      </c>
      <c r="O539" s="122">
        <f>SUM(O540:O551)</f>
        <v>0</v>
      </c>
      <c r="P539" s="122"/>
      <c r="Q539" s="122"/>
      <c r="R539" s="122">
        <f>SUM(R540:R551)</f>
        <v>4290400</v>
      </c>
      <c r="S539" s="122">
        <f>SUM(S540:S551)</f>
        <v>0</v>
      </c>
      <c r="T539" s="122">
        <f>SUM(T540:T551)</f>
        <v>1600000</v>
      </c>
      <c r="U539" s="122">
        <f>SUM(U540:U551)</f>
        <v>20243000</v>
      </c>
      <c r="V539" s="333"/>
      <c r="W539" s="350">
        <f t="shared" ref="W539:AB539" si="590">SUM(W540:W551)</f>
        <v>1686930</v>
      </c>
      <c r="X539" s="122">
        <f t="shared" si="590"/>
        <v>910960</v>
      </c>
      <c r="Y539" s="122">
        <f t="shared" si="590"/>
        <v>614400</v>
      </c>
      <c r="Z539" s="122">
        <f t="shared" si="590"/>
        <v>40280</v>
      </c>
      <c r="AA539" s="122">
        <f t="shared" si="590"/>
        <v>182200</v>
      </c>
      <c r="AB539" s="122">
        <f t="shared" si="590"/>
        <v>161950</v>
      </c>
      <c r="AC539" s="123">
        <f>SUM(AC540:AC551)</f>
        <v>3596720</v>
      </c>
      <c r="AD539" s="618">
        <f t="shared" si="571"/>
        <v>16646280</v>
      </c>
    </row>
    <row r="540" spans="1:30" s="24" customFormat="1" ht="17.25" hidden="1" customHeight="1">
      <c r="A540" s="1150"/>
      <c r="B540" s="119" t="s">
        <v>809</v>
      </c>
      <c r="C540" s="120"/>
      <c r="D540" s="120"/>
      <c r="E540" s="124" t="s">
        <v>457</v>
      </c>
      <c r="F540" s="126"/>
      <c r="G540" s="126"/>
      <c r="H540" s="125"/>
      <c r="I540" s="125"/>
      <c r="J540" s="126"/>
      <c r="K540" s="126"/>
      <c r="L540" s="126"/>
      <c r="M540" s="126"/>
      <c r="N540" s="126"/>
      <c r="O540" s="126"/>
      <c r="P540" s="126"/>
      <c r="Q540" s="126"/>
      <c r="R540" s="126"/>
      <c r="S540" s="126"/>
      <c r="T540" s="127"/>
      <c r="U540" s="122">
        <f t="shared" ref="U540:U603" si="591">SUM(F540,M540,O540,R540,T540)</f>
        <v>0</v>
      </c>
      <c r="V540" s="333"/>
      <c r="W540" s="338">
        <f>ROUNDUP(U540*1/12,-1)</f>
        <v>0</v>
      </c>
      <c r="X540" s="128">
        <f t="shared" ref="X540:X551" si="592">ROUND(U540*4.5%,-1)</f>
        <v>0</v>
      </c>
      <c r="Y540" s="128">
        <f t="shared" ref="Y540:Y551" si="593">ROUNDUP((U540-L540)*3.035%,-1)</f>
        <v>0</v>
      </c>
      <c r="Z540" s="128">
        <f>ROUNDUP(Y540*6.55%,-1)</f>
        <v>0</v>
      </c>
      <c r="AA540" s="128">
        <f t="shared" ref="AA540:AA551" si="594">ROUND(U540*0.9%,-1)</f>
        <v>0</v>
      </c>
      <c r="AB540" s="128">
        <f t="shared" ref="AB540:AB551" si="595">ROUND(U540*0.8%,-1)</f>
        <v>0</v>
      </c>
      <c r="AC540" s="129">
        <f t="shared" ref="AC540:AC551" si="596">SUM(W540:AB540)</f>
        <v>0</v>
      </c>
      <c r="AD540" s="619">
        <f t="shared" si="571"/>
        <v>0</v>
      </c>
    </row>
    <row r="541" spans="1:30" s="24" customFormat="1" ht="16.5" hidden="1" customHeight="1">
      <c r="A541" s="1150"/>
      <c r="B541" s="119"/>
      <c r="C541" s="120"/>
      <c r="D541" s="120"/>
      <c r="E541" s="124" t="s">
        <v>458</v>
      </c>
      <c r="F541" s="126"/>
      <c r="G541" s="126"/>
      <c r="H541" s="126"/>
      <c r="I541" s="126"/>
      <c r="J541" s="126"/>
      <c r="K541" s="126"/>
      <c r="L541" s="126"/>
      <c r="M541" s="126">
        <f>F541*60%</f>
        <v>0</v>
      </c>
      <c r="N541" s="126"/>
      <c r="O541" s="126"/>
      <c r="P541" s="126"/>
      <c r="Q541" s="126"/>
      <c r="R541" s="126">
        <f>Q541*40</f>
        <v>0</v>
      </c>
      <c r="S541" s="126"/>
      <c r="T541" s="127"/>
      <c r="U541" s="122">
        <f t="shared" si="591"/>
        <v>0</v>
      </c>
      <c r="V541" s="333"/>
      <c r="W541" s="338">
        <f>ROUNDUP((T541+U541)*1/12,-1)</f>
        <v>0</v>
      </c>
      <c r="X541" s="128">
        <f t="shared" si="592"/>
        <v>0</v>
      </c>
      <c r="Y541" s="128">
        <f t="shared" si="593"/>
        <v>0</v>
      </c>
      <c r="Z541" s="128">
        <f t="shared" si="565"/>
        <v>0</v>
      </c>
      <c r="AA541" s="128">
        <f t="shared" si="594"/>
        <v>0</v>
      </c>
      <c r="AB541" s="128">
        <f t="shared" si="595"/>
        <v>0</v>
      </c>
      <c r="AC541" s="129">
        <f t="shared" si="596"/>
        <v>0</v>
      </c>
      <c r="AD541" s="619">
        <f t="shared" si="571"/>
        <v>0</v>
      </c>
    </row>
    <row r="542" spans="1:30" s="24" customFormat="1" ht="16.5" hidden="1" customHeight="1">
      <c r="A542" s="1150"/>
      <c r="B542" s="119"/>
      <c r="C542" s="120"/>
      <c r="D542" s="120"/>
      <c r="E542" s="124" t="s">
        <v>459</v>
      </c>
      <c r="F542" s="126"/>
      <c r="G542" s="126"/>
      <c r="H542" s="126"/>
      <c r="I542" s="126"/>
      <c r="J542" s="126"/>
      <c r="K542" s="126"/>
      <c r="L542" s="126"/>
      <c r="M542" s="126"/>
      <c r="N542" s="126"/>
      <c r="O542" s="126"/>
      <c r="P542" s="126"/>
      <c r="Q542" s="126"/>
      <c r="R542" s="126">
        <f t="shared" ref="R542:R550" si="597">Q542*40</f>
        <v>0</v>
      </c>
      <c r="S542" s="126"/>
      <c r="T542" s="127"/>
      <c r="U542" s="122">
        <f t="shared" si="591"/>
        <v>0</v>
      </c>
      <c r="V542" s="333"/>
      <c r="W542" s="338">
        <f t="shared" ref="W542:W551" si="598">ROUNDUP(U542*1/12,-1)</f>
        <v>0</v>
      </c>
      <c r="X542" s="128">
        <f t="shared" si="592"/>
        <v>0</v>
      </c>
      <c r="Y542" s="128">
        <f t="shared" si="593"/>
        <v>0</v>
      </c>
      <c r="Z542" s="128">
        <f t="shared" si="565"/>
        <v>0</v>
      </c>
      <c r="AA542" s="128">
        <f t="shared" si="594"/>
        <v>0</v>
      </c>
      <c r="AB542" s="128">
        <f t="shared" si="595"/>
        <v>0</v>
      </c>
      <c r="AC542" s="129">
        <f t="shared" si="596"/>
        <v>0</v>
      </c>
      <c r="AD542" s="619">
        <f t="shared" si="571"/>
        <v>0</v>
      </c>
    </row>
    <row r="543" spans="1:30" s="24" customFormat="1" ht="18" hidden="1" customHeight="1">
      <c r="A543" s="1150"/>
      <c r="B543" s="119"/>
      <c r="C543" s="120"/>
      <c r="D543" s="120"/>
      <c r="E543" s="124" t="s">
        <v>460</v>
      </c>
      <c r="F543" s="126"/>
      <c r="G543" s="126"/>
      <c r="H543" s="126"/>
      <c r="I543" s="126"/>
      <c r="J543" s="126"/>
      <c r="K543" s="126"/>
      <c r="L543" s="126"/>
      <c r="M543" s="126"/>
      <c r="N543" s="126"/>
      <c r="O543" s="126"/>
      <c r="P543" s="126"/>
      <c r="Q543" s="126"/>
      <c r="R543" s="126">
        <f t="shared" si="597"/>
        <v>0</v>
      </c>
      <c r="S543" s="126"/>
      <c r="T543" s="127"/>
      <c r="U543" s="122">
        <f t="shared" si="591"/>
        <v>0</v>
      </c>
      <c r="V543" s="333"/>
      <c r="W543" s="338">
        <f t="shared" si="598"/>
        <v>0</v>
      </c>
      <c r="X543" s="128">
        <f t="shared" si="592"/>
        <v>0</v>
      </c>
      <c r="Y543" s="128">
        <f t="shared" si="593"/>
        <v>0</v>
      </c>
      <c r="Z543" s="128">
        <f t="shared" si="565"/>
        <v>0</v>
      </c>
      <c r="AA543" s="128">
        <f t="shared" si="594"/>
        <v>0</v>
      </c>
      <c r="AB543" s="128">
        <f t="shared" si="595"/>
        <v>0</v>
      </c>
      <c r="AC543" s="129">
        <f t="shared" si="596"/>
        <v>0</v>
      </c>
      <c r="AD543" s="619">
        <f t="shared" si="571"/>
        <v>0</v>
      </c>
    </row>
    <row r="544" spans="1:30" s="24" customFormat="1" ht="18" hidden="1" customHeight="1">
      <c r="A544" s="1150"/>
      <c r="B544" s="119"/>
      <c r="C544" s="120">
        <v>2</v>
      </c>
      <c r="D544" s="120"/>
      <c r="E544" s="124" t="s">
        <v>461</v>
      </c>
      <c r="F544" s="126">
        <v>1629000</v>
      </c>
      <c r="G544" s="126"/>
      <c r="H544" s="126"/>
      <c r="I544" s="126"/>
      <c r="J544" s="126"/>
      <c r="K544" s="126"/>
      <c r="L544" s="126"/>
      <c r="M544" s="126"/>
      <c r="N544" s="126"/>
      <c r="O544" s="126"/>
      <c r="P544" s="126"/>
      <c r="Q544" s="126"/>
      <c r="R544" s="126">
        <f t="shared" si="597"/>
        <v>0</v>
      </c>
      <c r="S544" s="126"/>
      <c r="T544" s="127">
        <v>200000</v>
      </c>
      <c r="U544" s="122">
        <f t="shared" si="591"/>
        <v>1829000</v>
      </c>
      <c r="V544" s="333"/>
      <c r="W544" s="338">
        <f t="shared" si="598"/>
        <v>152420</v>
      </c>
      <c r="X544" s="128">
        <f t="shared" si="592"/>
        <v>82310</v>
      </c>
      <c r="Y544" s="128">
        <f t="shared" si="593"/>
        <v>55520</v>
      </c>
      <c r="Z544" s="128">
        <f t="shared" si="565"/>
        <v>3640</v>
      </c>
      <c r="AA544" s="128">
        <f t="shared" si="594"/>
        <v>16460</v>
      </c>
      <c r="AB544" s="128">
        <f t="shared" si="595"/>
        <v>14630</v>
      </c>
      <c r="AC544" s="129">
        <f t="shared" si="596"/>
        <v>324980</v>
      </c>
      <c r="AD544" s="619">
        <f t="shared" si="571"/>
        <v>1504020</v>
      </c>
    </row>
    <row r="545" spans="1:30" s="24" customFormat="1" ht="18" hidden="1" customHeight="1">
      <c r="A545" s="1150"/>
      <c r="B545" s="119"/>
      <c r="C545" s="120"/>
      <c r="D545" s="120"/>
      <c r="E545" s="124" t="s">
        <v>462</v>
      </c>
      <c r="F545" s="126">
        <f t="shared" ref="F545:F551" si="599">F544</f>
        <v>1629000</v>
      </c>
      <c r="G545" s="126"/>
      <c r="H545" s="126"/>
      <c r="I545" s="126"/>
      <c r="J545" s="126"/>
      <c r="K545" s="126"/>
      <c r="L545" s="126"/>
      <c r="M545" s="126"/>
      <c r="N545" s="126"/>
      <c r="O545" s="126"/>
      <c r="P545" s="126"/>
      <c r="Q545" s="126">
        <f t="shared" ref="Q545:Q551" si="600">ROUND((F544+T544)*1/209*1.5,-1)</f>
        <v>13130</v>
      </c>
      <c r="R545" s="126">
        <f t="shared" si="597"/>
        <v>525200</v>
      </c>
      <c r="S545" s="126"/>
      <c r="T545" s="127">
        <f t="shared" ref="T545:T551" si="601">T544</f>
        <v>200000</v>
      </c>
      <c r="U545" s="122">
        <f t="shared" si="591"/>
        <v>2354200</v>
      </c>
      <c r="V545" s="333"/>
      <c r="W545" s="338">
        <f t="shared" si="598"/>
        <v>196190</v>
      </c>
      <c r="X545" s="128">
        <f t="shared" si="592"/>
        <v>105940</v>
      </c>
      <c r="Y545" s="128">
        <f t="shared" si="593"/>
        <v>71450</v>
      </c>
      <c r="Z545" s="128">
        <f t="shared" si="565"/>
        <v>4680</v>
      </c>
      <c r="AA545" s="128">
        <f t="shared" si="594"/>
        <v>21190</v>
      </c>
      <c r="AB545" s="128">
        <f t="shared" si="595"/>
        <v>18830</v>
      </c>
      <c r="AC545" s="129">
        <f t="shared" si="596"/>
        <v>418280</v>
      </c>
      <c r="AD545" s="619">
        <f t="shared" si="571"/>
        <v>1935920</v>
      </c>
    </row>
    <row r="546" spans="1:30" s="24" customFormat="1" ht="16.5" hidden="1" customHeight="1">
      <c r="A546" s="1150"/>
      <c r="B546" s="119"/>
      <c r="C546" s="120">
        <v>3</v>
      </c>
      <c r="D546" s="120"/>
      <c r="E546" s="638" t="s">
        <v>330</v>
      </c>
      <c r="F546" s="591">
        <v>1681000</v>
      </c>
      <c r="G546" s="126"/>
      <c r="H546" s="125"/>
      <c r="I546" s="127"/>
      <c r="J546" s="126"/>
      <c r="K546" s="126"/>
      <c r="L546" s="126"/>
      <c r="M546" s="126"/>
      <c r="N546" s="126"/>
      <c r="O546" s="126"/>
      <c r="P546" s="126"/>
      <c r="Q546" s="126">
        <f t="shared" si="600"/>
        <v>13130</v>
      </c>
      <c r="R546" s="126">
        <f t="shared" si="597"/>
        <v>525200</v>
      </c>
      <c r="S546" s="126"/>
      <c r="T546" s="127">
        <f t="shared" si="601"/>
        <v>200000</v>
      </c>
      <c r="U546" s="122">
        <f t="shared" si="591"/>
        <v>2406200</v>
      </c>
      <c r="V546" s="333"/>
      <c r="W546" s="338">
        <f t="shared" si="598"/>
        <v>200520</v>
      </c>
      <c r="X546" s="128">
        <f t="shared" si="592"/>
        <v>108280</v>
      </c>
      <c r="Y546" s="128">
        <f t="shared" si="593"/>
        <v>73030</v>
      </c>
      <c r="Z546" s="128">
        <f t="shared" si="565"/>
        <v>4790</v>
      </c>
      <c r="AA546" s="128">
        <f t="shared" si="594"/>
        <v>21660</v>
      </c>
      <c r="AB546" s="128">
        <f t="shared" si="595"/>
        <v>19250</v>
      </c>
      <c r="AC546" s="129">
        <f t="shared" si="596"/>
        <v>427530</v>
      </c>
      <c r="AD546" s="619">
        <f t="shared" si="571"/>
        <v>1978670</v>
      </c>
    </row>
    <row r="547" spans="1:30" s="24" customFormat="1" ht="17.25" hidden="1" customHeight="1">
      <c r="A547" s="1150"/>
      <c r="B547" s="119"/>
      <c r="C547" s="120"/>
      <c r="D547" s="120"/>
      <c r="E547" s="124" t="s">
        <v>331</v>
      </c>
      <c r="F547" s="126">
        <f t="shared" si="599"/>
        <v>1681000</v>
      </c>
      <c r="G547" s="126"/>
      <c r="H547" s="126"/>
      <c r="I547" s="126"/>
      <c r="J547" s="126"/>
      <c r="K547" s="126"/>
      <c r="L547" s="126"/>
      <c r="M547" s="126"/>
      <c r="N547" s="126"/>
      <c r="O547" s="126"/>
      <c r="P547" s="126"/>
      <c r="Q547" s="126">
        <f t="shared" si="600"/>
        <v>13500</v>
      </c>
      <c r="R547" s="126">
        <f t="shared" si="597"/>
        <v>540000</v>
      </c>
      <c r="S547" s="126"/>
      <c r="T547" s="127">
        <f t="shared" si="601"/>
        <v>200000</v>
      </c>
      <c r="U547" s="122">
        <f t="shared" si="591"/>
        <v>2421000</v>
      </c>
      <c r="V547" s="333"/>
      <c r="W547" s="338">
        <f t="shared" si="598"/>
        <v>201750</v>
      </c>
      <c r="X547" s="128">
        <f t="shared" si="592"/>
        <v>108950</v>
      </c>
      <c r="Y547" s="128">
        <f t="shared" si="593"/>
        <v>73480</v>
      </c>
      <c r="Z547" s="128">
        <f t="shared" si="565"/>
        <v>4820</v>
      </c>
      <c r="AA547" s="128">
        <f t="shared" si="594"/>
        <v>21790</v>
      </c>
      <c r="AB547" s="128">
        <f t="shared" si="595"/>
        <v>19370</v>
      </c>
      <c r="AC547" s="129">
        <f t="shared" si="596"/>
        <v>430160</v>
      </c>
      <c r="AD547" s="619">
        <f t="shared" si="571"/>
        <v>1990840</v>
      </c>
    </row>
    <row r="548" spans="1:30" s="24" customFormat="1" ht="17.25" hidden="1" customHeight="1">
      <c r="A548" s="1150"/>
      <c r="B548" s="119"/>
      <c r="C548" s="120"/>
      <c r="D548" s="120"/>
      <c r="E548" s="124" t="s">
        <v>62</v>
      </c>
      <c r="F548" s="126">
        <f t="shared" si="599"/>
        <v>1681000</v>
      </c>
      <c r="G548" s="126"/>
      <c r="H548" s="126"/>
      <c r="I548" s="126"/>
      <c r="J548" s="126"/>
      <c r="K548" s="126"/>
      <c r="L548" s="126"/>
      <c r="M548" s="126">
        <f>F548*60%</f>
        <v>1008600</v>
      </c>
      <c r="N548" s="126"/>
      <c r="O548" s="126"/>
      <c r="P548" s="126"/>
      <c r="Q548" s="126">
        <f t="shared" si="600"/>
        <v>13500</v>
      </c>
      <c r="R548" s="126">
        <f t="shared" si="597"/>
        <v>540000</v>
      </c>
      <c r="S548" s="126"/>
      <c r="T548" s="127">
        <f t="shared" si="601"/>
        <v>200000</v>
      </c>
      <c r="U548" s="122">
        <f t="shared" si="591"/>
        <v>3429600</v>
      </c>
      <c r="V548" s="333"/>
      <c r="W548" s="338">
        <f t="shared" si="598"/>
        <v>285800</v>
      </c>
      <c r="X548" s="128">
        <f t="shared" si="592"/>
        <v>154330</v>
      </c>
      <c r="Y548" s="128">
        <f t="shared" si="593"/>
        <v>104090</v>
      </c>
      <c r="Z548" s="128">
        <f t="shared" si="565"/>
        <v>6820</v>
      </c>
      <c r="AA548" s="128">
        <f t="shared" si="594"/>
        <v>30870</v>
      </c>
      <c r="AB548" s="128">
        <f t="shared" si="595"/>
        <v>27440</v>
      </c>
      <c r="AC548" s="129">
        <f t="shared" si="596"/>
        <v>609350</v>
      </c>
      <c r="AD548" s="619">
        <f t="shared" si="571"/>
        <v>2820250</v>
      </c>
    </row>
    <row r="549" spans="1:30" s="24" customFormat="1" ht="17.25" hidden="1" customHeight="1">
      <c r="A549" s="1150"/>
      <c r="B549" s="119"/>
      <c r="C549" s="120"/>
      <c r="D549" s="120"/>
      <c r="E549" s="124" t="s">
        <v>63</v>
      </c>
      <c r="F549" s="126">
        <f t="shared" si="599"/>
        <v>1681000</v>
      </c>
      <c r="G549" s="126"/>
      <c r="H549" s="126"/>
      <c r="I549" s="126"/>
      <c r="J549" s="126"/>
      <c r="K549" s="126"/>
      <c r="L549" s="126"/>
      <c r="M549" s="126"/>
      <c r="N549" s="126"/>
      <c r="O549" s="126"/>
      <c r="P549" s="126"/>
      <c r="Q549" s="126">
        <f t="shared" si="600"/>
        <v>13500</v>
      </c>
      <c r="R549" s="126">
        <f t="shared" si="597"/>
        <v>540000</v>
      </c>
      <c r="S549" s="126"/>
      <c r="T549" s="127">
        <f t="shared" si="601"/>
        <v>200000</v>
      </c>
      <c r="U549" s="122">
        <f t="shared" si="591"/>
        <v>2421000</v>
      </c>
      <c r="V549" s="333"/>
      <c r="W549" s="338">
        <f t="shared" si="598"/>
        <v>201750</v>
      </c>
      <c r="X549" s="128">
        <f t="shared" si="592"/>
        <v>108950</v>
      </c>
      <c r="Y549" s="128">
        <f t="shared" si="593"/>
        <v>73480</v>
      </c>
      <c r="Z549" s="128">
        <f t="shared" si="565"/>
        <v>4820</v>
      </c>
      <c r="AA549" s="128">
        <f t="shared" si="594"/>
        <v>21790</v>
      </c>
      <c r="AB549" s="128">
        <f t="shared" si="595"/>
        <v>19370</v>
      </c>
      <c r="AC549" s="129">
        <f t="shared" si="596"/>
        <v>430160</v>
      </c>
      <c r="AD549" s="619">
        <f t="shared" si="571"/>
        <v>1990840</v>
      </c>
    </row>
    <row r="550" spans="1:30" s="24" customFormat="1" ht="16.5" hidden="1" customHeight="1">
      <c r="A550" s="1150"/>
      <c r="B550" s="119"/>
      <c r="C550" s="120"/>
      <c r="D550" s="120"/>
      <c r="E550" s="124" t="s">
        <v>64</v>
      </c>
      <c r="F550" s="126">
        <f t="shared" si="599"/>
        <v>1681000</v>
      </c>
      <c r="G550" s="126"/>
      <c r="H550" s="126"/>
      <c r="I550" s="126"/>
      <c r="J550" s="126"/>
      <c r="K550" s="126"/>
      <c r="L550" s="126"/>
      <c r="M550" s="126"/>
      <c r="N550" s="126"/>
      <c r="O550" s="126"/>
      <c r="P550" s="126"/>
      <c r="Q550" s="126">
        <f t="shared" si="600"/>
        <v>13500</v>
      </c>
      <c r="R550" s="126">
        <f t="shared" si="597"/>
        <v>540000</v>
      </c>
      <c r="S550" s="126"/>
      <c r="T550" s="127">
        <f t="shared" si="601"/>
        <v>200000</v>
      </c>
      <c r="U550" s="122">
        <f t="shared" si="591"/>
        <v>2421000</v>
      </c>
      <c r="V550" s="333"/>
      <c r="W550" s="338">
        <f t="shared" si="598"/>
        <v>201750</v>
      </c>
      <c r="X550" s="128">
        <f t="shared" si="592"/>
        <v>108950</v>
      </c>
      <c r="Y550" s="128">
        <f t="shared" si="593"/>
        <v>73480</v>
      </c>
      <c r="Z550" s="128">
        <f t="shared" si="565"/>
        <v>4820</v>
      </c>
      <c r="AA550" s="128">
        <f t="shared" si="594"/>
        <v>21790</v>
      </c>
      <c r="AB550" s="128">
        <f t="shared" si="595"/>
        <v>19370</v>
      </c>
      <c r="AC550" s="129">
        <f t="shared" si="596"/>
        <v>430160</v>
      </c>
      <c r="AD550" s="619">
        <f t="shared" si="571"/>
        <v>1990840</v>
      </c>
    </row>
    <row r="551" spans="1:30" s="24" customFormat="1" ht="16.5" hidden="1" customHeight="1">
      <c r="A551" s="1150"/>
      <c r="B551" s="119"/>
      <c r="C551" s="120"/>
      <c r="D551" s="120"/>
      <c r="E551" s="124" t="s">
        <v>463</v>
      </c>
      <c r="F551" s="126">
        <f t="shared" si="599"/>
        <v>1681000</v>
      </c>
      <c r="G551" s="126"/>
      <c r="H551" s="126"/>
      <c r="I551" s="126"/>
      <c r="J551" s="126"/>
      <c r="K551" s="126"/>
      <c r="L551" s="126"/>
      <c r="M551" s="126"/>
      <c r="N551" s="126"/>
      <c r="O551" s="126"/>
      <c r="P551" s="126"/>
      <c r="Q551" s="126">
        <f t="shared" si="600"/>
        <v>13500</v>
      </c>
      <c r="R551" s="126">
        <f>Q551*40*2</f>
        <v>1080000</v>
      </c>
      <c r="S551" s="126"/>
      <c r="T551" s="127">
        <f t="shared" si="601"/>
        <v>200000</v>
      </c>
      <c r="U551" s="122">
        <f t="shared" si="591"/>
        <v>2961000</v>
      </c>
      <c r="V551" s="333"/>
      <c r="W551" s="338">
        <f t="shared" si="598"/>
        <v>246750</v>
      </c>
      <c r="X551" s="128">
        <f t="shared" si="592"/>
        <v>133250</v>
      </c>
      <c r="Y551" s="128">
        <f t="shared" si="593"/>
        <v>89870</v>
      </c>
      <c r="Z551" s="128">
        <f t="shared" si="565"/>
        <v>5890</v>
      </c>
      <c r="AA551" s="128">
        <f t="shared" si="594"/>
        <v>26650</v>
      </c>
      <c r="AB551" s="128">
        <f t="shared" si="595"/>
        <v>23690</v>
      </c>
      <c r="AC551" s="129">
        <f t="shared" si="596"/>
        <v>526100</v>
      </c>
      <c r="AD551" s="619">
        <f t="shared" si="571"/>
        <v>2434900</v>
      </c>
    </row>
    <row r="552" spans="1:30" s="24" customFormat="1" ht="16.5" customHeight="1">
      <c r="A552" s="1150">
        <v>43</v>
      </c>
      <c r="B552" s="119" t="s">
        <v>655</v>
      </c>
      <c r="C552" s="120" t="s">
        <v>526</v>
      </c>
      <c r="D552" s="120">
        <v>1</v>
      </c>
      <c r="E552" s="121" t="s">
        <v>94</v>
      </c>
      <c r="F552" s="122">
        <f t="shared" ref="F552:L552" si="602">SUM(F553:F564)</f>
        <v>21164000</v>
      </c>
      <c r="G552" s="122">
        <f t="shared" si="602"/>
        <v>0</v>
      </c>
      <c r="H552" s="122">
        <f t="shared" si="602"/>
        <v>0</v>
      </c>
      <c r="I552" s="122">
        <f t="shared" si="602"/>
        <v>0</v>
      </c>
      <c r="J552" s="122">
        <f t="shared" si="602"/>
        <v>0</v>
      </c>
      <c r="K552" s="122">
        <f t="shared" si="602"/>
        <v>0</v>
      </c>
      <c r="L552" s="122">
        <f t="shared" si="602"/>
        <v>0</v>
      </c>
      <c r="M552" s="122">
        <f>SUM(M553:M564)</f>
        <v>2127000</v>
      </c>
      <c r="N552" s="122">
        <f>SUM(N553:N564)</f>
        <v>0</v>
      </c>
      <c r="O552" s="122">
        <f>SUM(O553:O564)</f>
        <v>480000</v>
      </c>
      <c r="P552" s="122"/>
      <c r="Q552" s="122"/>
      <c r="R552" s="122">
        <f>SUM(R553:R564)</f>
        <v>3469600</v>
      </c>
      <c r="S552" s="122">
        <f>SUM(S553:S564)</f>
        <v>793850</v>
      </c>
      <c r="T552" s="122">
        <f>SUM(T553:T564)</f>
        <v>3000000</v>
      </c>
      <c r="U552" s="122">
        <f>SUM(U553:U564)</f>
        <v>30240600</v>
      </c>
      <c r="V552" s="333"/>
      <c r="W552" s="350">
        <f t="shared" ref="W552:AB552" si="603">SUM(W553:W564)</f>
        <v>2540900</v>
      </c>
      <c r="X552" s="122">
        <f t="shared" si="603"/>
        <v>1360840</v>
      </c>
      <c r="Y552" s="122">
        <f t="shared" si="603"/>
        <v>917890</v>
      </c>
      <c r="Z552" s="122">
        <f t="shared" si="603"/>
        <v>60150</v>
      </c>
      <c r="AA552" s="122">
        <f t="shared" si="603"/>
        <v>272150</v>
      </c>
      <c r="AB552" s="122">
        <f t="shared" si="603"/>
        <v>241930</v>
      </c>
      <c r="AC552" s="123">
        <f>SUM(AC553:AC564)</f>
        <v>5393860</v>
      </c>
      <c r="AD552" s="618">
        <f t="shared" ref="AD552:AD564" si="604">U552-AC552</f>
        <v>24846740</v>
      </c>
    </row>
    <row r="553" spans="1:30" s="24" customFormat="1" ht="17.25" hidden="1" customHeight="1">
      <c r="A553" s="1150"/>
      <c r="B553" s="119" t="s">
        <v>563</v>
      </c>
      <c r="C553" s="120">
        <v>7</v>
      </c>
      <c r="D553" s="120"/>
      <c r="E553" s="124" t="s">
        <v>324</v>
      </c>
      <c r="F553" s="125">
        <v>1746000</v>
      </c>
      <c r="G553" s="126"/>
      <c r="H553" s="125"/>
      <c r="I553" s="127"/>
      <c r="J553" s="126"/>
      <c r="K553" s="126"/>
      <c r="L553" s="126"/>
      <c r="M553" s="126"/>
      <c r="N553" s="126"/>
      <c r="O553" s="126">
        <v>40000</v>
      </c>
      <c r="P553" s="126"/>
      <c r="Q553" s="126"/>
      <c r="R553" s="126"/>
      <c r="S553" s="126"/>
      <c r="T553" s="127">
        <v>250000</v>
      </c>
      <c r="U553" s="122">
        <f>SUM(F553,M553,O553,R553,T553)</f>
        <v>2036000</v>
      </c>
      <c r="V553" s="333"/>
      <c r="W553" s="338">
        <f>ROUNDUP(U553*1/12,-1)</f>
        <v>169670</v>
      </c>
      <c r="X553" s="128">
        <f t="shared" ref="X553:X564" si="605">ROUND(U553*4.5%,-1)</f>
        <v>91620</v>
      </c>
      <c r="Y553" s="128">
        <f t="shared" ref="Y553:Y564" si="606">ROUNDUP((U553-L553)*3.035%,-1)</f>
        <v>61800</v>
      </c>
      <c r="Z553" s="128">
        <f t="shared" ref="Z553:Z616" si="607">ROUNDUP(Y553*6.55%,-1)</f>
        <v>4050</v>
      </c>
      <c r="AA553" s="128">
        <f t="shared" ref="AA553:AA564" si="608">ROUND(U553*0.9%,-1)</f>
        <v>18320</v>
      </c>
      <c r="AB553" s="128">
        <f t="shared" ref="AB553:AB564" si="609">ROUND(U553*0.8%,-1)</f>
        <v>16290</v>
      </c>
      <c r="AC553" s="129">
        <f t="shared" ref="AC553:AC564" si="610">SUM(W553:AB553)</f>
        <v>361750</v>
      </c>
      <c r="AD553" s="619">
        <f t="shared" si="604"/>
        <v>1674250</v>
      </c>
    </row>
    <row r="554" spans="1:30" s="24" customFormat="1" ht="16.5" hidden="1" customHeight="1">
      <c r="A554" s="1150"/>
      <c r="B554" s="119"/>
      <c r="C554" s="120"/>
      <c r="D554" s="120"/>
      <c r="E554" s="124" t="s">
        <v>325</v>
      </c>
      <c r="F554" s="126">
        <v>1746000</v>
      </c>
      <c r="G554" s="126"/>
      <c r="H554" s="126"/>
      <c r="I554" s="126"/>
      <c r="J554" s="126"/>
      <c r="K554" s="126"/>
      <c r="L554" s="126"/>
      <c r="M554" s="126">
        <f>F554*60%</f>
        <v>1047600</v>
      </c>
      <c r="N554" s="126"/>
      <c r="O554" s="126">
        <f t="shared" ref="O554:O564" si="611">O553</f>
        <v>40000</v>
      </c>
      <c r="P554" s="126"/>
      <c r="Q554" s="126">
        <f t="shared" ref="Q554:Q564" si="612">ROUND((F553+T553)*1/209*1.5,-1)</f>
        <v>14330</v>
      </c>
      <c r="R554" s="126">
        <f>Q554*20</f>
        <v>286600</v>
      </c>
      <c r="S554" s="126">
        <f>Q554*5</f>
        <v>71650</v>
      </c>
      <c r="T554" s="127">
        <f t="shared" ref="T554:T564" si="613">T553</f>
        <v>250000</v>
      </c>
      <c r="U554" s="122">
        <f t="shared" si="591"/>
        <v>3370200</v>
      </c>
      <c r="V554" s="333"/>
      <c r="W554" s="338">
        <f>ROUNDUP((T554+U554)*1/12,-1)</f>
        <v>301690</v>
      </c>
      <c r="X554" s="128">
        <f t="shared" si="605"/>
        <v>151660</v>
      </c>
      <c r="Y554" s="128">
        <f t="shared" si="606"/>
        <v>102290</v>
      </c>
      <c r="Z554" s="128">
        <f t="shared" si="607"/>
        <v>6700</v>
      </c>
      <c r="AA554" s="128">
        <f t="shared" si="608"/>
        <v>30330</v>
      </c>
      <c r="AB554" s="128">
        <f t="shared" si="609"/>
        <v>26960</v>
      </c>
      <c r="AC554" s="129">
        <f t="shared" si="610"/>
        <v>619630</v>
      </c>
      <c r="AD554" s="619">
        <f t="shared" si="604"/>
        <v>2750570</v>
      </c>
    </row>
    <row r="555" spans="1:30" s="24" customFormat="1" ht="16.5" hidden="1" customHeight="1">
      <c r="A555" s="1150"/>
      <c r="B555" s="119"/>
      <c r="C555" s="120"/>
      <c r="D555" s="120"/>
      <c r="E555" s="124" t="s">
        <v>326</v>
      </c>
      <c r="F555" s="126">
        <f>F553</f>
        <v>1746000</v>
      </c>
      <c r="G555" s="126"/>
      <c r="H555" s="126"/>
      <c r="I555" s="126"/>
      <c r="J555" s="126"/>
      <c r="K555" s="126"/>
      <c r="L555" s="126"/>
      <c r="M555" s="126"/>
      <c r="N555" s="126"/>
      <c r="O555" s="126">
        <f t="shared" si="611"/>
        <v>40000</v>
      </c>
      <c r="P555" s="126"/>
      <c r="Q555" s="126">
        <f t="shared" si="612"/>
        <v>14330</v>
      </c>
      <c r="R555" s="126">
        <f t="shared" ref="R555:R563" si="614">Q555*20</f>
        <v>286600</v>
      </c>
      <c r="S555" s="126">
        <f t="shared" ref="S555:S564" si="615">Q555*5</f>
        <v>71650</v>
      </c>
      <c r="T555" s="127">
        <f t="shared" si="613"/>
        <v>250000</v>
      </c>
      <c r="U555" s="122">
        <f t="shared" si="591"/>
        <v>2322600</v>
      </c>
      <c r="V555" s="333"/>
      <c r="W555" s="338">
        <f t="shared" ref="W555:W564" si="616">ROUNDUP(U555*1/12,-1)</f>
        <v>193550</v>
      </c>
      <c r="X555" s="128">
        <f t="shared" si="605"/>
        <v>104520</v>
      </c>
      <c r="Y555" s="128">
        <f t="shared" si="606"/>
        <v>70500</v>
      </c>
      <c r="Z555" s="128">
        <f t="shared" si="607"/>
        <v>4620</v>
      </c>
      <c r="AA555" s="128">
        <f t="shared" si="608"/>
        <v>20900</v>
      </c>
      <c r="AB555" s="128">
        <f t="shared" si="609"/>
        <v>18580</v>
      </c>
      <c r="AC555" s="129">
        <f t="shared" si="610"/>
        <v>412670</v>
      </c>
      <c r="AD555" s="619">
        <f t="shared" si="604"/>
        <v>1909930</v>
      </c>
    </row>
    <row r="556" spans="1:30" s="24" customFormat="1" ht="16.5" hidden="1" customHeight="1">
      <c r="A556" s="1150"/>
      <c r="B556" s="119"/>
      <c r="C556" s="120"/>
      <c r="D556" s="120"/>
      <c r="E556" s="124" t="s">
        <v>327</v>
      </c>
      <c r="F556" s="126">
        <f>F553</f>
        <v>1746000</v>
      </c>
      <c r="G556" s="126"/>
      <c r="H556" s="126"/>
      <c r="I556" s="126"/>
      <c r="J556" s="126"/>
      <c r="K556" s="126"/>
      <c r="L556" s="126"/>
      <c r="M556" s="126"/>
      <c r="N556" s="126"/>
      <c r="O556" s="126">
        <f t="shared" si="611"/>
        <v>40000</v>
      </c>
      <c r="P556" s="126"/>
      <c r="Q556" s="126">
        <f t="shared" si="612"/>
        <v>14330</v>
      </c>
      <c r="R556" s="126">
        <f t="shared" si="614"/>
        <v>286600</v>
      </c>
      <c r="S556" s="126">
        <f t="shared" si="615"/>
        <v>71650</v>
      </c>
      <c r="T556" s="127">
        <f t="shared" si="613"/>
        <v>250000</v>
      </c>
      <c r="U556" s="122">
        <f t="shared" si="591"/>
        <v>2322600</v>
      </c>
      <c r="V556" s="333"/>
      <c r="W556" s="338">
        <f t="shared" si="616"/>
        <v>193550</v>
      </c>
      <c r="X556" s="128">
        <f t="shared" si="605"/>
        <v>104520</v>
      </c>
      <c r="Y556" s="128">
        <f t="shared" si="606"/>
        <v>70500</v>
      </c>
      <c r="Z556" s="128">
        <f t="shared" si="607"/>
        <v>4620</v>
      </c>
      <c r="AA556" s="128">
        <f t="shared" si="608"/>
        <v>20900</v>
      </c>
      <c r="AB556" s="128">
        <f t="shared" si="609"/>
        <v>18580</v>
      </c>
      <c r="AC556" s="129">
        <f t="shared" si="610"/>
        <v>412670</v>
      </c>
      <c r="AD556" s="619">
        <f t="shared" si="604"/>
        <v>1909930</v>
      </c>
    </row>
    <row r="557" spans="1:30" s="24" customFormat="1" ht="16.5" hidden="1" customHeight="1">
      <c r="A557" s="1150"/>
      <c r="B557" s="119"/>
      <c r="C557" s="120"/>
      <c r="D557" s="120"/>
      <c r="E557" s="124" t="s">
        <v>328</v>
      </c>
      <c r="F557" s="126">
        <f>F553</f>
        <v>1746000</v>
      </c>
      <c r="G557" s="126"/>
      <c r="H557" s="126"/>
      <c r="I557" s="126"/>
      <c r="J557" s="126"/>
      <c r="K557" s="126"/>
      <c r="L557" s="126"/>
      <c r="M557" s="126"/>
      <c r="N557" s="126"/>
      <c r="O557" s="126">
        <f t="shared" si="611"/>
        <v>40000</v>
      </c>
      <c r="P557" s="126"/>
      <c r="Q557" s="126">
        <f t="shared" si="612"/>
        <v>14330</v>
      </c>
      <c r="R557" s="126">
        <f t="shared" si="614"/>
        <v>286600</v>
      </c>
      <c r="S557" s="126">
        <f t="shared" si="615"/>
        <v>71650</v>
      </c>
      <c r="T557" s="127">
        <f t="shared" si="613"/>
        <v>250000</v>
      </c>
      <c r="U557" s="122">
        <f t="shared" si="591"/>
        <v>2322600</v>
      </c>
      <c r="V557" s="333"/>
      <c r="W557" s="338">
        <f t="shared" si="616"/>
        <v>193550</v>
      </c>
      <c r="X557" s="128">
        <f t="shared" si="605"/>
        <v>104520</v>
      </c>
      <c r="Y557" s="128">
        <f t="shared" si="606"/>
        <v>70500</v>
      </c>
      <c r="Z557" s="128">
        <f t="shared" si="607"/>
        <v>4620</v>
      </c>
      <c r="AA557" s="128">
        <f t="shared" si="608"/>
        <v>20900</v>
      </c>
      <c r="AB557" s="128">
        <f t="shared" si="609"/>
        <v>18580</v>
      </c>
      <c r="AC557" s="129">
        <f t="shared" si="610"/>
        <v>412670</v>
      </c>
      <c r="AD557" s="619">
        <f t="shared" si="604"/>
        <v>1909930</v>
      </c>
    </row>
    <row r="558" spans="1:30" s="24" customFormat="1" ht="16.5" hidden="1" customHeight="1">
      <c r="A558" s="1150"/>
      <c r="B558" s="119"/>
      <c r="C558" s="120"/>
      <c r="D558" s="120"/>
      <c r="E558" s="124" t="s">
        <v>329</v>
      </c>
      <c r="F558" s="126">
        <f>F553</f>
        <v>1746000</v>
      </c>
      <c r="G558" s="126"/>
      <c r="H558" s="126"/>
      <c r="I558" s="126"/>
      <c r="J558" s="126"/>
      <c r="K558" s="126"/>
      <c r="L558" s="126"/>
      <c r="M558" s="126"/>
      <c r="N558" s="126"/>
      <c r="O558" s="126">
        <f t="shared" si="611"/>
        <v>40000</v>
      </c>
      <c r="P558" s="126"/>
      <c r="Q558" s="126">
        <f t="shared" si="612"/>
        <v>14330</v>
      </c>
      <c r="R558" s="126">
        <f t="shared" si="614"/>
        <v>286600</v>
      </c>
      <c r="S558" s="126">
        <f t="shared" si="615"/>
        <v>71650</v>
      </c>
      <c r="T558" s="127">
        <f t="shared" si="613"/>
        <v>250000</v>
      </c>
      <c r="U558" s="122">
        <f t="shared" si="591"/>
        <v>2322600</v>
      </c>
      <c r="V558" s="333"/>
      <c r="W558" s="338">
        <f t="shared" si="616"/>
        <v>193550</v>
      </c>
      <c r="X558" s="128">
        <f t="shared" si="605"/>
        <v>104520</v>
      </c>
      <c r="Y558" s="128">
        <f t="shared" si="606"/>
        <v>70500</v>
      </c>
      <c r="Z558" s="128">
        <f t="shared" si="607"/>
        <v>4620</v>
      </c>
      <c r="AA558" s="128">
        <f t="shared" si="608"/>
        <v>20900</v>
      </c>
      <c r="AB558" s="128">
        <f t="shared" si="609"/>
        <v>18580</v>
      </c>
      <c r="AC558" s="129">
        <f t="shared" si="610"/>
        <v>412670</v>
      </c>
      <c r="AD558" s="619">
        <f t="shared" si="604"/>
        <v>1909930</v>
      </c>
    </row>
    <row r="559" spans="1:30" s="24" customFormat="1" ht="16.5" hidden="1" customHeight="1">
      <c r="A559" s="1150"/>
      <c r="B559" s="119"/>
      <c r="C559" s="120"/>
      <c r="D559" s="120"/>
      <c r="E559" s="124" t="s">
        <v>330</v>
      </c>
      <c r="F559" s="128">
        <f>F558</f>
        <v>1746000</v>
      </c>
      <c r="G559" s="126"/>
      <c r="H559" s="125"/>
      <c r="I559" s="127"/>
      <c r="J559" s="126"/>
      <c r="K559" s="126"/>
      <c r="L559" s="126"/>
      <c r="M559" s="126"/>
      <c r="N559" s="126"/>
      <c r="O559" s="126">
        <f t="shared" si="611"/>
        <v>40000</v>
      </c>
      <c r="P559" s="126"/>
      <c r="Q559" s="126">
        <f t="shared" si="612"/>
        <v>14330</v>
      </c>
      <c r="R559" s="126">
        <f t="shared" si="614"/>
        <v>286600</v>
      </c>
      <c r="S559" s="126">
        <f t="shared" si="615"/>
        <v>71650</v>
      </c>
      <c r="T559" s="127">
        <f t="shared" si="613"/>
        <v>250000</v>
      </c>
      <c r="U559" s="122">
        <f t="shared" si="591"/>
        <v>2322600</v>
      </c>
      <c r="V559" s="333"/>
      <c r="W559" s="338">
        <f t="shared" si="616"/>
        <v>193550</v>
      </c>
      <c r="X559" s="128">
        <f t="shared" si="605"/>
        <v>104520</v>
      </c>
      <c r="Y559" s="128">
        <f t="shared" si="606"/>
        <v>70500</v>
      </c>
      <c r="Z559" s="128">
        <f t="shared" si="607"/>
        <v>4620</v>
      </c>
      <c r="AA559" s="128">
        <f t="shared" si="608"/>
        <v>20900</v>
      </c>
      <c r="AB559" s="128">
        <f t="shared" si="609"/>
        <v>18580</v>
      </c>
      <c r="AC559" s="129">
        <f t="shared" si="610"/>
        <v>412670</v>
      </c>
      <c r="AD559" s="619">
        <f t="shared" si="604"/>
        <v>1909930</v>
      </c>
    </row>
    <row r="560" spans="1:30" s="24" customFormat="1" ht="16.5" hidden="1" customHeight="1">
      <c r="A560" s="1150"/>
      <c r="B560" s="119"/>
      <c r="C560" s="120"/>
      <c r="D560" s="120"/>
      <c r="E560" s="124" t="s">
        <v>331</v>
      </c>
      <c r="F560" s="126">
        <f>F559</f>
        <v>1746000</v>
      </c>
      <c r="G560" s="126"/>
      <c r="H560" s="126"/>
      <c r="I560" s="126"/>
      <c r="J560" s="126"/>
      <c r="K560" s="126"/>
      <c r="L560" s="126"/>
      <c r="M560" s="126"/>
      <c r="N560" s="126"/>
      <c r="O560" s="126">
        <f t="shared" si="611"/>
        <v>40000</v>
      </c>
      <c r="P560" s="126"/>
      <c r="Q560" s="126">
        <f t="shared" si="612"/>
        <v>14330</v>
      </c>
      <c r="R560" s="126">
        <f t="shared" si="614"/>
        <v>286600</v>
      </c>
      <c r="S560" s="126">
        <f t="shared" si="615"/>
        <v>71650</v>
      </c>
      <c r="T560" s="127">
        <f t="shared" si="613"/>
        <v>250000</v>
      </c>
      <c r="U560" s="122">
        <f t="shared" si="591"/>
        <v>2322600</v>
      </c>
      <c r="V560" s="333"/>
      <c r="W560" s="338">
        <f t="shared" si="616"/>
        <v>193550</v>
      </c>
      <c r="X560" s="128">
        <f t="shared" si="605"/>
        <v>104520</v>
      </c>
      <c r="Y560" s="128">
        <f t="shared" si="606"/>
        <v>70500</v>
      </c>
      <c r="Z560" s="128">
        <f t="shared" si="607"/>
        <v>4620</v>
      </c>
      <c r="AA560" s="128">
        <f t="shared" si="608"/>
        <v>20900</v>
      </c>
      <c r="AB560" s="128">
        <f t="shared" si="609"/>
        <v>18580</v>
      </c>
      <c r="AC560" s="129">
        <f t="shared" si="610"/>
        <v>412670</v>
      </c>
      <c r="AD560" s="619">
        <f t="shared" si="604"/>
        <v>1909930</v>
      </c>
    </row>
    <row r="561" spans="1:30" s="24" customFormat="1" ht="16.5" hidden="1" customHeight="1">
      <c r="A561" s="1150"/>
      <c r="B561" s="119"/>
      <c r="C561" s="120">
        <v>8</v>
      </c>
      <c r="D561" s="120"/>
      <c r="E561" s="124" t="s">
        <v>62</v>
      </c>
      <c r="F561" s="591">
        <v>1799000</v>
      </c>
      <c r="G561" s="126"/>
      <c r="H561" s="126"/>
      <c r="I561" s="126"/>
      <c r="J561" s="126"/>
      <c r="K561" s="126"/>
      <c r="L561" s="126"/>
      <c r="M561" s="126">
        <f>F561*60%</f>
        <v>1079400</v>
      </c>
      <c r="N561" s="126"/>
      <c r="O561" s="126">
        <f t="shared" si="611"/>
        <v>40000</v>
      </c>
      <c r="P561" s="126"/>
      <c r="Q561" s="126">
        <f t="shared" si="612"/>
        <v>14330</v>
      </c>
      <c r="R561" s="126">
        <f t="shared" si="614"/>
        <v>286600</v>
      </c>
      <c r="S561" s="126">
        <f t="shared" si="615"/>
        <v>71650</v>
      </c>
      <c r="T561" s="127">
        <v>250000</v>
      </c>
      <c r="U561" s="122">
        <f t="shared" si="591"/>
        <v>3455000</v>
      </c>
      <c r="V561" s="333"/>
      <c r="W561" s="338">
        <f t="shared" si="616"/>
        <v>287920</v>
      </c>
      <c r="X561" s="128">
        <f t="shared" si="605"/>
        <v>155480</v>
      </c>
      <c r="Y561" s="128">
        <f t="shared" si="606"/>
        <v>104860</v>
      </c>
      <c r="Z561" s="128">
        <f t="shared" si="607"/>
        <v>6870</v>
      </c>
      <c r="AA561" s="128">
        <f t="shared" si="608"/>
        <v>31100</v>
      </c>
      <c r="AB561" s="128">
        <f t="shared" si="609"/>
        <v>27640</v>
      </c>
      <c r="AC561" s="129">
        <f t="shared" si="610"/>
        <v>613870</v>
      </c>
      <c r="AD561" s="619">
        <f t="shared" si="604"/>
        <v>2841130</v>
      </c>
    </row>
    <row r="562" spans="1:30" s="24" customFormat="1" ht="16.5" hidden="1" customHeight="1">
      <c r="A562" s="1150"/>
      <c r="B562" s="119"/>
      <c r="C562" s="120"/>
      <c r="D562" s="120"/>
      <c r="E562" s="124" t="s">
        <v>63</v>
      </c>
      <c r="F562" s="126">
        <f>F561</f>
        <v>1799000</v>
      </c>
      <c r="G562" s="126"/>
      <c r="H562" s="126"/>
      <c r="I562" s="125"/>
      <c r="J562" s="126"/>
      <c r="K562" s="126"/>
      <c r="L562" s="126"/>
      <c r="M562" s="126"/>
      <c r="N562" s="126"/>
      <c r="O562" s="126">
        <f t="shared" si="611"/>
        <v>40000</v>
      </c>
      <c r="P562" s="126"/>
      <c r="Q562" s="126">
        <f t="shared" si="612"/>
        <v>14710</v>
      </c>
      <c r="R562" s="126">
        <f t="shared" si="614"/>
        <v>294200</v>
      </c>
      <c r="S562" s="126">
        <f t="shared" si="615"/>
        <v>73550</v>
      </c>
      <c r="T562" s="127">
        <v>250000</v>
      </c>
      <c r="U562" s="122">
        <f t="shared" si="591"/>
        <v>2383200</v>
      </c>
      <c r="V562" s="333"/>
      <c r="W562" s="338">
        <f t="shared" si="616"/>
        <v>198600</v>
      </c>
      <c r="X562" s="128">
        <f t="shared" si="605"/>
        <v>107240</v>
      </c>
      <c r="Y562" s="128">
        <f t="shared" si="606"/>
        <v>72340</v>
      </c>
      <c r="Z562" s="128">
        <f t="shared" si="607"/>
        <v>4740</v>
      </c>
      <c r="AA562" s="128">
        <f t="shared" si="608"/>
        <v>21450</v>
      </c>
      <c r="AB562" s="128">
        <f t="shared" si="609"/>
        <v>19070</v>
      </c>
      <c r="AC562" s="129">
        <f t="shared" si="610"/>
        <v>423440</v>
      </c>
      <c r="AD562" s="619">
        <f t="shared" si="604"/>
        <v>1959760</v>
      </c>
    </row>
    <row r="563" spans="1:30" s="24" customFormat="1" ht="18" hidden="1" customHeight="1">
      <c r="A563" s="1150"/>
      <c r="B563" s="119"/>
      <c r="C563" s="120"/>
      <c r="D563" s="120"/>
      <c r="E563" s="124" t="s">
        <v>64</v>
      </c>
      <c r="F563" s="126">
        <f>F562</f>
        <v>1799000</v>
      </c>
      <c r="G563" s="126"/>
      <c r="H563" s="126"/>
      <c r="I563" s="126"/>
      <c r="J563" s="126"/>
      <c r="K563" s="126"/>
      <c r="L563" s="126"/>
      <c r="M563" s="126"/>
      <c r="N563" s="126"/>
      <c r="O563" s="126">
        <f t="shared" si="611"/>
        <v>40000</v>
      </c>
      <c r="P563" s="126"/>
      <c r="Q563" s="126">
        <f t="shared" si="612"/>
        <v>14710</v>
      </c>
      <c r="R563" s="126">
        <f t="shared" si="614"/>
        <v>294200</v>
      </c>
      <c r="S563" s="126">
        <f t="shared" si="615"/>
        <v>73550</v>
      </c>
      <c r="T563" s="127">
        <f t="shared" si="613"/>
        <v>250000</v>
      </c>
      <c r="U563" s="122">
        <f t="shared" si="591"/>
        <v>2383200</v>
      </c>
      <c r="V563" s="333"/>
      <c r="W563" s="338">
        <f t="shared" si="616"/>
        <v>198600</v>
      </c>
      <c r="X563" s="128">
        <f t="shared" si="605"/>
        <v>107240</v>
      </c>
      <c r="Y563" s="128">
        <f t="shared" si="606"/>
        <v>72340</v>
      </c>
      <c r="Z563" s="128">
        <f t="shared" si="607"/>
        <v>4740</v>
      </c>
      <c r="AA563" s="128">
        <f t="shared" si="608"/>
        <v>21450</v>
      </c>
      <c r="AB563" s="128">
        <f t="shared" si="609"/>
        <v>19070</v>
      </c>
      <c r="AC563" s="129">
        <f t="shared" si="610"/>
        <v>423440</v>
      </c>
      <c r="AD563" s="619">
        <f t="shared" si="604"/>
        <v>1959760</v>
      </c>
    </row>
    <row r="564" spans="1:30" s="24" customFormat="1" ht="18" hidden="1" customHeight="1">
      <c r="A564" s="1150"/>
      <c r="B564" s="119"/>
      <c r="C564" s="120"/>
      <c r="D564" s="120"/>
      <c r="E564" s="124" t="s">
        <v>332</v>
      </c>
      <c r="F564" s="126">
        <f>F563</f>
        <v>1799000</v>
      </c>
      <c r="G564" s="126"/>
      <c r="H564" s="126"/>
      <c r="I564" s="126"/>
      <c r="J564" s="126"/>
      <c r="K564" s="126"/>
      <c r="L564" s="126"/>
      <c r="M564" s="126"/>
      <c r="N564" s="126"/>
      <c r="O564" s="126">
        <f t="shared" si="611"/>
        <v>40000</v>
      </c>
      <c r="P564" s="126"/>
      <c r="Q564" s="126">
        <f t="shared" si="612"/>
        <v>14710</v>
      </c>
      <c r="R564" s="126">
        <f>Q564*20*2</f>
        <v>588400</v>
      </c>
      <c r="S564" s="126">
        <f t="shared" si="615"/>
        <v>73550</v>
      </c>
      <c r="T564" s="127">
        <f t="shared" si="613"/>
        <v>250000</v>
      </c>
      <c r="U564" s="122">
        <f t="shared" si="591"/>
        <v>2677400</v>
      </c>
      <c r="V564" s="333"/>
      <c r="W564" s="338">
        <f t="shared" si="616"/>
        <v>223120</v>
      </c>
      <c r="X564" s="128">
        <f t="shared" si="605"/>
        <v>120480</v>
      </c>
      <c r="Y564" s="128">
        <f t="shared" si="606"/>
        <v>81260</v>
      </c>
      <c r="Z564" s="128">
        <f t="shared" si="607"/>
        <v>5330</v>
      </c>
      <c r="AA564" s="128">
        <f t="shared" si="608"/>
        <v>24100</v>
      </c>
      <c r="AB564" s="128">
        <f t="shared" si="609"/>
        <v>21420</v>
      </c>
      <c r="AC564" s="129">
        <f t="shared" si="610"/>
        <v>475710</v>
      </c>
      <c r="AD564" s="619">
        <f t="shared" si="604"/>
        <v>2201690</v>
      </c>
    </row>
    <row r="565" spans="1:30" s="24" customFormat="1" ht="18" customHeight="1">
      <c r="A565" s="1150">
        <v>44</v>
      </c>
      <c r="B565" s="119" t="s">
        <v>562</v>
      </c>
      <c r="C565" s="120" t="s">
        <v>526</v>
      </c>
      <c r="D565" s="120">
        <v>1</v>
      </c>
      <c r="E565" s="121" t="s">
        <v>94</v>
      </c>
      <c r="F565" s="122">
        <f>SUM(F566:F577)</f>
        <v>21164000</v>
      </c>
      <c r="G565" s="122">
        <f t="shared" ref="G565:L565" si="617">SUM(G566:G577)</f>
        <v>0</v>
      </c>
      <c r="H565" s="122">
        <f t="shared" si="617"/>
        <v>0</v>
      </c>
      <c r="I565" s="122">
        <f t="shared" si="617"/>
        <v>0</v>
      </c>
      <c r="J565" s="122">
        <f t="shared" si="617"/>
        <v>0</v>
      </c>
      <c r="K565" s="122">
        <f t="shared" si="617"/>
        <v>0</v>
      </c>
      <c r="L565" s="122">
        <f t="shared" si="617"/>
        <v>0</v>
      </c>
      <c r="M565" s="122">
        <f>SUM(M566:M577)</f>
        <v>2127000</v>
      </c>
      <c r="N565" s="122">
        <f>SUM(N566:N577)</f>
        <v>0</v>
      </c>
      <c r="O565" s="122">
        <f>SUM(O566:O577)</f>
        <v>480000</v>
      </c>
      <c r="P565" s="122"/>
      <c r="Q565" s="122"/>
      <c r="R565" s="122">
        <f>SUM(R566:R577)</f>
        <v>6939200</v>
      </c>
      <c r="S565" s="122">
        <f>SUM(S566:S577)</f>
        <v>0</v>
      </c>
      <c r="T565" s="122">
        <f>SUM(T566:T577)</f>
        <v>3000000</v>
      </c>
      <c r="U565" s="122">
        <f>SUM(U566:U577)</f>
        <v>33710200</v>
      </c>
      <c r="V565" s="333"/>
      <c r="W565" s="350">
        <f t="shared" ref="W565:AB565" si="618">SUM(W566:W577)</f>
        <v>2830070</v>
      </c>
      <c r="X565" s="122">
        <f t="shared" si="618"/>
        <v>1516930</v>
      </c>
      <c r="Y565" s="122">
        <f t="shared" si="618"/>
        <v>1023130</v>
      </c>
      <c r="Z565" s="122">
        <f t="shared" si="618"/>
        <v>67060</v>
      </c>
      <c r="AA565" s="122">
        <f t="shared" si="618"/>
        <v>303370</v>
      </c>
      <c r="AB565" s="122">
        <f t="shared" si="618"/>
        <v>269660</v>
      </c>
      <c r="AC565" s="123">
        <f>SUM(AC566:AC577)</f>
        <v>6010220</v>
      </c>
      <c r="AD565" s="618">
        <f t="shared" ref="AD565:AD577" si="619">U565-AC565</f>
        <v>27699980</v>
      </c>
    </row>
    <row r="566" spans="1:30" s="24" customFormat="1" ht="18" hidden="1" customHeight="1">
      <c r="A566" s="1150"/>
      <c r="B566" s="119" t="s">
        <v>564</v>
      </c>
      <c r="C566" s="120">
        <v>7</v>
      </c>
      <c r="D566" s="120"/>
      <c r="E566" s="124" t="s">
        <v>324</v>
      </c>
      <c r="F566" s="125">
        <v>1746000</v>
      </c>
      <c r="G566" s="126"/>
      <c r="H566" s="125"/>
      <c r="I566" s="127"/>
      <c r="J566" s="126"/>
      <c r="K566" s="126"/>
      <c r="L566" s="126"/>
      <c r="M566" s="126"/>
      <c r="N566" s="126"/>
      <c r="O566" s="126">
        <v>40000</v>
      </c>
      <c r="P566" s="126"/>
      <c r="Q566" s="126"/>
      <c r="R566" s="126"/>
      <c r="S566" s="126"/>
      <c r="T566" s="127">
        <v>250000</v>
      </c>
      <c r="U566" s="122">
        <f>SUM(F566,M566,O566,R566,T566)</f>
        <v>2036000</v>
      </c>
      <c r="V566" s="333"/>
      <c r="W566" s="338">
        <f>ROUNDUP(U566*1/12,-1)</f>
        <v>169670</v>
      </c>
      <c r="X566" s="128">
        <f t="shared" ref="X566:X577" si="620">ROUND(U566*4.5%,-1)</f>
        <v>91620</v>
      </c>
      <c r="Y566" s="128">
        <f t="shared" ref="Y566:Y577" si="621">ROUNDUP((U566-L566)*3.035%,-1)</f>
        <v>61800</v>
      </c>
      <c r="Z566" s="128">
        <f>ROUNDUP(Y566*6.55%,-1)</f>
        <v>4050</v>
      </c>
      <c r="AA566" s="128">
        <f t="shared" ref="AA566:AA577" si="622">ROUND(U566*0.9%,-1)</f>
        <v>18320</v>
      </c>
      <c r="AB566" s="128">
        <f t="shared" ref="AB566:AB577" si="623">ROUND(U566*0.8%,-1)</f>
        <v>16290</v>
      </c>
      <c r="AC566" s="129">
        <f t="shared" ref="AC566:AC577" si="624">SUM(W566:AB566)</f>
        <v>361750</v>
      </c>
      <c r="AD566" s="619">
        <f t="shared" si="619"/>
        <v>1674250</v>
      </c>
    </row>
    <row r="567" spans="1:30" s="24" customFormat="1" ht="18" hidden="1" customHeight="1">
      <c r="A567" s="1150"/>
      <c r="B567" s="119"/>
      <c r="C567" s="120"/>
      <c r="D567" s="120"/>
      <c r="E567" s="124" t="s">
        <v>325</v>
      </c>
      <c r="F567" s="126">
        <f>F566</f>
        <v>1746000</v>
      </c>
      <c r="G567" s="126"/>
      <c r="H567" s="126"/>
      <c r="I567" s="126"/>
      <c r="J567" s="126"/>
      <c r="K567" s="126"/>
      <c r="L567" s="126"/>
      <c r="M567" s="126">
        <f>F567*60%</f>
        <v>1047600</v>
      </c>
      <c r="N567" s="126"/>
      <c r="O567" s="126">
        <f t="shared" ref="O567:O577" si="625">O566</f>
        <v>40000</v>
      </c>
      <c r="P567" s="126"/>
      <c r="Q567" s="126">
        <f t="shared" ref="Q567:Q577" si="626">ROUND((F566+T566)*1/209*1.5,-1)</f>
        <v>14330</v>
      </c>
      <c r="R567" s="126">
        <f>Q567*40</f>
        <v>573200</v>
      </c>
      <c r="S567" s="126"/>
      <c r="T567" s="127">
        <f t="shared" ref="T567:T577" si="627">T566</f>
        <v>250000</v>
      </c>
      <c r="U567" s="122">
        <f t="shared" si="591"/>
        <v>3656800</v>
      </c>
      <c r="V567" s="333"/>
      <c r="W567" s="338">
        <f>ROUNDUP((T567+U567)*1/12,-1)</f>
        <v>325570</v>
      </c>
      <c r="X567" s="128">
        <f t="shared" si="620"/>
        <v>164560</v>
      </c>
      <c r="Y567" s="128">
        <f t="shared" si="621"/>
        <v>110990</v>
      </c>
      <c r="Z567" s="128">
        <f t="shared" si="607"/>
        <v>7270</v>
      </c>
      <c r="AA567" s="128">
        <f t="shared" si="622"/>
        <v>32910</v>
      </c>
      <c r="AB567" s="128">
        <f t="shared" si="623"/>
        <v>29250</v>
      </c>
      <c r="AC567" s="129">
        <f t="shared" si="624"/>
        <v>670550</v>
      </c>
      <c r="AD567" s="619">
        <f t="shared" si="619"/>
        <v>2986250</v>
      </c>
    </row>
    <row r="568" spans="1:30" s="24" customFormat="1" ht="18" hidden="1" customHeight="1">
      <c r="A568" s="1150"/>
      <c r="B568" s="119"/>
      <c r="C568" s="120"/>
      <c r="D568" s="120"/>
      <c r="E568" s="124" t="s">
        <v>326</v>
      </c>
      <c r="F568" s="126">
        <f>F566</f>
        <v>1746000</v>
      </c>
      <c r="G568" s="126"/>
      <c r="H568" s="126"/>
      <c r="I568" s="126"/>
      <c r="J568" s="126"/>
      <c r="K568" s="126"/>
      <c r="L568" s="126"/>
      <c r="M568" s="126"/>
      <c r="N568" s="126"/>
      <c r="O568" s="126">
        <f t="shared" si="625"/>
        <v>40000</v>
      </c>
      <c r="P568" s="126"/>
      <c r="Q568" s="126">
        <f t="shared" si="626"/>
        <v>14330</v>
      </c>
      <c r="R568" s="126">
        <f>Q568*40</f>
        <v>573200</v>
      </c>
      <c r="S568" s="126"/>
      <c r="T568" s="127">
        <f t="shared" si="627"/>
        <v>250000</v>
      </c>
      <c r="U568" s="122">
        <f t="shared" si="591"/>
        <v>2609200</v>
      </c>
      <c r="V568" s="333"/>
      <c r="W568" s="338">
        <f t="shared" ref="W568:W577" si="628">ROUNDUP(U568*1/12,-1)</f>
        <v>217440</v>
      </c>
      <c r="X568" s="128">
        <f t="shared" si="620"/>
        <v>117410</v>
      </c>
      <c r="Y568" s="128">
        <f t="shared" si="621"/>
        <v>79190</v>
      </c>
      <c r="Z568" s="128">
        <f t="shared" si="607"/>
        <v>5190</v>
      </c>
      <c r="AA568" s="128">
        <f t="shared" si="622"/>
        <v>23480</v>
      </c>
      <c r="AB568" s="128">
        <f t="shared" si="623"/>
        <v>20870</v>
      </c>
      <c r="AC568" s="129">
        <f t="shared" si="624"/>
        <v>463580</v>
      </c>
      <c r="AD568" s="619">
        <f t="shared" si="619"/>
        <v>2145620</v>
      </c>
    </row>
    <row r="569" spans="1:30" s="24" customFormat="1" ht="18" hidden="1" customHeight="1">
      <c r="A569" s="1150"/>
      <c r="B569" s="119"/>
      <c r="C569" s="120"/>
      <c r="D569" s="120"/>
      <c r="E569" s="124" t="s">
        <v>327</v>
      </c>
      <c r="F569" s="126">
        <f>F566</f>
        <v>1746000</v>
      </c>
      <c r="G569" s="126"/>
      <c r="H569" s="126"/>
      <c r="I569" s="126"/>
      <c r="J569" s="126"/>
      <c r="K569" s="126"/>
      <c r="L569" s="126"/>
      <c r="M569" s="126"/>
      <c r="N569" s="126"/>
      <c r="O569" s="126">
        <f t="shared" si="625"/>
        <v>40000</v>
      </c>
      <c r="P569" s="126"/>
      <c r="Q569" s="126">
        <f t="shared" si="626"/>
        <v>14330</v>
      </c>
      <c r="R569" s="126">
        <f>Q569*40</f>
        <v>573200</v>
      </c>
      <c r="S569" s="126"/>
      <c r="T569" s="127">
        <f t="shared" si="627"/>
        <v>250000</v>
      </c>
      <c r="U569" s="122">
        <f t="shared" si="591"/>
        <v>2609200</v>
      </c>
      <c r="V569" s="333"/>
      <c r="W569" s="338">
        <f t="shared" si="628"/>
        <v>217440</v>
      </c>
      <c r="X569" s="128">
        <f t="shared" si="620"/>
        <v>117410</v>
      </c>
      <c r="Y569" s="128">
        <f t="shared" si="621"/>
        <v>79190</v>
      </c>
      <c r="Z569" s="128">
        <f t="shared" si="607"/>
        <v>5190</v>
      </c>
      <c r="AA569" s="128">
        <f t="shared" si="622"/>
        <v>23480</v>
      </c>
      <c r="AB569" s="128">
        <f t="shared" si="623"/>
        <v>20870</v>
      </c>
      <c r="AC569" s="129">
        <f t="shared" si="624"/>
        <v>463580</v>
      </c>
      <c r="AD569" s="619">
        <f t="shared" si="619"/>
        <v>2145620</v>
      </c>
    </row>
    <row r="570" spans="1:30" s="24" customFormat="1" ht="18" hidden="1" customHeight="1">
      <c r="A570" s="1150"/>
      <c r="B570" s="119"/>
      <c r="C570" s="120"/>
      <c r="D570" s="120"/>
      <c r="E570" s="124" t="s">
        <v>328</v>
      </c>
      <c r="F570" s="126">
        <f>F566</f>
        <v>1746000</v>
      </c>
      <c r="G570" s="126"/>
      <c r="H570" s="126"/>
      <c r="I570" s="126"/>
      <c r="J570" s="126"/>
      <c r="K570" s="126"/>
      <c r="L570" s="126"/>
      <c r="M570" s="126"/>
      <c r="N570" s="126"/>
      <c r="O570" s="126">
        <f t="shared" si="625"/>
        <v>40000</v>
      </c>
      <c r="P570" s="126"/>
      <c r="Q570" s="126">
        <f t="shared" si="626"/>
        <v>14330</v>
      </c>
      <c r="R570" s="126">
        <f t="shared" ref="R570:R576" si="629">Q570*40</f>
        <v>573200</v>
      </c>
      <c r="S570" s="126"/>
      <c r="T570" s="127">
        <f t="shared" si="627"/>
        <v>250000</v>
      </c>
      <c r="U570" s="122">
        <f t="shared" si="591"/>
        <v>2609200</v>
      </c>
      <c r="V570" s="333"/>
      <c r="W570" s="338">
        <f t="shared" si="628"/>
        <v>217440</v>
      </c>
      <c r="X570" s="128">
        <f t="shared" si="620"/>
        <v>117410</v>
      </c>
      <c r="Y570" s="128">
        <f t="shared" si="621"/>
        <v>79190</v>
      </c>
      <c r="Z570" s="128">
        <f t="shared" si="607"/>
        <v>5190</v>
      </c>
      <c r="AA570" s="128">
        <f t="shared" si="622"/>
        <v>23480</v>
      </c>
      <c r="AB570" s="128">
        <f t="shared" si="623"/>
        <v>20870</v>
      </c>
      <c r="AC570" s="129">
        <f t="shared" si="624"/>
        <v>463580</v>
      </c>
      <c r="AD570" s="619">
        <f t="shared" si="619"/>
        <v>2145620</v>
      </c>
    </row>
    <row r="571" spans="1:30" s="24" customFormat="1" ht="18" hidden="1" customHeight="1">
      <c r="A571" s="1150"/>
      <c r="B571" s="119"/>
      <c r="C571" s="120"/>
      <c r="D571" s="120"/>
      <c r="E571" s="124" t="s">
        <v>329</v>
      </c>
      <c r="F571" s="126">
        <f>F566</f>
        <v>1746000</v>
      </c>
      <c r="G571" s="126"/>
      <c r="H571" s="126"/>
      <c r="I571" s="126"/>
      <c r="J571" s="126"/>
      <c r="K571" s="126"/>
      <c r="L571" s="126"/>
      <c r="M571" s="126"/>
      <c r="N571" s="126"/>
      <c r="O571" s="126">
        <f t="shared" si="625"/>
        <v>40000</v>
      </c>
      <c r="P571" s="126"/>
      <c r="Q571" s="126">
        <f t="shared" si="626"/>
        <v>14330</v>
      </c>
      <c r="R571" s="126">
        <f t="shared" si="629"/>
        <v>573200</v>
      </c>
      <c r="S571" s="126"/>
      <c r="T571" s="127">
        <f t="shared" si="627"/>
        <v>250000</v>
      </c>
      <c r="U571" s="122">
        <f t="shared" si="591"/>
        <v>2609200</v>
      </c>
      <c r="V571" s="333"/>
      <c r="W571" s="338">
        <f t="shared" si="628"/>
        <v>217440</v>
      </c>
      <c r="X571" s="128">
        <f t="shared" si="620"/>
        <v>117410</v>
      </c>
      <c r="Y571" s="128">
        <f t="shared" si="621"/>
        <v>79190</v>
      </c>
      <c r="Z571" s="128">
        <f t="shared" si="607"/>
        <v>5190</v>
      </c>
      <c r="AA571" s="128">
        <f t="shared" si="622"/>
        <v>23480</v>
      </c>
      <c r="AB571" s="128">
        <f t="shared" si="623"/>
        <v>20870</v>
      </c>
      <c r="AC571" s="129">
        <f t="shared" si="624"/>
        <v>463580</v>
      </c>
      <c r="AD571" s="619">
        <f t="shared" si="619"/>
        <v>2145620</v>
      </c>
    </row>
    <row r="572" spans="1:30" s="24" customFormat="1" ht="18" hidden="1" customHeight="1">
      <c r="A572" s="1150"/>
      <c r="B572" s="119"/>
      <c r="C572" s="120"/>
      <c r="D572" s="120"/>
      <c r="E572" s="124" t="s">
        <v>330</v>
      </c>
      <c r="F572" s="128">
        <f>F571</f>
        <v>1746000</v>
      </c>
      <c r="G572" s="126"/>
      <c r="H572" s="125"/>
      <c r="I572" s="127"/>
      <c r="J572" s="126"/>
      <c r="K572" s="126"/>
      <c r="L572" s="126"/>
      <c r="M572" s="126"/>
      <c r="N572" s="126"/>
      <c r="O572" s="126">
        <f t="shared" si="625"/>
        <v>40000</v>
      </c>
      <c r="P572" s="126"/>
      <c r="Q572" s="126">
        <f t="shared" si="626"/>
        <v>14330</v>
      </c>
      <c r="R572" s="126">
        <f t="shared" si="629"/>
        <v>573200</v>
      </c>
      <c r="S572" s="126"/>
      <c r="T572" s="127">
        <f t="shared" si="627"/>
        <v>250000</v>
      </c>
      <c r="U572" s="122">
        <f t="shared" si="591"/>
        <v>2609200</v>
      </c>
      <c r="V572" s="333"/>
      <c r="W572" s="338">
        <f t="shared" si="628"/>
        <v>217440</v>
      </c>
      <c r="X572" s="128">
        <f t="shared" si="620"/>
        <v>117410</v>
      </c>
      <c r="Y572" s="128">
        <f t="shared" si="621"/>
        <v>79190</v>
      </c>
      <c r="Z572" s="128">
        <f t="shared" si="607"/>
        <v>5190</v>
      </c>
      <c r="AA572" s="128">
        <f t="shared" si="622"/>
        <v>23480</v>
      </c>
      <c r="AB572" s="128">
        <f t="shared" si="623"/>
        <v>20870</v>
      </c>
      <c r="AC572" s="129">
        <f t="shared" si="624"/>
        <v>463580</v>
      </c>
      <c r="AD572" s="619">
        <f t="shared" si="619"/>
        <v>2145620</v>
      </c>
    </row>
    <row r="573" spans="1:30" s="24" customFormat="1" ht="18" hidden="1" customHeight="1">
      <c r="A573" s="1150"/>
      <c r="B573" s="119"/>
      <c r="C573" s="120"/>
      <c r="D573" s="120"/>
      <c r="E573" s="124" t="s">
        <v>331</v>
      </c>
      <c r="F573" s="126">
        <f>F572</f>
        <v>1746000</v>
      </c>
      <c r="G573" s="126"/>
      <c r="H573" s="126"/>
      <c r="I573" s="126"/>
      <c r="J573" s="126"/>
      <c r="K573" s="126"/>
      <c r="L573" s="126"/>
      <c r="M573" s="126"/>
      <c r="N573" s="126"/>
      <c r="O573" s="126">
        <f t="shared" si="625"/>
        <v>40000</v>
      </c>
      <c r="P573" s="126"/>
      <c r="Q573" s="126">
        <f t="shared" si="626"/>
        <v>14330</v>
      </c>
      <c r="R573" s="126">
        <f t="shared" si="629"/>
        <v>573200</v>
      </c>
      <c r="S573" s="126"/>
      <c r="T573" s="127">
        <f t="shared" si="627"/>
        <v>250000</v>
      </c>
      <c r="U573" s="122">
        <f t="shared" si="591"/>
        <v>2609200</v>
      </c>
      <c r="V573" s="333"/>
      <c r="W573" s="338">
        <f t="shared" si="628"/>
        <v>217440</v>
      </c>
      <c r="X573" s="128">
        <f t="shared" si="620"/>
        <v>117410</v>
      </c>
      <c r="Y573" s="128">
        <f t="shared" si="621"/>
        <v>79190</v>
      </c>
      <c r="Z573" s="128">
        <f t="shared" si="607"/>
        <v>5190</v>
      </c>
      <c r="AA573" s="128">
        <f t="shared" si="622"/>
        <v>23480</v>
      </c>
      <c r="AB573" s="128">
        <f t="shared" si="623"/>
        <v>20870</v>
      </c>
      <c r="AC573" s="129">
        <f t="shared" si="624"/>
        <v>463580</v>
      </c>
      <c r="AD573" s="619">
        <f t="shared" si="619"/>
        <v>2145620</v>
      </c>
    </row>
    <row r="574" spans="1:30" s="24" customFormat="1" ht="18" hidden="1" customHeight="1">
      <c r="A574" s="1150"/>
      <c r="B574" s="119"/>
      <c r="C574" s="120">
        <v>8</v>
      </c>
      <c r="D574" s="120"/>
      <c r="E574" s="124" t="s">
        <v>62</v>
      </c>
      <c r="F574" s="591">
        <v>1799000</v>
      </c>
      <c r="G574" s="126"/>
      <c r="H574" s="126"/>
      <c r="I574" s="126"/>
      <c r="J574" s="126"/>
      <c r="K574" s="126"/>
      <c r="L574" s="126"/>
      <c r="M574" s="126">
        <f>F574*60%</f>
        <v>1079400</v>
      </c>
      <c r="N574" s="126"/>
      <c r="O574" s="126">
        <f t="shared" si="625"/>
        <v>40000</v>
      </c>
      <c r="P574" s="126"/>
      <c r="Q574" s="126">
        <f t="shared" si="626"/>
        <v>14330</v>
      </c>
      <c r="R574" s="126">
        <f t="shared" si="629"/>
        <v>573200</v>
      </c>
      <c r="S574" s="126"/>
      <c r="T574" s="127">
        <v>250000</v>
      </c>
      <c r="U574" s="122">
        <f t="shared" si="591"/>
        <v>3741600</v>
      </c>
      <c r="V574" s="333"/>
      <c r="W574" s="338">
        <f t="shared" si="628"/>
        <v>311800</v>
      </c>
      <c r="X574" s="128">
        <f t="shared" si="620"/>
        <v>168370</v>
      </c>
      <c r="Y574" s="128">
        <f t="shared" si="621"/>
        <v>113560</v>
      </c>
      <c r="Z574" s="128">
        <f t="shared" si="607"/>
        <v>7440</v>
      </c>
      <c r="AA574" s="128">
        <f t="shared" si="622"/>
        <v>33670</v>
      </c>
      <c r="AB574" s="128">
        <f t="shared" si="623"/>
        <v>29930</v>
      </c>
      <c r="AC574" s="129">
        <f t="shared" si="624"/>
        <v>664770</v>
      </c>
      <c r="AD574" s="619">
        <f t="shared" si="619"/>
        <v>3076830</v>
      </c>
    </row>
    <row r="575" spans="1:30" s="24" customFormat="1" ht="18" hidden="1" customHeight="1">
      <c r="A575" s="1150"/>
      <c r="B575" s="119"/>
      <c r="C575" s="120"/>
      <c r="D575" s="120"/>
      <c r="E575" s="124" t="s">
        <v>63</v>
      </c>
      <c r="F575" s="126">
        <f>F574</f>
        <v>1799000</v>
      </c>
      <c r="G575" s="126"/>
      <c r="H575" s="126"/>
      <c r="I575" s="125"/>
      <c r="J575" s="126"/>
      <c r="K575" s="126"/>
      <c r="L575" s="126"/>
      <c r="M575" s="126"/>
      <c r="N575" s="126"/>
      <c r="O575" s="126">
        <f t="shared" si="625"/>
        <v>40000</v>
      </c>
      <c r="P575" s="126"/>
      <c r="Q575" s="126">
        <f t="shared" si="626"/>
        <v>14710</v>
      </c>
      <c r="R575" s="126">
        <f t="shared" si="629"/>
        <v>588400</v>
      </c>
      <c r="S575" s="126"/>
      <c r="T575" s="127">
        <v>250000</v>
      </c>
      <c r="U575" s="122">
        <f t="shared" si="591"/>
        <v>2677400</v>
      </c>
      <c r="V575" s="333"/>
      <c r="W575" s="338">
        <f t="shared" si="628"/>
        <v>223120</v>
      </c>
      <c r="X575" s="128">
        <f t="shared" si="620"/>
        <v>120480</v>
      </c>
      <c r="Y575" s="128">
        <f t="shared" si="621"/>
        <v>81260</v>
      </c>
      <c r="Z575" s="128">
        <f t="shared" si="607"/>
        <v>5330</v>
      </c>
      <c r="AA575" s="128">
        <f t="shared" si="622"/>
        <v>24100</v>
      </c>
      <c r="AB575" s="128">
        <f t="shared" si="623"/>
        <v>21420</v>
      </c>
      <c r="AC575" s="129">
        <f t="shared" si="624"/>
        <v>475710</v>
      </c>
      <c r="AD575" s="619">
        <f t="shared" si="619"/>
        <v>2201690</v>
      </c>
    </row>
    <row r="576" spans="1:30" s="24" customFormat="1" ht="18" hidden="1" customHeight="1">
      <c r="A576" s="1150"/>
      <c r="B576" s="119"/>
      <c r="C576" s="120"/>
      <c r="D576" s="120"/>
      <c r="E576" s="124" t="s">
        <v>64</v>
      </c>
      <c r="F576" s="126">
        <f>F575</f>
        <v>1799000</v>
      </c>
      <c r="G576" s="126"/>
      <c r="H576" s="126"/>
      <c r="I576" s="126"/>
      <c r="J576" s="126"/>
      <c r="K576" s="126"/>
      <c r="L576" s="126"/>
      <c r="M576" s="126"/>
      <c r="N576" s="126"/>
      <c r="O576" s="126">
        <f t="shared" si="625"/>
        <v>40000</v>
      </c>
      <c r="P576" s="126"/>
      <c r="Q576" s="126">
        <f t="shared" si="626"/>
        <v>14710</v>
      </c>
      <c r="R576" s="126">
        <f t="shared" si="629"/>
        <v>588400</v>
      </c>
      <c r="S576" s="126"/>
      <c r="T576" s="127">
        <f t="shared" si="627"/>
        <v>250000</v>
      </c>
      <c r="U576" s="122">
        <f t="shared" si="591"/>
        <v>2677400</v>
      </c>
      <c r="V576" s="333"/>
      <c r="W576" s="338">
        <f t="shared" si="628"/>
        <v>223120</v>
      </c>
      <c r="X576" s="128">
        <f t="shared" si="620"/>
        <v>120480</v>
      </c>
      <c r="Y576" s="128">
        <f t="shared" si="621"/>
        <v>81260</v>
      </c>
      <c r="Z576" s="128">
        <f t="shared" si="607"/>
        <v>5330</v>
      </c>
      <c r="AA576" s="128">
        <f t="shared" si="622"/>
        <v>24100</v>
      </c>
      <c r="AB576" s="128">
        <f t="shared" si="623"/>
        <v>21420</v>
      </c>
      <c r="AC576" s="129">
        <f t="shared" si="624"/>
        <v>475710</v>
      </c>
      <c r="AD576" s="619">
        <f t="shared" si="619"/>
        <v>2201690</v>
      </c>
    </row>
    <row r="577" spans="1:30" s="24" customFormat="1" ht="18" hidden="1" customHeight="1">
      <c r="A577" s="1150"/>
      <c r="B577" s="119"/>
      <c r="C577" s="120"/>
      <c r="D577" s="120"/>
      <c r="E577" s="124" t="s">
        <v>332</v>
      </c>
      <c r="F577" s="126">
        <f>F576</f>
        <v>1799000</v>
      </c>
      <c r="G577" s="126"/>
      <c r="H577" s="126"/>
      <c r="I577" s="126"/>
      <c r="J577" s="126"/>
      <c r="K577" s="126"/>
      <c r="L577" s="126"/>
      <c r="M577" s="126"/>
      <c r="N577" s="126"/>
      <c r="O577" s="126">
        <f t="shared" si="625"/>
        <v>40000</v>
      </c>
      <c r="P577" s="126"/>
      <c r="Q577" s="126">
        <f t="shared" si="626"/>
        <v>14710</v>
      </c>
      <c r="R577" s="126">
        <f>Q577*40*2</f>
        <v>1176800</v>
      </c>
      <c r="S577" s="126"/>
      <c r="T577" s="127">
        <f t="shared" si="627"/>
        <v>250000</v>
      </c>
      <c r="U577" s="122">
        <f t="shared" si="591"/>
        <v>3265800</v>
      </c>
      <c r="V577" s="333"/>
      <c r="W577" s="338">
        <f t="shared" si="628"/>
        <v>272150</v>
      </c>
      <c r="X577" s="128">
        <f t="shared" si="620"/>
        <v>146960</v>
      </c>
      <c r="Y577" s="128">
        <f t="shared" si="621"/>
        <v>99120</v>
      </c>
      <c r="Z577" s="128">
        <f t="shared" si="607"/>
        <v>6500</v>
      </c>
      <c r="AA577" s="128">
        <f t="shared" si="622"/>
        <v>29390</v>
      </c>
      <c r="AB577" s="128">
        <f t="shared" si="623"/>
        <v>26130</v>
      </c>
      <c r="AC577" s="129">
        <f t="shared" si="624"/>
        <v>580250</v>
      </c>
      <c r="AD577" s="619">
        <f t="shared" si="619"/>
        <v>2685550</v>
      </c>
    </row>
    <row r="578" spans="1:30" s="24" customFormat="1" ht="16.5" hidden="1" customHeight="1">
      <c r="A578" s="1150">
        <v>45</v>
      </c>
      <c r="B578" s="119" t="s">
        <v>562</v>
      </c>
      <c r="C578" s="120">
        <v>5</v>
      </c>
      <c r="D578" s="120">
        <v>1</v>
      </c>
      <c r="E578" s="121" t="s">
        <v>94</v>
      </c>
      <c r="F578" s="122">
        <f t="shared" ref="F578:L578" si="630">SUM(F579:F590)</f>
        <v>19128000</v>
      </c>
      <c r="G578" s="122">
        <f t="shared" si="630"/>
        <v>0</v>
      </c>
      <c r="H578" s="122">
        <f t="shared" si="630"/>
        <v>0</v>
      </c>
      <c r="I578" s="122">
        <f t="shared" si="630"/>
        <v>0</v>
      </c>
      <c r="J578" s="122">
        <f t="shared" si="630"/>
        <v>0</v>
      </c>
      <c r="K578" s="122">
        <f t="shared" si="630"/>
        <v>0</v>
      </c>
      <c r="L578" s="122">
        <f t="shared" si="630"/>
        <v>0</v>
      </c>
      <c r="M578" s="122">
        <f>SUM(M579:M590)</f>
        <v>1912800</v>
      </c>
      <c r="N578" s="122">
        <f>SUM(N579:N590)</f>
        <v>0</v>
      </c>
      <c r="O578" s="122">
        <f>SUM(O579:O590)</f>
        <v>480000</v>
      </c>
      <c r="P578" s="122"/>
      <c r="Q578" s="122"/>
      <c r="R578" s="122">
        <f>SUM(R579:R590)</f>
        <v>6182400</v>
      </c>
      <c r="S578" s="122">
        <f>SUM(S579:S590)</f>
        <v>0</v>
      </c>
      <c r="T578" s="122">
        <f>SUM(T579:T590)</f>
        <v>2400000</v>
      </c>
      <c r="U578" s="122">
        <f>SUM(U579:U590)</f>
        <v>30103200</v>
      </c>
      <c r="V578" s="333"/>
      <c r="W578" s="350">
        <f t="shared" ref="W578:AB578" si="631">SUM(W579:W590)</f>
        <v>2525310</v>
      </c>
      <c r="X578" s="122">
        <f t="shared" si="631"/>
        <v>1354610</v>
      </c>
      <c r="Y578" s="122">
        <f t="shared" si="631"/>
        <v>913670</v>
      </c>
      <c r="Z578" s="122">
        <f t="shared" si="631"/>
        <v>59950</v>
      </c>
      <c r="AA578" s="122">
        <f t="shared" si="631"/>
        <v>270910</v>
      </c>
      <c r="AB578" s="122">
        <f t="shared" si="631"/>
        <v>240790</v>
      </c>
      <c r="AC578" s="123">
        <f>SUM(AC579:AC590)</f>
        <v>5365240</v>
      </c>
      <c r="AD578" s="618">
        <f t="shared" ref="AD578:AD590" si="632">U578-AC578</f>
        <v>24737960</v>
      </c>
    </row>
    <row r="579" spans="1:30" s="24" customFormat="1" ht="16.5" hidden="1" customHeight="1">
      <c r="A579" s="1150"/>
      <c r="B579" s="119" t="s">
        <v>600</v>
      </c>
      <c r="C579" s="120">
        <v>5</v>
      </c>
      <c r="D579" s="120"/>
      <c r="E579" s="124" t="s">
        <v>324</v>
      </c>
      <c r="F579" s="591">
        <v>1594000</v>
      </c>
      <c r="G579" s="126"/>
      <c r="H579" s="125"/>
      <c r="I579" s="125"/>
      <c r="J579" s="126"/>
      <c r="K579" s="126"/>
      <c r="L579" s="126"/>
      <c r="M579" s="126"/>
      <c r="N579" s="126"/>
      <c r="O579" s="126">
        <v>40000</v>
      </c>
      <c r="P579" s="126"/>
      <c r="Q579" s="126"/>
      <c r="R579" s="126"/>
      <c r="S579" s="126"/>
      <c r="T579" s="127">
        <v>200000</v>
      </c>
      <c r="U579" s="122">
        <f>SUM(F579,M579,O579,R579,T579)</f>
        <v>1834000</v>
      </c>
      <c r="V579" s="333"/>
      <c r="W579" s="338">
        <f>ROUNDUP(U579*1/12,-1)</f>
        <v>152840</v>
      </c>
      <c r="X579" s="128">
        <f t="shared" ref="X579:X590" si="633">ROUND(U579*4.5%,-1)</f>
        <v>82530</v>
      </c>
      <c r="Y579" s="128">
        <f t="shared" ref="Y579:Y590" si="634">ROUNDUP((U579-L579)*3.035%,-1)</f>
        <v>55670</v>
      </c>
      <c r="Z579" s="128">
        <f>ROUNDUP(Y579*6.55%,-1)</f>
        <v>3650</v>
      </c>
      <c r="AA579" s="128">
        <f t="shared" ref="AA579:AA590" si="635">ROUND(U579*0.9%,-1)</f>
        <v>16510</v>
      </c>
      <c r="AB579" s="128">
        <f t="shared" ref="AB579:AB590" si="636">ROUND(U579*0.8%,-1)</f>
        <v>14670</v>
      </c>
      <c r="AC579" s="129">
        <f t="shared" ref="AC579:AC590" si="637">SUM(W579:AB579)</f>
        <v>325870</v>
      </c>
      <c r="AD579" s="619">
        <f t="shared" si="632"/>
        <v>1508130</v>
      </c>
    </row>
    <row r="580" spans="1:30" s="24" customFormat="1" ht="16.5" hidden="1" customHeight="1">
      <c r="A580" s="1150"/>
      <c r="B580" s="119"/>
      <c r="C580" s="120"/>
      <c r="D580" s="120"/>
      <c r="E580" s="124" t="s">
        <v>325</v>
      </c>
      <c r="F580" s="126">
        <f>F579</f>
        <v>1594000</v>
      </c>
      <c r="G580" s="126"/>
      <c r="H580" s="126"/>
      <c r="I580" s="126"/>
      <c r="J580" s="126"/>
      <c r="K580" s="126"/>
      <c r="L580" s="126"/>
      <c r="M580" s="126">
        <f>F580*60%</f>
        <v>956400</v>
      </c>
      <c r="N580" s="126"/>
      <c r="O580" s="126">
        <f t="shared" ref="O580:O590" si="638">O579</f>
        <v>40000</v>
      </c>
      <c r="P580" s="126"/>
      <c r="Q580" s="126">
        <f t="shared" ref="Q580:Q590" si="639">ROUND((F579+T579)*1/209*1.5,-1)</f>
        <v>12880</v>
      </c>
      <c r="R580" s="126">
        <f>Q580*40</f>
        <v>515200</v>
      </c>
      <c r="S580" s="126"/>
      <c r="T580" s="127">
        <v>200000</v>
      </c>
      <c r="U580" s="122">
        <f t="shared" si="591"/>
        <v>3305600</v>
      </c>
      <c r="V580" s="333"/>
      <c r="W580" s="338">
        <f>ROUNDUP((T580+U580)*1/12,-1)</f>
        <v>292140</v>
      </c>
      <c r="X580" s="128">
        <f t="shared" si="633"/>
        <v>148750</v>
      </c>
      <c r="Y580" s="128">
        <f t="shared" si="634"/>
        <v>100330</v>
      </c>
      <c r="Z580" s="128">
        <f t="shared" si="607"/>
        <v>6580</v>
      </c>
      <c r="AA580" s="128">
        <f t="shared" si="635"/>
        <v>29750</v>
      </c>
      <c r="AB580" s="128">
        <f t="shared" si="636"/>
        <v>26440</v>
      </c>
      <c r="AC580" s="129">
        <f t="shared" si="637"/>
        <v>603990</v>
      </c>
      <c r="AD580" s="619">
        <f t="shared" si="632"/>
        <v>2701610</v>
      </c>
    </row>
    <row r="581" spans="1:30" s="24" customFormat="1" ht="16.5" hidden="1" customHeight="1">
      <c r="A581" s="1150"/>
      <c r="B581" s="119"/>
      <c r="C581" s="120"/>
      <c r="D581" s="120"/>
      <c r="E581" s="124" t="s">
        <v>326</v>
      </c>
      <c r="F581" s="126">
        <f>F580</f>
        <v>1594000</v>
      </c>
      <c r="G581" s="126"/>
      <c r="H581" s="126"/>
      <c r="I581" s="126"/>
      <c r="J581" s="126"/>
      <c r="K581" s="126"/>
      <c r="L581" s="126"/>
      <c r="M581" s="126"/>
      <c r="N581" s="126"/>
      <c r="O581" s="126">
        <f t="shared" si="638"/>
        <v>40000</v>
      </c>
      <c r="P581" s="126"/>
      <c r="Q581" s="126">
        <f t="shared" si="639"/>
        <v>12880</v>
      </c>
      <c r="R581" s="126">
        <f>Q581*40</f>
        <v>515200</v>
      </c>
      <c r="S581" s="126"/>
      <c r="T581" s="127">
        <v>200000</v>
      </c>
      <c r="U581" s="122">
        <f t="shared" si="591"/>
        <v>2349200</v>
      </c>
      <c r="V581" s="333"/>
      <c r="W581" s="338">
        <f t="shared" ref="W581:W590" si="640">ROUNDUP(U581*1/12,-1)</f>
        <v>195770</v>
      </c>
      <c r="X581" s="128">
        <f t="shared" si="633"/>
        <v>105710</v>
      </c>
      <c r="Y581" s="128">
        <f t="shared" si="634"/>
        <v>71300</v>
      </c>
      <c r="Z581" s="128">
        <f t="shared" si="607"/>
        <v>4680</v>
      </c>
      <c r="AA581" s="128">
        <f t="shared" si="635"/>
        <v>21140</v>
      </c>
      <c r="AB581" s="128">
        <f t="shared" si="636"/>
        <v>18790</v>
      </c>
      <c r="AC581" s="129">
        <f t="shared" si="637"/>
        <v>417390</v>
      </c>
      <c r="AD581" s="619">
        <f t="shared" si="632"/>
        <v>1931810</v>
      </c>
    </row>
    <row r="582" spans="1:30" s="24" customFormat="1" ht="16.5" hidden="1" customHeight="1">
      <c r="A582" s="1150"/>
      <c r="B582" s="119"/>
      <c r="C582" s="120"/>
      <c r="D582" s="120"/>
      <c r="E582" s="124" t="s">
        <v>327</v>
      </c>
      <c r="F582" s="126">
        <f>F581</f>
        <v>1594000</v>
      </c>
      <c r="G582" s="126"/>
      <c r="H582" s="126"/>
      <c r="I582" s="126"/>
      <c r="J582" s="126"/>
      <c r="K582" s="126"/>
      <c r="L582" s="126"/>
      <c r="M582" s="126"/>
      <c r="N582" s="126"/>
      <c r="O582" s="126">
        <f t="shared" si="638"/>
        <v>40000</v>
      </c>
      <c r="P582" s="126"/>
      <c r="Q582" s="126">
        <f t="shared" si="639"/>
        <v>12880</v>
      </c>
      <c r="R582" s="126">
        <f t="shared" ref="R582:R589" si="641">Q582*40</f>
        <v>515200</v>
      </c>
      <c r="S582" s="126"/>
      <c r="T582" s="127">
        <v>200000</v>
      </c>
      <c r="U582" s="122">
        <f t="shared" si="591"/>
        <v>2349200</v>
      </c>
      <c r="V582" s="333"/>
      <c r="W582" s="338">
        <f t="shared" si="640"/>
        <v>195770</v>
      </c>
      <c r="X582" s="128">
        <f t="shared" si="633"/>
        <v>105710</v>
      </c>
      <c r="Y582" s="128">
        <f t="shared" si="634"/>
        <v>71300</v>
      </c>
      <c r="Z582" s="128">
        <f t="shared" si="607"/>
        <v>4680</v>
      </c>
      <c r="AA582" s="128">
        <f t="shared" si="635"/>
        <v>21140</v>
      </c>
      <c r="AB582" s="128">
        <f t="shared" si="636"/>
        <v>18790</v>
      </c>
      <c r="AC582" s="129">
        <f t="shared" si="637"/>
        <v>417390</v>
      </c>
      <c r="AD582" s="619">
        <f t="shared" si="632"/>
        <v>1931810</v>
      </c>
    </row>
    <row r="583" spans="1:30" s="24" customFormat="1" ht="16.5" hidden="1" customHeight="1">
      <c r="A583" s="1150"/>
      <c r="B583" s="119"/>
      <c r="C583" s="120"/>
      <c r="D583" s="120"/>
      <c r="E583" s="124" t="s">
        <v>328</v>
      </c>
      <c r="F583" s="126">
        <f>F582</f>
        <v>1594000</v>
      </c>
      <c r="G583" s="126"/>
      <c r="H583" s="126"/>
      <c r="I583" s="126"/>
      <c r="J583" s="126"/>
      <c r="K583" s="126"/>
      <c r="L583" s="126"/>
      <c r="M583" s="126"/>
      <c r="N583" s="126"/>
      <c r="O583" s="126">
        <f t="shared" si="638"/>
        <v>40000</v>
      </c>
      <c r="P583" s="126"/>
      <c r="Q583" s="126">
        <f t="shared" si="639"/>
        <v>12880</v>
      </c>
      <c r="R583" s="126">
        <f t="shared" si="641"/>
        <v>515200</v>
      </c>
      <c r="S583" s="126"/>
      <c r="T583" s="127">
        <f t="shared" ref="T583:T590" si="642">T582</f>
        <v>200000</v>
      </c>
      <c r="U583" s="122">
        <f t="shared" si="591"/>
        <v>2349200</v>
      </c>
      <c r="V583" s="333"/>
      <c r="W583" s="338">
        <f t="shared" si="640"/>
        <v>195770</v>
      </c>
      <c r="X583" s="128">
        <f t="shared" si="633"/>
        <v>105710</v>
      </c>
      <c r="Y583" s="128">
        <f t="shared" si="634"/>
        <v>71300</v>
      </c>
      <c r="Z583" s="128">
        <f t="shared" si="607"/>
        <v>4680</v>
      </c>
      <c r="AA583" s="128">
        <f t="shared" si="635"/>
        <v>21140</v>
      </c>
      <c r="AB583" s="128">
        <f t="shared" si="636"/>
        <v>18790</v>
      </c>
      <c r="AC583" s="129">
        <f t="shared" si="637"/>
        <v>417390</v>
      </c>
      <c r="AD583" s="619">
        <f t="shared" si="632"/>
        <v>1931810</v>
      </c>
    </row>
    <row r="584" spans="1:30" s="24" customFormat="1" ht="16.5" hidden="1" customHeight="1">
      <c r="A584" s="1150"/>
      <c r="B584" s="119"/>
      <c r="C584" s="120"/>
      <c r="D584" s="120"/>
      <c r="E584" s="124" t="s">
        <v>329</v>
      </c>
      <c r="F584" s="126">
        <f t="shared" ref="F584:F590" si="643">F583</f>
        <v>1594000</v>
      </c>
      <c r="G584" s="126"/>
      <c r="H584" s="126"/>
      <c r="I584" s="126"/>
      <c r="J584" s="126"/>
      <c r="K584" s="126"/>
      <c r="L584" s="126"/>
      <c r="M584" s="126"/>
      <c r="N584" s="126"/>
      <c r="O584" s="126">
        <f t="shared" si="638"/>
        <v>40000</v>
      </c>
      <c r="P584" s="126"/>
      <c r="Q584" s="126">
        <f t="shared" si="639"/>
        <v>12880</v>
      </c>
      <c r="R584" s="126">
        <f t="shared" si="641"/>
        <v>515200</v>
      </c>
      <c r="S584" s="126"/>
      <c r="T584" s="127">
        <f t="shared" si="642"/>
        <v>200000</v>
      </c>
      <c r="U584" s="122">
        <f t="shared" si="591"/>
        <v>2349200</v>
      </c>
      <c r="V584" s="333"/>
      <c r="W584" s="338">
        <f t="shared" si="640"/>
        <v>195770</v>
      </c>
      <c r="X584" s="128">
        <f t="shared" si="633"/>
        <v>105710</v>
      </c>
      <c r="Y584" s="128">
        <f t="shared" si="634"/>
        <v>71300</v>
      </c>
      <c r="Z584" s="128">
        <f t="shared" si="607"/>
        <v>4680</v>
      </c>
      <c r="AA584" s="128">
        <f t="shared" si="635"/>
        <v>21140</v>
      </c>
      <c r="AB584" s="128">
        <f t="shared" si="636"/>
        <v>18790</v>
      </c>
      <c r="AC584" s="129">
        <f t="shared" si="637"/>
        <v>417390</v>
      </c>
      <c r="AD584" s="619">
        <f t="shared" si="632"/>
        <v>1931810</v>
      </c>
    </row>
    <row r="585" spans="1:30" s="24" customFormat="1" ht="16.5" hidden="1" customHeight="1">
      <c r="A585" s="1150"/>
      <c r="B585" s="119"/>
      <c r="C585" s="120"/>
      <c r="D585" s="120"/>
      <c r="E585" s="124" t="s">
        <v>330</v>
      </c>
      <c r="F585" s="126">
        <f t="shared" si="643"/>
        <v>1594000</v>
      </c>
      <c r="G585" s="126"/>
      <c r="H585" s="126"/>
      <c r="I585" s="127"/>
      <c r="J585" s="126"/>
      <c r="K585" s="126"/>
      <c r="L585" s="126"/>
      <c r="M585" s="126"/>
      <c r="N585" s="126"/>
      <c r="O585" s="126">
        <f t="shared" si="638"/>
        <v>40000</v>
      </c>
      <c r="P585" s="126"/>
      <c r="Q585" s="126">
        <f t="shared" si="639"/>
        <v>12880</v>
      </c>
      <c r="R585" s="126">
        <f t="shared" si="641"/>
        <v>515200</v>
      </c>
      <c r="S585" s="126"/>
      <c r="T585" s="127">
        <f t="shared" si="642"/>
        <v>200000</v>
      </c>
      <c r="U585" s="122">
        <f t="shared" si="591"/>
        <v>2349200</v>
      </c>
      <c r="V585" s="333"/>
      <c r="W585" s="338">
        <f t="shared" si="640"/>
        <v>195770</v>
      </c>
      <c r="X585" s="128">
        <f t="shared" si="633"/>
        <v>105710</v>
      </c>
      <c r="Y585" s="128">
        <f t="shared" si="634"/>
        <v>71300</v>
      </c>
      <c r="Z585" s="128">
        <f t="shared" si="607"/>
        <v>4680</v>
      </c>
      <c r="AA585" s="128">
        <f t="shared" si="635"/>
        <v>21140</v>
      </c>
      <c r="AB585" s="128">
        <f t="shared" si="636"/>
        <v>18790</v>
      </c>
      <c r="AC585" s="129">
        <f t="shared" si="637"/>
        <v>417390</v>
      </c>
      <c r="AD585" s="619">
        <f t="shared" si="632"/>
        <v>1931810</v>
      </c>
    </row>
    <row r="586" spans="1:30" s="24" customFormat="1" ht="16.5" hidden="1" customHeight="1">
      <c r="A586" s="1150"/>
      <c r="B586" s="119"/>
      <c r="C586" s="120"/>
      <c r="D586" s="120"/>
      <c r="E586" s="124" t="s">
        <v>331</v>
      </c>
      <c r="F586" s="126">
        <f t="shared" si="643"/>
        <v>1594000</v>
      </c>
      <c r="G586" s="126"/>
      <c r="H586" s="126"/>
      <c r="I586" s="126"/>
      <c r="J586" s="126"/>
      <c r="K586" s="126"/>
      <c r="L586" s="126"/>
      <c r="M586" s="126"/>
      <c r="N586" s="126"/>
      <c r="O586" s="126">
        <f t="shared" si="638"/>
        <v>40000</v>
      </c>
      <c r="P586" s="126"/>
      <c r="Q586" s="126">
        <f t="shared" si="639"/>
        <v>12880</v>
      </c>
      <c r="R586" s="126">
        <f t="shared" si="641"/>
        <v>515200</v>
      </c>
      <c r="S586" s="126"/>
      <c r="T586" s="127">
        <f t="shared" si="642"/>
        <v>200000</v>
      </c>
      <c r="U586" s="122">
        <f t="shared" si="591"/>
        <v>2349200</v>
      </c>
      <c r="V586" s="333"/>
      <c r="W586" s="338">
        <f t="shared" si="640"/>
        <v>195770</v>
      </c>
      <c r="X586" s="128">
        <f t="shared" si="633"/>
        <v>105710</v>
      </c>
      <c r="Y586" s="128">
        <f t="shared" si="634"/>
        <v>71300</v>
      </c>
      <c r="Z586" s="128">
        <f t="shared" si="607"/>
        <v>4680</v>
      </c>
      <c r="AA586" s="128">
        <f t="shared" si="635"/>
        <v>21140</v>
      </c>
      <c r="AB586" s="128">
        <f t="shared" si="636"/>
        <v>18790</v>
      </c>
      <c r="AC586" s="129">
        <f t="shared" si="637"/>
        <v>417390</v>
      </c>
      <c r="AD586" s="619">
        <f t="shared" si="632"/>
        <v>1931810</v>
      </c>
    </row>
    <row r="587" spans="1:30" s="24" customFormat="1" ht="16.5" hidden="1" customHeight="1">
      <c r="A587" s="1150"/>
      <c r="B587" s="119"/>
      <c r="C587" s="120"/>
      <c r="D587" s="120"/>
      <c r="E587" s="124" t="s">
        <v>62</v>
      </c>
      <c r="F587" s="126">
        <f t="shared" si="643"/>
        <v>1594000</v>
      </c>
      <c r="G587" s="126"/>
      <c r="H587" s="126"/>
      <c r="I587" s="126"/>
      <c r="J587" s="126"/>
      <c r="K587" s="126"/>
      <c r="L587" s="126"/>
      <c r="M587" s="126">
        <f>F587*60%</f>
        <v>956400</v>
      </c>
      <c r="N587" s="126"/>
      <c r="O587" s="126">
        <f t="shared" si="638"/>
        <v>40000</v>
      </c>
      <c r="P587" s="126"/>
      <c r="Q587" s="126">
        <f t="shared" si="639"/>
        <v>12880</v>
      </c>
      <c r="R587" s="126">
        <f t="shared" si="641"/>
        <v>515200</v>
      </c>
      <c r="S587" s="126"/>
      <c r="T587" s="127">
        <f t="shared" si="642"/>
        <v>200000</v>
      </c>
      <c r="U587" s="122">
        <f t="shared" si="591"/>
        <v>3305600</v>
      </c>
      <c r="V587" s="333"/>
      <c r="W587" s="338">
        <f t="shared" si="640"/>
        <v>275470</v>
      </c>
      <c r="X587" s="128">
        <f t="shared" si="633"/>
        <v>148750</v>
      </c>
      <c r="Y587" s="128">
        <f t="shared" si="634"/>
        <v>100330</v>
      </c>
      <c r="Z587" s="128">
        <f t="shared" si="607"/>
        <v>6580</v>
      </c>
      <c r="AA587" s="128">
        <f t="shared" si="635"/>
        <v>29750</v>
      </c>
      <c r="AB587" s="128">
        <f t="shared" si="636"/>
        <v>26440</v>
      </c>
      <c r="AC587" s="129">
        <f t="shared" si="637"/>
        <v>587320</v>
      </c>
      <c r="AD587" s="619">
        <f t="shared" si="632"/>
        <v>2718280</v>
      </c>
    </row>
    <row r="588" spans="1:30" s="24" customFormat="1" ht="16.5" hidden="1" customHeight="1">
      <c r="A588" s="1150"/>
      <c r="B588" s="119"/>
      <c r="C588" s="120"/>
      <c r="D588" s="120"/>
      <c r="E588" s="124" t="s">
        <v>63</v>
      </c>
      <c r="F588" s="126">
        <f t="shared" si="643"/>
        <v>1594000</v>
      </c>
      <c r="G588" s="126"/>
      <c r="H588" s="126"/>
      <c r="I588" s="126"/>
      <c r="J588" s="126"/>
      <c r="K588" s="126"/>
      <c r="L588" s="126"/>
      <c r="M588" s="126"/>
      <c r="N588" s="126"/>
      <c r="O588" s="126">
        <f t="shared" si="638"/>
        <v>40000</v>
      </c>
      <c r="P588" s="126"/>
      <c r="Q588" s="126">
        <f t="shared" si="639"/>
        <v>12880</v>
      </c>
      <c r="R588" s="126">
        <f t="shared" si="641"/>
        <v>515200</v>
      </c>
      <c r="S588" s="126"/>
      <c r="T588" s="127">
        <f t="shared" si="642"/>
        <v>200000</v>
      </c>
      <c r="U588" s="122">
        <f t="shared" si="591"/>
        <v>2349200</v>
      </c>
      <c r="V588" s="333"/>
      <c r="W588" s="338">
        <f t="shared" si="640"/>
        <v>195770</v>
      </c>
      <c r="X588" s="128">
        <f t="shared" si="633"/>
        <v>105710</v>
      </c>
      <c r="Y588" s="128">
        <f t="shared" si="634"/>
        <v>71300</v>
      </c>
      <c r="Z588" s="128">
        <f t="shared" si="607"/>
        <v>4680</v>
      </c>
      <c r="AA588" s="128">
        <f t="shared" si="635"/>
        <v>21140</v>
      </c>
      <c r="AB588" s="128">
        <f t="shared" si="636"/>
        <v>18790</v>
      </c>
      <c r="AC588" s="129">
        <f t="shared" si="637"/>
        <v>417390</v>
      </c>
      <c r="AD588" s="619">
        <f t="shared" si="632"/>
        <v>1931810</v>
      </c>
    </row>
    <row r="589" spans="1:30" s="24" customFormat="1" ht="16.5" hidden="1" customHeight="1">
      <c r="A589" s="1150"/>
      <c r="B589" s="119"/>
      <c r="C589" s="120"/>
      <c r="D589" s="120"/>
      <c r="E589" s="124" t="s">
        <v>64</v>
      </c>
      <c r="F589" s="126">
        <f t="shared" si="643"/>
        <v>1594000</v>
      </c>
      <c r="G589" s="126"/>
      <c r="H589" s="126"/>
      <c r="I589" s="126"/>
      <c r="J589" s="126"/>
      <c r="K589" s="126"/>
      <c r="L589" s="126"/>
      <c r="M589" s="126"/>
      <c r="N589" s="126"/>
      <c r="O589" s="126">
        <f t="shared" si="638"/>
        <v>40000</v>
      </c>
      <c r="P589" s="126"/>
      <c r="Q589" s="126">
        <f t="shared" si="639"/>
        <v>12880</v>
      </c>
      <c r="R589" s="126">
        <f t="shared" si="641"/>
        <v>515200</v>
      </c>
      <c r="S589" s="126"/>
      <c r="T589" s="127">
        <f t="shared" si="642"/>
        <v>200000</v>
      </c>
      <c r="U589" s="122">
        <f t="shared" si="591"/>
        <v>2349200</v>
      </c>
      <c r="V589" s="333"/>
      <c r="W589" s="338">
        <f t="shared" si="640"/>
        <v>195770</v>
      </c>
      <c r="X589" s="128">
        <f t="shared" si="633"/>
        <v>105710</v>
      </c>
      <c r="Y589" s="128">
        <f t="shared" si="634"/>
        <v>71300</v>
      </c>
      <c r="Z589" s="128">
        <f t="shared" si="607"/>
        <v>4680</v>
      </c>
      <c r="AA589" s="128">
        <f t="shared" si="635"/>
        <v>21140</v>
      </c>
      <c r="AB589" s="128">
        <f t="shared" si="636"/>
        <v>18790</v>
      </c>
      <c r="AC589" s="129">
        <f t="shared" si="637"/>
        <v>417390</v>
      </c>
      <c r="AD589" s="619">
        <f t="shared" si="632"/>
        <v>1931810</v>
      </c>
    </row>
    <row r="590" spans="1:30" s="24" customFormat="1" ht="16.5" hidden="1" customHeight="1">
      <c r="A590" s="1150"/>
      <c r="B590" s="119"/>
      <c r="C590" s="120"/>
      <c r="D590" s="120"/>
      <c r="E590" s="124" t="s">
        <v>332</v>
      </c>
      <c r="F590" s="126">
        <f t="shared" si="643"/>
        <v>1594000</v>
      </c>
      <c r="G590" s="126"/>
      <c r="H590" s="126"/>
      <c r="I590" s="126"/>
      <c r="J590" s="126"/>
      <c r="K590" s="126"/>
      <c r="L590" s="126"/>
      <c r="M590" s="126"/>
      <c r="N590" s="126"/>
      <c r="O590" s="126">
        <f t="shared" si="638"/>
        <v>40000</v>
      </c>
      <c r="P590" s="126"/>
      <c r="Q590" s="126">
        <f t="shared" si="639"/>
        <v>12880</v>
      </c>
      <c r="R590" s="126">
        <f>Q590*40*2</f>
        <v>1030400</v>
      </c>
      <c r="S590" s="126"/>
      <c r="T590" s="127">
        <f t="shared" si="642"/>
        <v>200000</v>
      </c>
      <c r="U590" s="122">
        <f t="shared" si="591"/>
        <v>2864400</v>
      </c>
      <c r="V590" s="333"/>
      <c r="W590" s="338">
        <f t="shared" si="640"/>
        <v>238700</v>
      </c>
      <c r="X590" s="128">
        <f t="shared" si="633"/>
        <v>128900</v>
      </c>
      <c r="Y590" s="128">
        <f t="shared" si="634"/>
        <v>86940</v>
      </c>
      <c r="Z590" s="128">
        <f t="shared" si="607"/>
        <v>5700</v>
      </c>
      <c r="AA590" s="128">
        <f t="shared" si="635"/>
        <v>25780</v>
      </c>
      <c r="AB590" s="128">
        <f t="shared" si="636"/>
        <v>22920</v>
      </c>
      <c r="AC590" s="129">
        <f t="shared" si="637"/>
        <v>508940</v>
      </c>
      <c r="AD590" s="619">
        <f t="shared" si="632"/>
        <v>2355460</v>
      </c>
    </row>
    <row r="591" spans="1:30" s="24" customFormat="1" ht="16.5" hidden="1" customHeight="1">
      <c r="A591" s="1150">
        <v>46</v>
      </c>
      <c r="B591" s="119" t="s">
        <v>562</v>
      </c>
      <c r="C591" s="120" t="s">
        <v>735</v>
      </c>
      <c r="D591" s="120">
        <v>1</v>
      </c>
      <c r="E591" s="121" t="s">
        <v>94</v>
      </c>
      <c r="F591" s="122">
        <f t="shared" ref="F591:L591" si="644">SUM(F592:F603)</f>
        <v>17778000</v>
      </c>
      <c r="G591" s="122">
        <f t="shared" si="644"/>
        <v>0</v>
      </c>
      <c r="H591" s="122">
        <f t="shared" si="644"/>
        <v>0</v>
      </c>
      <c r="I591" s="122">
        <f t="shared" si="644"/>
        <v>0</v>
      </c>
      <c r="J591" s="122">
        <f t="shared" si="644"/>
        <v>0</v>
      </c>
      <c r="K591" s="122">
        <f t="shared" si="644"/>
        <v>0</v>
      </c>
      <c r="L591" s="122">
        <f t="shared" si="644"/>
        <v>0</v>
      </c>
      <c r="M591" s="122">
        <f>SUM(M592:M603)</f>
        <v>1757400</v>
      </c>
      <c r="N591" s="122">
        <f>SUM(N592:N603)</f>
        <v>0</v>
      </c>
      <c r="O591" s="122">
        <f>SUM(O592:O603)</f>
        <v>1080000</v>
      </c>
      <c r="P591" s="122"/>
      <c r="Q591" s="122"/>
      <c r="R591" s="122">
        <f>SUM(R592:R603)</f>
        <v>5792800</v>
      </c>
      <c r="S591" s="122">
        <f>SUM(S592:S603)</f>
        <v>0</v>
      </c>
      <c r="T591" s="122">
        <f>SUM(T592:T603)</f>
        <v>2400000</v>
      </c>
      <c r="U591" s="122">
        <f>SUM(U592:U603)</f>
        <v>28808200</v>
      </c>
      <c r="V591" s="333"/>
      <c r="W591" s="350">
        <f t="shared" ref="W591:AB591" si="645">SUM(W592:W603)</f>
        <v>2417390</v>
      </c>
      <c r="X591" s="122">
        <f t="shared" si="645"/>
        <v>1296350</v>
      </c>
      <c r="Y591" s="122">
        <f t="shared" si="645"/>
        <v>874360</v>
      </c>
      <c r="Z591" s="122">
        <f t="shared" si="645"/>
        <v>57340</v>
      </c>
      <c r="AA591" s="122">
        <f t="shared" si="645"/>
        <v>259290</v>
      </c>
      <c r="AB591" s="122">
        <f t="shared" si="645"/>
        <v>230440</v>
      </c>
      <c r="AC591" s="123">
        <f>SUM(AC592:AC603)</f>
        <v>5135170</v>
      </c>
      <c r="AD591" s="618">
        <f>U591-AC591</f>
        <v>23673030</v>
      </c>
    </row>
    <row r="592" spans="1:30" s="24" customFormat="1" ht="15.75" hidden="1" customHeight="1">
      <c r="A592" s="1150"/>
      <c r="B592" s="119" t="s">
        <v>656</v>
      </c>
      <c r="C592" s="120">
        <v>2</v>
      </c>
      <c r="D592" s="120"/>
      <c r="E592" s="124" t="s">
        <v>324</v>
      </c>
      <c r="F592" s="591">
        <v>1439000</v>
      </c>
      <c r="G592" s="126"/>
      <c r="H592" s="125"/>
      <c r="I592" s="125"/>
      <c r="J592" s="126"/>
      <c r="K592" s="126"/>
      <c r="L592" s="126"/>
      <c r="M592" s="126"/>
      <c r="N592" s="126"/>
      <c r="O592" s="126">
        <v>90000</v>
      </c>
      <c r="P592" s="126"/>
      <c r="Q592" s="126"/>
      <c r="R592" s="126"/>
      <c r="S592" s="126"/>
      <c r="T592" s="127">
        <v>200000</v>
      </c>
      <c r="U592" s="122">
        <f>SUM(F592,M592,O592,R592,T592)</f>
        <v>1729000</v>
      </c>
      <c r="V592" s="333"/>
      <c r="W592" s="338">
        <f>ROUNDUP(U592*1/12,-1)</f>
        <v>144090</v>
      </c>
      <c r="X592" s="128">
        <f t="shared" ref="X592:X603" si="646">ROUND(U592*4.5%,-1)</f>
        <v>77810</v>
      </c>
      <c r="Y592" s="128">
        <f t="shared" ref="Y592:Y603" si="647">ROUNDUP((U592-L592)*3.035%,-1)</f>
        <v>52480</v>
      </c>
      <c r="Z592" s="128">
        <f>ROUNDUP(Y592*6.55%,-1)</f>
        <v>3440</v>
      </c>
      <c r="AA592" s="128">
        <f t="shared" ref="AA592:AA603" si="648">ROUND(U592*0.9%,-1)</f>
        <v>15560</v>
      </c>
      <c r="AB592" s="128">
        <f t="shared" ref="AB592:AB603" si="649">ROUND(U592*0.8%,-1)</f>
        <v>13830</v>
      </c>
      <c r="AC592" s="129">
        <f t="shared" ref="AC592:AC603" si="650">SUM(W592:AB592)</f>
        <v>307210</v>
      </c>
      <c r="AD592" s="619">
        <f>U592-AC592</f>
        <v>1421790</v>
      </c>
    </row>
    <row r="593" spans="1:30" s="24" customFormat="1" ht="16.5" hidden="1" customHeight="1">
      <c r="A593" s="1150"/>
      <c r="B593" s="119"/>
      <c r="C593" s="120"/>
      <c r="D593" s="120"/>
      <c r="E593" s="124" t="s">
        <v>325</v>
      </c>
      <c r="F593" s="126">
        <f>F592</f>
        <v>1439000</v>
      </c>
      <c r="G593" s="126"/>
      <c r="H593" s="126"/>
      <c r="I593" s="126"/>
      <c r="J593" s="126"/>
      <c r="K593" s="126"/>
      <c r="L593" s="126"/>
      <c r="M593" s="126">
        <f>F593*60%</f>
        <v>863400</v>
      </c>
      <c r="N593" s="126"/>
      <c r="O593" s="126">
        <f t="shared" ref="O593:O603" si="651">O592</f>
        <v>90000</v>
      </c>
      <c r="P593" s="126"/>
      <c r="Q593" s="126">
        <f t="shared" ref="Q593:Q603" si="652">ROUND((F592+T592)*1/209*1.5,-1)</f>
        <v>11760</v>
      </c>
      <c r="R593" s="126">
        <f>Q593*40</f>
        <v>470400</v>
      </c>
      <c r="S593" s="126"/>
      <c r="T593" s="127">
        <v>200000</v>
      </c>
      <c r="U593" s="122">
        <f t="shared" si="591"/>
        <v>3062800</v>
      </c>
      <c r="V593" s="333"/>
      <c r="W593" s="338">
        <f>ROUNDUP((T593+U593)*1/12,-1)</f>
        <v>271900</v>
      </c>
      <c r="X593" s="128">
        <f t="shared" si="646"/>
        <v>137830</v>
      </c>
      <c r="Y593" s="128">
        <f t="shared" si="647"/>
        <v>92960</v>
      </c>
      <c r="Z593" s="128">
        <f t="shared" si="607"/>
        <v>6090</v>
      </c>
      <c r="AA593" s="128">
        <f t="shared" si="648"/>
        <v>27570</v>
      </c>
      <c r="AB593" s="128">
        <f t="shared" si="649"/>
        <v>24500</v>
      </c>
      <c r="AC593" s="129">
        <f t="shared" si="650"/>
        <v>560850</v>
      </c>
      <c r="AD593" s="619">
        <f>U593-AC593</f>
        <v>2501950</v>
      </c>
    </row>
    <row r="594" spans="1:30" s="24" customFormat="1" ht="16.5" hidden="1" customHeight="1">
      <c r="A594" s="1150"/>
      <c r="B594" s="119"/>
      <c r="C594" s="120">
        <v>3</v>
      </c>
      <c r="D594" s="120"/>
      <c r="E594" s="124" t="s">
        <v>326</v>
      </c>
      <c r="F594" s="591">
        <v>1490000</v>
      </c>
      <c r="G594" s="126"/>
      <c r="H594" s="126"/>
      <c r="I594" s="126"/>
      <c r="J594" s="126"/>
      <c r="K594" s="126"/>
      <c r="L594" s="126"/>
      <c r="M594" s="126"/>
      <c r="N594" s="126"/>
      <c r="O594" s="126">
        <f t="shared" si="651"/>
        <v>90000</v>
      </c>
      <c r="P594" s="126"/>
      <c r="Q594" s="126">
        <f t="shared" si="652"/>
        <v>11760</v>
      </c>
      <c r="R594" s="126">
        <f>Q594*40</f>
        <v>470400</v>
      </c>
      <c r="S594" s="126"/>
      <c r="T594" s="127">
        <v>200000</v>
      </c>
      <c r="U594" s="122">
        <f t="shared" si="591"/>
        <v>2250400</v>
      </c>
      <c r="V594" s="333"/>
      <c r="W594" s="338">
        <f t="shared" ref="W594:W603" si="653">ROUNDUP(U594*1/12,-1)</f>
        <v>187540</v>
      </c>
      <c r="X594" s="128">
        <f t="shared" si="646"/>
        <v>101270</v>
      </c>
      <c r="Y594" s="128">
        <f t="shared" si="647"/>
        <v>68300</v>
      </c>
      <c r="Z594" s="128">
        <f t="shared" si="607"/>
        <v>4480</v>
      </c>
      <c r="AA594" s="128">
        <f t="shared" si="648"/>
        <v>20250</v>
      </c>
      <c r="AB594" s="128">
        <f t="shared" si="649"/>
        <v>18000</v>
      </c>
      <c r="AC594" s="129">
        <f t="shared" si="650"/>
        <v>399840</v>
      </c>
      <c r="AD594" s="619">
        <f>U594-AC594</f>
        <v>1850560</v>
      </c>
    </row>
    <row r="595" spans="1:30" s="24" customFormat="1" ht="16.5" hidden="1" customHeight="1">
      <c r="A595" s="1150"/>
      <c r="B595" s="119"/>
      <c r="C595" s="120"/>
      <c r="D595" s="120"/>
      <c r="E595" s="124" t="s">
        <v>327</v>
      </c>
      <c r="F595" s="126">
        <f>F594</f>
        <v>1490000</v>
      </c>
      <c r="G595" s="126"/>
      <c r="H595" s="126"/>
      <c r="I595" s="126"/>
      <c r="J595" s="126"/>
      <c r="K595" s="126"/>
      <c r="L595" s="126"/>
      <c r="M595" s="126"/>
      <c r="N595" s="126"/>
      <c r="O595" s="126">
        <f t="shared" si="651"/>
        <v>90000</v>
      </c>
      <c r="P595" s="126"/>
      <c r="Q595" s="126">
        <f t="shared" si="652"/>
        <v>12130</v>
      </c>
      <c r="R595" s="126">
        <f t="shared" ref="R595:R602" si="654">Q595*40</f>
        <v>485200</v>
      </c>
      <c r="S595" s="126"/>
      <c r="T595" s="127">
        <v>200000</v>
      </c>
      <c r="U595" s="122">
        <f t="shared" si="591"/>
        <v>2265200</v>
      </c>
      <c r="V595" s="333"/>
      <c r="W595" s="338">
        <f t="shared" si="653"/>
        <v>188770</v>
      </c>
      <c r="X595" s="128">
        <f t="shared" si="646"/>
        <v>101930</v>
      </c>
      <c r="Y595" s="128">
        <f t="shared" si="647"/>
        <v>68750</v>
      </c>
      <c r="Z595" s="128">
        <f t="shared" si="607"/>
        <v>4510</v>
      </c>
      <c r="AA595" s="128">
        <f t="shared" si="648"/>
        <v>20390</v>
      </c>
      <c r="AB595" s="128">
        <f t="shared" si="649"/>
        <v>18120</v>
      </c>
      <c r="AC595" s="129">
        <f t="shared" si="650"/>
        <v>402470</v>
      </c>
      <c r="AD595" s="619">
        <f>U595-AC595</f>
        <v>1862730</v>
      </c>
    </row>
    <row r="596" spans="1:30" s="24" customFormat="1" ht="16.5" hidden="1" customHeight="1">
      <c r="A596" s="1150"/>
      <c r="B596" s="119"/>
      <c r="C596" s="120"/>
      <c r="D596" s="120"/>
      <c r="E596" s="124" t="s">
        <v>328</v>
      </c>
      <c r="F596" s="126">
        <f>F595</f>
        <v>1490000</v>
      </c>
      <c r="G596" s="126"/>
      <c r="H596" s="126"/>
      <c r="I596" s="126"/>
      <c r="J596" s="126"/>
      <c r="K596" s="126"/>
      <c r="L596" s="126"/>
      <c r="M596" s="126"/>
      <c r="N596" s="126"/>
      <c r="O596" s="126">
        <f t="shared" si="651"/>
        <v>90000</v>
      </c>
      <c r="P596" s="126"/>
      <c r="Q596" s="126">
        <f t="shared" si="652"/>
        <v>12130</v>
      </c>
      <c r="R596" s="126">
        <f t="shared" si="654"/>
        <v>485200</v>
      </c>
      <c r="S596" s="126"/>
      <c r="T596" s="127">
        <f t="shared" ref="T596:T603" si="655">T595</f>
        <v>200000</v>
      </c>
      <c r="U596" s="122">
        <f t="shared" si="591"/>
        <v>2265200</v>
      </c>
      <c r="V596" s="333"/>
      <c r="W596" s="338">
        <f t="shared" si="653"/>
        <v>188770</v>
      </c>
      <c r="X596" s="128">
        <f t="shared" si="646"/>
        <v>101930</v>
      </c>
      <c r="Y596" s="128">
        <f t="shared" si="647"/>
        <v>68750</v>
      </c>
      <c r="Z596" s="128">
        <f t="shared" si="607"/>
        <v>4510</v>
      </c>
      <c r="AA596" s="128">
        <f t="shared" si="648"/>
        <v>20390</v>
      </c>
      <c r="AB596" s="128">
        <f t="shared" si="649"/>
        <v>18120</v>
      </c>
      <c r="AC596" s="129">
        <f t="shared" si="650"/>
        <v>402470</v>
      </c>
      <c r="AD596" s="619">
        <f t="shared" ref="AD596:AD616" si="656">U596-AC596</f>
        <v>1862730</v>
      </c>
    </row>
    <row r="597" spans="1:30" s="24" customFormat="1" ht="16.5" hidden="1" customHeight="1">
      <c r="A597" s="1150"/>
      <c r="B597" s="119"/>
      <c r="C597" s="120"/>
      <c r="D597" s="120"/>
      <c r="E597" s="124" t="s">
        <v>329</v>
      </c>
      <c r="F597" s="126">
        <f t="shared" ref="F597:F603" si="657">F596</f>
        <v>1490000</v>
      </c>
      <c r="G597" s="126"/>
      <c r="H597" s="126"/>
      <c r="I597" s="126"/>
      <c r="J597" s="126"/>
      <c r="K597" s="126"/>
      <c r="L597" s="126"/>
      <c r="M597" s="126"/>
      <c r="N597" s="126"/>
      <c r="O597" s="126">
        <f t="shared" si="651"/>
        <v>90000</v>
      </c>
      <c r="P597" s="126"/>
      <c r="Q597" s="126">
        <f t="shared" si="652"/>
        <v>12130</v>
      </c>
      <c r="R597" s="126">
        <f t="shared" si="654"/>
        <v>485200</v>
      </c>
      <c r="S597" s="126"/>
      <c r="T597" s="127">
        <f t="shared" si="655"/>
        <v>200000</v>
      </c>
      <c r="U597" s="122">
        <f t="shared" si="591"/>
        <v>2265200</v>
      </c>
      <c r="V597" s="333"/>
      <c r="W597" s="338">
        <f t="shared" si="653"/>
        <v>188770</v>
      </c>
      <c r="X597" s="128">
        <f t="shared" si="646"/>
        <v>101930</v>
      </c>
      <c r="Y597" s="128">
        <f t="shared" si="647"/>
        <v>68750</v>
      </c>
      <c r="Z597" s="128">
        <f t="shared" si="607"/>
        <v>4510</v>
      </c>
      <c r="AA597" s="128">
        <f t="shared" si="648"/>
        <v>20390</v>
      </c>
      <c r="AB597" s="128">
        <f t="shared" si="649"/>
        <v>18120</v>
      </c>
      <c r="AC597" s="129">
        <f t="shared" si="650"/>
        <v>402470</v>
      </c>
      <c r="AD597" s="619">
        <f t="shared" si="656"/>
        <v>1862730</v>
      </c>
    </row>
    <row r="598" spans="1:30" s="24" customFormat="1" ht="14.25" hidden="1" customHeight="1">
      <c r="A598" s="1150"/>
      <c r="B598" s="119"/>
      <c r="C598" s="120"/>
      <c r="D598" s="120"/>
      <c r="E598" s="124" t="s">
        <v>330</v>
      </c>
      <c r="F598" s="126">
        <f t="shared" si="657"/>
        <v>1490000</v>
      </c>
      <c r="G598" s="126"/>
      <c r="H598" s="126"/>
      <c r="I598" s="127"/>
      <c r="J598" s="126"/>
      <c r="K598" s="126"/>
      <c r="L598" s="126"/>
      <c r="M598" s="126"/>
      <c r="N598" s="126"/>
      <c r="O598" s="126">
        <f t="shared" si="651"/>
        <v>90000</v>
      </c>
      <c r="P598" s="126"/>
      <c r="Q598" s="126">
        <f t="shared" si="652"/>
        <v>12130</v>
      </c>
      <c r="R598" s="126">
        <f t="shared" si="654"/>
        <v>485200</v>
      </c>
      <c r="S598" s="126"/>
      <c r="T598" s="127">
        <f t="shared" si="655"/>
        <v>200000</v>
      </c>
      <c r="U598" s="122">
        <f t="shared" si="591"/>
        <v>2265200</v>
      </c>
      <c r="V598" s="333"/>
      <c r="W598" s="338">
        <f t="shared" si="653"/>
        <v>188770</v>
      </c>
      <c r="X598" s="128">
        <f t="shared" si="646"/>
        <v>101930</v>
      </c>
      <c r="Y598" s="128">
        <f t="shared" si="647"/>
        <v>68750</v>
      </c>
      <c r="Z598" s="128">
        <f t="shared" si="607"/>
        <v>4510</v>
      </c>
      <c r="AA598" s="128">
        <f t="shared" si="648"/>
        <v>20390</v>
      </c>
      <c r="AB598" s="128">
        <f t="shared" si="649"/>
        <v>18120</v>
      </c>
      <c r="AC598" s="129">
        <f t="shared" si="650"/>
        <v>402470</v>
      </c>
      <c r="AD598" s="619">
        <f t="shared" si="656"/>
        <v>1862730</v>
      </c>
    </row>
    <row r="599" spans="1:30" s="24" customFormat="1" ht="15" hidden="1" customHeight="1">
      <c r="A599" s="1150"/>
      <c r="B599" s="119"/>
      <c r="C599" s="120"/>
      <c r="D599" s="120"/>
      <c r="E599" s="124" t="s">
        <v>331</v>
      </c>
      <c r="F599" s="126">
        <f t="shared" si="657"/>
        <v>1490000</v>
      </c>
      <c r="G599" s="126"/>
      <c r="H599" s="126"/>
      <c r="I599" s="126"/>
      <c r="J599" s="126"/>
      <c r="K599" s="126"/>
      <c r="L599" s="126"/>
      <c r="M599" s="126"/>
      <c r="N599" s="126"/>
      <c r="O599" s="126">
        <f t="shared" si="651"/>
        <v>90000</v>
      </c>
      <c r="P599" s="126"/>
      <c r="Q599" s="126">
        <f t="shared" si="652"/>
        <v>12130</v>
      </c>
      <c r="R599" s="126">
        <f t="shared" si="654"/>
        <v>485200</v>
      </c>
      <c r="S599" s="126"/>
      <c r="T599" s="127">
        <f t="shared" si="655"/>
        <v>200000</v>
      </c>
      <c r="U599" s="122">
        <f t="shared" si="591"/>
        <v>2265200</v>
      </c>
      <c r="V599" s="333"/>
      <c r="W599" s="338">
        <f t="shared" si="653"/>
        <v>188770</v>
      </c>
      <c r="X599" s="128">
        <f t="shared" si="646"/>
        <v>101930</v>
      </c>
      <c r="Y599" s="128">
        <f t="shared" si="647"/>
        <v>68750</v>
      </c>
      <c r="Z599" s="128">
        <f t="shared" si="607"/>
        <v>4510</v>
      </c>
      <c r="AA599" s="128">
        <f t="shared" si="648"/>
        <v>20390</v>
      </c>
      <c r="AB599" s="128">
        <f t="shared" si="649"/>
        <v>18120</v>
      </c>
      <c r="AC599" s="129">
        <f t="shared" si="650"/>
        <v>402470</v>
      </c>
      <c r="AD599" s="619">
        <f t="shared" si="656"/>
        <v>1862730</v>
      </c>
    </row>
    <row r="600" spans="1:30" s="24" customFormat="1" ht="15" hidden="1" customHeight="1">
      <c r="A600" s="1150"/>
      <c r="B600" s="119"/>
      <c r="C600" s="120"/>
      <c r="D600" s="120"/>
      <c r="E600" s="124" t="s">
        <v>62</v>
      </c>
      <c r="F600" s="126">
        <f t="shared" si="657"/>
        <v>1490000</v>
      </c>
      <c r="G600" s="126"/>
      <c r="H600" s="126"/>
      <c r="I600" s="126"/>
      <c r="J600" s="126"/>
      <c r="K600" s="126"/>
      <c r="L600" s="126"/>
      <c r="M600" s="126">
        <f>F600*60%</f>
        <v>894000</v>
      </c>
      <c r="N600" s="126"/>
      <c r="O600" s="126">
        <f t="shared" si="651"/>
        <v>90000</v>
      </c>
      <c r="P600" s="126"/>
      <c r="Q600" s="126">
        <f t="shared" si="652"/>
        <v>12130</v>
      </c>
      <c r="R600" s="126">
        <f t="shared" si="654"/>
        <v>485200</v>
      </c>
      <c r="S600" s="126"/>
      <c r="T600" s="127">
        <f t="shared" si="655"/>
        <v>200000</v>
      </c>
      <c r="U600" s="122">
        <f t="shared" si="591"/>
        <v>3159200</v>
      </c>
      <c r="V600" s="333"/>
      <c r="W600" s="338">
        <f t="shared" si="653"/>
        <v>263270</v>
      </c>
      <c r="X600" s="128">
        <f t="shared" si="646"/>
        <v>142160</v>
      </c>
      <c r="Y600" s="128">
        <f t="shared" si="647"/>
        <v>95890</v>
      </c>
      <c r="Z600" s="128">
        <f t="shared" si="607"/>
        <v>6290</v>
      </c>
      <c r="AA600" s="128">
        <f t="shared" si="648"/>
        <v>28430</v>
      </c>
      <c r="AB600" s="128">
        <f t="shared" si="649"/>
        <v>25270</v>
      </c>
      <c r="AC600" s="129">
        <f t="shared" si="650"/>
        <v>561310</v>
      </c>
      <c r="AD600" s="619">
        <f t="shared" si="656"/>
        <v>2597890</v>
      </c>
    </row>
    <row r="601" spans="1:30" s="24" customFormat="1" ht="15" hidden="1" customHeight="1">
      <c r="A601" s="1150"/>
      <c r="B601" s="119"/>
      <c r="C601" s="120"/>
      <c r="D601" s="120"/>
      <c r="E601" s="124" t="s">
        <v>63</v>
      </c>
      <c r="F601" s="126">
        <f t="shared" si="657"/>
        <v>1490000</v>
      </c>
      <c r="G601" s="126"/>
      <c r="H601" s="126"/>
      <c r="I601" s="126"/>
      <c r="J601" s="126"/>
      <c r="K601" s="126"/>
      <c r="L601" s="126"/>
      <c r="M601" s="126"/>
      <c r="N601" s="126"/>
      <c r="O601" s="126">
        <f t="shared" si="651"/>
        <v>90000</v>
      </c>
      <c r="P601" s="126"/>
      <c r="Q601" s="126">
        <f t="shared" si="652"/>
        <v>12130</v>
      </c>
      <c r="R601" s="126">
        <f t="shared" si="654"/>
        <v>485200</v>
      </c>
      <c r="S601" s="126"/>
      <c r="T601" s="127">
        <f t="shared" si="655"/>
        <v>200000</v>
      </c>
      <c r="U601" s="122">
        <f t="shared" si="591"/>
        <v>2265200</v>
      </c>
      <c r="V601" s="333"/>
      <c r="W601" s="338">
        <f t="shared" si="653"/>
        <v>188770</v>
      </c>
      <c r="X601" s="128">
        <f t="shared" si="646"/>
        <v>101930</v>
      </c>
      <c r="Y601" s="128">
        <f t="shared" si="647"/>
        <v>68750</v>
      </c>
      <c r="Z601" s="128">
        <f t="shared" si="607"/>
        <v>4510</v>
      </c>
      <c r="AA601" s="128">
        <f t="shared" si="648"/>
        <v>20390</v>
      </c>
      <c r="AB601" s="128">
        <f t="shared" si="649"/>
        <v>18120</v>
      </c>
      <c r="AC601" s="129">
        <f t="shared" si="650"/>
        <v>402470</v>
      </c>
      <c r="AD601" s="619">
        <f t="shared" si="656"/>
        <v>1862730</v>
      </c>
    </row>
    <row r="602" spans="1:30" s="24" customFormat="1" ht="15" hidden="1" customHeight="1">
      <c r="A602" s="1150"/>
      <c r="B602" s="119"/>
      <c r="C602" s="120"/>
      <c r="D602" s="120"/>
      <c r="E602" s="124" t="s">
        <v>64</v>
      </c>
      <c r="F602" s="126">
        <f t="shared" si="657"/>
        <v>1490000</v>
      </c>
      <c r="G602" s="126"/>
      <c r="H602" s="126"/>
      <c r="I602" s="126"/>
      <c r="J602" s="126"/>
      <c r="K602" s="126"/>
      <c r="L602" s="126"/>
      <c r="M602" s="126"/>
      <c r="N602" s="126"/>
      <c r="O602" s="126">
        <f t="shared" si="651"/>
        <v>90000</v>
      </c>
      <c r="P602" s="126"/>
      <c r="Q602" s="126">
        <f t="shared" si="652"/>
        <v>12130</v>
      </c>
      <c r="R602" s="126">
        <f t="shared" si="654"/>
        <v>485200</v>
      </c>
      <c r="S602" s="126"/>
      <c r="T602" s="127">
        <f t="shared" si="655"/>
        <v>200000</v>
      </c>
      <c r="U602" s="122">
        <f t="shared" si="591"/>
        <v>2265200</v>
      </c>
      <c r="V602" s="333"/>
      <c r="W602" s="338">
        <f t="shared" si="653"/>
        <v>188770</v>
      </c>
      <c r="X602" s="128">
        <f t="shared" si="646"/>
        <v>101930</v>
      </c>
      <c r="Y602" s="128">
        <f t="shared" si="647"/>
        <v>68750</v>
      </c>
      <c r="Z602" s="128">
        <f t="shared" si="607"/>
        <v>4510</v>
      </c>
      <c r="AA602" s="128">
        <f t="shared" si="648"/>
        <v>20390</v>
      </c>
      <c r="AB602" s="128">
        <f t="shared" si="649"/>
        <v>18120</v>
      </c>
      <c r="AC602" s="129">
        <f t="shared" si="650"/>
        <v>402470</v>
      </c>
      <c r="AD602" s="619">
        <f t="shared" si="656"/>
        <v>1862730</v>
      </c>
    </row>
    <row r="603" spans="1:30" s="24" customFormat="1" ht="16.5" hidden="1" customHeight="1">
      <c r="A603" s="1150"/>
      <c r="B603" s="119"/>
      <c r="C603" s="120"/>
      <c r="D603" s="120"/>
      <c r="E603" s="124" t="s">
        <v>332</v>
      </c>
      <c r="F603" s="126">
        <f t="shared" si="657"/>
        <v>1490000</v>
      </c>
      <c r="G603" s="126"/>
      <c r="H603" s="126"/>
      <c r="I603" s="126"/>
      <c r="J603" s="126"/>
      <c r="K603" s="126"/>
      <c r="L603" s="126"/>
      <c r="M603" s="126"/>
      <c r="N603" s="126"/>
      <c r="O603" s="126">
        <f t="shared" si="651"/>
        <v>90000</v>
      </c>
      <c r="P603" s="126"/>
      <c r="Q603" s="126">
        <f t="shared" si="652"/>
        <v>12130</v>
      </c>
      <c r="R603" s="126">
        <f>Q603*40*2</f>
        <v>970400</v>
      </c>
      <c r="S603" s="126"/>
      <c r="T603" s="127">
        <f t="shared" si="655"/>
        <v>200000</v>
      </c>
      <c r="U603" s="122">
        <f t="shared" si="591"/>
        <v>2750400</v>
      </c>
      <c r="V603" s="333"/>
      <c r="W603" s="338">
        <f t="shared" si="653"/>
        <v>229200</v>
      </c>
      <c r="X603" s="128">
        <f t="shared" si="646"/>
        <v>123770</v>
      </c>
      <c r="Y603" s="128">
        <f t="shared" si="647"/>
        <v>83480</v>
      </c>
      <c r="Z603" s="128">
        <f t="shared" si="607"/>
        <v>5470</v>
      </c>
      <c r="AA603" s="128">
        <f t="shared" si="648"/>
        <v>24750</v>
      </c>
      <c r="AB603" s="128">
        <f t="shared" si="649"/>
        <v>22000</v>
      </c>
      <c r="AC603" s="129">
        <f t="shared" si="650"/>
        <v>488670</v>
      </c>
      <c r="AD603" s="619">
        <f t="shared" si="656"/>
        <v>2261730</v>
      </c>
    </row>
    <row r="604" spans="1:30" s="24" customFormat="1" ht="16.5" customHeight="1">
      <c r="A604" s="1150">
        <v>47</v>
      </c>
      <c r="B604" s="119" t="s">
        <v>811</v>
      </c>
      <c r="C604" s="120">
        <v>6</v>
      </c>
      <c r="D604" s="120">
        <v>1</v>
      </c>
      <c r="E604" s="121" t="s">
        <v>94</v>
      </c>
      <c r="F604" s="122">
        <f t="shared" ref="F604:L604" si="658">SUM(F605:F616)</f>
        <v>10715000</v>
      </c>
      <c r="G604" s="122">
        <f t="shared" si="658"/>
        <v>0</v>
      </c>
      <c r="H604" s="122">
        <f t="shared" si="658"/>
        <v>0</v>
      </c>
      <c r="I604" s="122">
        <f t="shared" si="658"/>
        <v>0</v>
      </c>
      <c r="J604" s="122">
        <f t="shared" si="658"/>
        <v>0</v>
      </c>
      <c r="K604" s="122">
        <f t="shared" si="658"/>
        <v>0</v>
      </c>
      <c r="L604" s="122">
        <f t="shared" si="658"/>
        <v>0</v>
      </c>
      <c r="M604" s="122">
        <f>SUM(M605:M616)</f>
        <v>1285800</v>
      </c>
      <c r="N604" s="122">
        <f>SUM(N605:N616)</f>
        <v>0</v>
      </c>
      <c r="O604" s="122">
        <f>SUM(O605:O616)</f>
        <v>200000</v>
      </c>
      <c r="P604" s="122"/>
      <c r="Q604" s="122"/>
      <c r="R604" s="122">
        <f>SUM(R605:R616)</f>
        <v>1717000</v>
      </c>
      <c r="S604" s="122">
        <f>SUM(S605:S616)</f>
        <v>429250</v>
      </c>
      <c r="T604" s="122">
        <f>SUM(T605:T616)</f>
        <v>1250000</v>
      </c>
      <c r="U604" s="122">
        <f>SUM(U605:U616)</f>
        <v>15167800</v>
      </c>
      <c r="V604" s="333"/>
      <c r="W604" s="350">
        <f t="shared" ref="W604:AB604" si="659">SUM(W605:W616)</f>
        <v>1264000</v>
      </c>
      <c r="X604" s="122">
        <f t="shared" si="659"/>
        <v>682560</v>
      </c>
      <c r="Y604" s="122">
        <f t="shared" si="659"/>
        <v>460370</v>
      </c>
      <c r="Z604" s="122">
        <f t="shared" si="659"/>
        <v>30170</v>
      </c>
      <c r="AA604" s="122">
        <f t="shared" si="659"/>
        <v>136520</v>
      </c>
      <c r="AB604" s="122">
        <f t="shared" si="659"/>
        <v>121340</v>
      </c>
      <c r="AC604" s="123">
        <f>SUM(AC605:AC616)</f>
        <v>2694960</v>
      </c>
      <c r="AD604" s="618">
        <f t="shared" si="656"/>
        <v>12472840</v>
      </c>
    </row>
    <row r="605" spans="1:30" s="24" customFormat="1" ht="17.25" hidden="1" customHeight="1">
      <c r="A605" s="1150"/>
      <c r="B605" s="119"/>
      <c r="C605" s="120"/>
      <c r="D605" s="120"/>
      <c r="E605" s="124" t="s">
        <v>457</v>
      </c>
      <c r="F605" s="125"/>
      <c r="G605" s="126"/>
      <c r="H605" s="125"/>
      <c r="I605" s="125"/>
      <c r="J605" s="126"/>
      <c r="K605" s="126"/>
      <c r="L605" s="126"/>
      <c r="M605" s="126"/>
      <c r="N605" s="126"/>
      <c r="O605" s="126"/>
      <c r="P605" s="126"/>
      <c r="Q605" s="126"/>
      <c r="R605" s="126"/>
      <c r="S605" s="126"/>
      <c r="T605" s="127"/>
      <c r="U605" s="122">
        <f t="shared" ref="U605:U655" si="660">SUM(F605,M605,O605,R605,T605)</f>
        <v>0</v>
      </c>
      <c r="V605" s="333"/>
      <c r="W605" s="338">
        <f>ROUNDUP(U605*1/12,-1)</f>
        <v>0</v>
      </c>
      <c r="X605" s="128">
        <f t="shared" ref="X605:X616" si="661">ROUND(U605*4.5%,-1)</f>
        <v>0</v>
      </c>
      <c r="Y605" s="128">
        <f t="shared" ref="Y605:Y616" si="662">ROUNDUP((U605-L605)*3.035%,-1)</f>
        <v>0</v>
      </c>
      <c r="Z605" s="128">
        <f>ROUNDUP(Y605*6.55%,-1)</f>
        <v>0</v>
      </c>
      <c r="AA605" s="128">
        <f t="shared" ref="AA605:AA616" si="663">ROUND(U605*0.9%,-1)</f>
        <v>0</v>
      </c>
      <c r="AB605" s="128">
        <f t="shared" ref="AB605:AB616" si="664">ROUND(U605*0.8%,-1)</f>
        <v>0</v>
      </c>
      <c r="AC605" s="129">
        <f t="shared" ref="AC605:AC616" si="665">SUM(W605:AB605)</f>
        <v>0</v>
      </c>
      <c r="AD605" s="619">
        <f t="shared" si="656"/>
        <v>0</v>
      </c>
    </row>
    <row r="606" spans="1:30" s="24" customFormat="1" ht="16.5" hidden="1" customHeight="1">
      <c r="A606" s="1150"/>
      <c r="B606" s="119"/>
      <c r="C606" s="120"/>
      <c r="D606" s="120"/>
      <c r="E606" s="124" t="s">
        <v>458</v>
      </c>
      <c r="F606" s="126"/>
      <c r="G606" s="126"/>
      <c r="H606" s="126"/>
      <c r="I606" s="126"/>
      <c r="J606" s="126"/>
      <c r="K606" s="126"/>
      <c r="L606" s="126"/>
      <c r="M606" s="126">
        <f>F606*60%</f>
        <v>0</v>
      </c>
      <c r="N606" s="126"/>
      <c r="O606" s="126"/>
      <c r="P606" s="126"/>
      <c r="Q606" s="126"/>
      <c r="R606" s="126">
        <f>Q606*20</f>
        <v>0</v>
      </c>
      <c r="S606" s="126">
        <f>Q606*5</f>
        <v>0</v>
      </c>
      <c r="T606" s="127"/>
      <c r="U606" s="122">
        <f t="shared" si="660"/>
        <v>0</v>
      </c>
      <c r="V606" s="333"/>
      <c r="W606" s="338">
        <f>ROUNDUP((T606+U606)*1/12,-1)</f>
        <v>0</v>
      </c>
      <c r="X606" s="128">
        <f t="shared" si="661"/>
        <v>0</v>
      </c>
      <c r="Y606" s="128">
        <f t="shared" si="662"/>
        <v>0</v>
      </c>
      <c r="Z606" s="128">
        <f t="shared" si="607"/>
        <v>0</v>
      </c>
      <c r="AA606" s="128">
        <f t="shared" si="663"/>
        <v>0</v>
      </c>
      <c r="AB606" s="128">
        <f t="shared" si="664"/>
        <v>0</v>
      </c>
      <c r="AC606" s="129">
        <f t="shared" si="665"/>
        <v>0</v>
      </c>
      <c r="AD606" s="619">
        <f t="shared" si="656"/>
        <v>0</v>
      </c>
    </row>
    <row r="607" spans="1:30" s="24" customFormat="1" ht="16.5" hidden="1" customHeight="1">
      <c r="A607" s="1150"/>
      <c r="B607" s="119"/>
      <c r="C607" s="120"/>
      <c r="D607" s="120"/>
      <c r="E607" s="124" t="s">
        <v>459</v>
      </c>
      <c r="F607" s="126"/>
      <c r="G607" s="126"/>
      <c r="H607" s="126"/>
      <c r="I607" s="126"/>
      <c r="J607" s="126"/>
      <c r="K607" s="126"/>
      <c r="L607" s="126"/>
      <c r="M607" s="126"/>
      <c r="N607" s="126"/>
      <c r="O607" s="126"/>
      <c r="P607" s="126"/>
      <c r="Q607" s="126">
        <f>ROUND((F606+T606)*1/209*1.5,-1)</f>
        <v>0</v>
      </c>
      <c r="R607" s="126">
        <f t="shared" ref="R607:R615" si="666">Q607*20</f>
        <v>0</v>
      </c>
      <c r="S607" s="126">
        <f t="shared" ref="S607:S615" si="667">Q607*5</f>
        <v>0</v>
      </c>
      <c r="T607" s="127"/>
      <c r="U607" s="122">
        <f t="shared" si="660"/>
        <v>0</v>
      </c>
      <c r="V607" s="333"/>
      <c r="W607" s="338">
        <f t="shared" ref="W607:W616" si="668">ROUNDUP(U607*1/12,-1)</f>
        <v>0</v>
      </c>
      <c r="X607" s="128">
        <f t="shared" si="661"/>
        <v>0</v>
      </c>
      <c r="Y607" s="128">
        <f t="shared" si="662"/>
        <v>0</v>
      </c>
      <c r="Z607" s="128">
        <f t="shared" si="607"/>
        <v>0</v>
      </c>
      <c r="AA607" s="128">
        <f t="shared" si="663"/>
        <v>0</v>
      </c>
      <c r="AB607" s="128">
        <f t="shared" si="664"/>
        <v>0</v>
      </c>
      <c r="AC607" s="129">
        <f t="shared" si="665"/>
        <v>0</v>
      </c>
      <c r="AD607" s="619">
        <f t="shared" si="656"/>
        <v>0</v>
      </c>
    </row>
    <row r="608" spans="1:30" s="24" customFormat="1" ht="18" hidden="1" customHeight="1">
      <c r="A608" s="1150"/>
      <c r="B608" s="119"/>
      <c r="C608" s="120"/>
      <c r="D608" s="120"/>
      <c r="E608" s="124" t="s">
        <v>460</v>
      </c>
      <c r="F608" s="126"/>
      <c r="G608" s="126"/>
      <c r="H608" s="126"/>
      <c r="I608" s="126"/>
      <c r="J608" s="126"/>
      <c r="K608" s="126"/>
      <c r="L608" s="126"/>
      <c r="M608" s="126"/>
      <c r="N608" s="126"/>
      <c r="O608" s="126"/>
      <c r="P608" s="126"/>
      <c r="Q608" s="126"/>
      <c r="R608" s="126">
        <f t="shared" si="666"/>
        <v>0</v>
      </c>
      <c r="S608" s="126">
        <f t="shared" si="667"/>
        <v>0</v>
      </c>
      <c r="T608" s="127"/>
      <c r="U608" s="122">
        <f t="shared" si="660"/>
        <v>0</v>
      </c>
      <c r="V608" s="333"/>
      <c r="W608" s="338">
        <f t="shared" si="668"/>
        <v>0</v>
      </c>
      <c r="X608" s="128">
        <f t="shared" si="661"/>
        <v>0</v>
      </c>
      <c r="Y608" s="128">
        <f t="shared" si="662"/>
        <v>0</v>
      </c>
      <c r="Z608" s="128">
        <f t="shared" si="607"/>
        <v>0</v>
      </c>
      <c r="AA608" s="128">
        <f t="shared" si="663"/>
        <v>0</v>
      </c>
      <c r="AB608" s="128">
        <f t="shared" si="664"/>
        <v>0</v>
      </c>
      <c r="AC608" s="129">
        <f t="shared" si="665"/>
        <v>0</v>
      </c>
      <c r="AD608" s="619">
        <f t="shared" si="656"/>
        <v>0</v>
      </c>
    </row>
    <row r="609" spans="1:30" s="24" customFormat="1" ht="18" hidden="1" customHeight="1">
      <c r="A609" s="1150"/>
      <c r="B609" s="119"/>
      <c r="C609" s="120"/>
      <c r="D609" s="120"/>
      <c r="E609" s="124" t="s">
        <v>461</v>
      </c>
      <c r="F609" s="126"/>
      <c r="G609" s="126"/>
      <c r="H609" s="126"/>
      <c r="I609" s="126"/>
      <c r="J609" s="126"/>
      <c r="K609" s="126"/>
      <c r="L609" s="126"/>
      <c r="M609" s="126"/>
      <c r="N609" s="126"/>
      <c r="O609" s="126"/>
      <c r="P609" s="126"/>
      <c r="Q609" s="126"/>
      <c r="R609" s="126">
        <f t="shared" si="666"/>
        <v>0</v>
      </c>
      <c r="S609" s="126">
        <f t="shared" si="667"/>
        <v>0</v>
      </c>
      <c r="T609" s="127"/>
      <c r="U609" s="122">
        <f t="shared" si="660"/>
        <v>0</v>
      </c>
      <c r="V609" s="333"/>
      <c r="W609" s="338">
        <f t="shared" si="668"/>
        <v>0</v>
      </c>
      <c r="X609" s="128">
        <f t="shared" si="661"/>
        <v>0</v>
      </c>
      <c r="Y609" s="128">
        <f t="shared" si="662"/>
        <v>0</v>
      </c>
      <c r="Z609" s="128">
        <f t="shared" si="607"/>
        <v>0</v>
      </c>
      <c r="AA609" s="128">
        <f t="shared" si="663"/>
        <v>0</v>
      </c>
      <c r="AB609" s="128">
        <f t="shared" si="664"/>
        <v>0</v>
      </c>
      <c r="AC609" s="129">
        <f t="shared" si="665"/>
        <v>0</v>
      </c>
      <c r="AD609" s="619">
        <f t="shared" si="656"/>
        <v>0</v>
      </c>
    </row>
    <row r="610" spans="1:30" s="24" customFormat="1" ht="18" hidden="1" customHeight="1">
      <c r="A610" s="1150"/>
      <c r="B610" s="119"/>
      <c r="C610" s="120"/>
      <c r="D610" s="120"/>
      <c r="E610" s="124" t="s">
        <v>462</v>
      </c>
      <c r="F610" s="126"/>
      <c r="G610" s="126"/>
      <c r="H610" s="126"/>
      <c r="I610" s="126"/>
      <c r="J610" s="126"/>
      <c r="K610" s="126"/>
      <c r="L610" s="126"/>
      <c r="M610" s="126"/>
      <c r="N610" s="126"/>
      <c r="O610" s="126"/>
      <c r="P610" s="126"/>
      <c r="Q610" s="126"/>
      <c r="R610" s="126">
        <f t="shared" si="666"/>
        <v>0</v>
      </c>
      <c r="S610" s="126">
        <f t="shared" si="667"/>
        <v>0</v>
      </c>
      <c r="T610" s="127"/>
      <c r="U610" s="122">
        <f t="shared" si="660"/>
        <v>0</v>
      </c>
      <c r="V610" s="333"/>
      <c r="W610" s="338">
        <f t="shared" si="668"/>
        <v>0</v>
      </c>
      <c r="X610" s="128">
        <f t="shared" si="661"/>
        <v>0</v>
      </c>
      <c r="Y610" s="128">
        <f t="shared" si="662"/>
        <v>0</v>
      </c>
      <c r="Z610" s="128">
        <f t="shared" si="607"/>
        <v>0</v>
      </c>
      <c r="AA610" s="128">
        <f t="shared" si="663"/>
        <v>0</v>
      </c>
      <c r="AB610" s="128">
        <f t="shared" si="664"/>
        <v>0</v>
      </c>
      <c r="AC610" s="129">
        <f t="shared" si="665"/>
        <v>0</v>
      </c>
      <c r="AD610" s="619">
        <f t="shared" si="656"/>
        <v>0</v>
      </c>
    </row>
    <row r="611" spans="1:30" s="24" customFormat="1" ht="16.5" hidden="1" customHeight="1">
      <c r="A611" s="1150"/>
      <c r="B611" s="119"/>
      <c r="C611" s="120"/>
      <c r="D611" s="120"/>
      <c r="E611" s="124" t="s">
        <v>330</v>
      </c>
      <c r="F611" s="126"/>
      <c r="G611" s="126"/>
      <c r="H611" s="125"/>
      <c r="I611" s="127"/>
      <c r="J611" s="126"/>
      <c r="K611" s="126"/>
      <c r="L611" s="126"/>
      <c r="M611" s="126"/>
      <c r="N611" s="126"/>
      <c r="O611" s="126"/>
      <c r="P611" s="126"/>
      <c r="Q611" s="126"/>
      <c r="R611" s="126">
        <f t="shared" si="666"/>
        <v>0</v>
      </c>
      <c r="S611" s="126">
        <f t="shared" si="667"/>
        <v>0</v>
      </c>
      <c r="T611" s="127"/>
      <c r="U611" s="122">
        <f t="shared" si="660"/>
        <v>0</v>
      </c>
      <c r="V611" s="333"/>
      <c r="W611" s="338">
        <f t="shared" si="668"/>
        <v>0</v>
      </c>
      <c r="X611" s="128">
        <f t="shared" si="661"/>
        <v>0</v>
      </c>
      <c r="Y611" s="128">
        <f t="shared" si="662"/>
        <v>0</v>
      </c>
      <c r="Z611" s="128">
        <f t="shared" si="607"/>
        <v>0</v>
      </c>
      <c r="AA611" s="128">
        <f t="shared" si="663"/>
        <v>0</v>
      </c>
      <c r="AB611" s="128">
        <f t="shared" si="664"/>
        <v>0</v>
      </c>
      <c r="AC611" s="129">
        <f t="shared" si="665"/>
        <v>0</v>
      </c>
      <c r="AD611" s="619">
        <f t="shared" si="656"/>
        <v>0</v>
      </c>
    </row>
    <row r="612" spans="1:30" s="24" customFormat="1" ht="17.25" hidden="1" customHeight="1">
      <c r="A612" s="1150"/>
      <c r="B612" s="119"/>
      <c r="C612" s="120">
        <v>6</v>
      </c>
      <c r="D612" s="120"/>
      <c r="E612" s="124" t="s">
        <v>331</v>
      </c>
      <c r="F612" s="126">
        <v>2143000</v>
      </c>
      <c r="G612" s="126"/>
      <c r="H612" s="126"/>
      <c r="I612" s="126"/>
      <c r="J612" s="126"/>
      <c r="K612" s="126"/>
      <c r="L612" s="126"/>
      <c r="M612" s="126"/>
      <c r="N612" s="126"/>
      <c r="O612" s="126">
        <v>40000</v>
      </c>
      <c r="P612" s="126"/>
      <c r="Q612" s="126"/>
      <c r="R612" s="126">
        <f t="shared" si="666"/>
        <v>0</v>
      </c>
      <c r="S612" s="126">
        <f t="shared" si="667"/>
        <v>0</v>
      </c>
      <c r="T612" s="127">
        <v>250000</v>
      </c>
      <c r="U612" s="122">
        <f t="shared" si="660"/>
        <v>2433000</v>
      </c>
      <c r="V612" s="333"/>
      <c r="W612" s="338">
        <f t="shared" si="668"/>
        <v>202750</v>
      </c>
      <c r="X612" s="128">
        <f t="shared" si="661"/>
        <v>109490</v>
      </c>
      <c r="Y612" s="128">
        <f t="shared" si="662"/>
        <v>73850</v>
      </c>
      <c r="Z612" s="128">
        <f t="shared" si="607"/>
        <v>4840</v>
      </c>
      <c r="AA612" s="128">
        <f t="shared" si="663"/>
        <v>21900</v>
      </c>
      <c r="AB612" s="128">
        <f t="shared" si="664"/>
        <v>19460</v>
      </c>
      <c r="AC612" s="129">
        <f t="shared" si="665"/>
        <v>432290</v>
      </c>
      <c r="AD612" s="619">
        <f t="shared" si="656"/>
        <v>2000710</v>
      </c>
    </row>
    <row r="613" spans="1:30" s="24" customFormat="1" ht="17.25" hidden="1" customHeight="1">
      <c r="A613" s="1150"/>
      <c r="B613" s="119"/>
      <c r="C613" s="120"/>
      <c r="D613" s="120"/>
      <c r="E613" s="124" t="s">
        <v>62</v>
      </c>
      <c r="F613" s="126">
        <f t="shared" ref="F613:F616" si="669">F612</f>
        <v>2143000</v>
      </c>
      <c r="G613" s="126"/>
      <c r="H613" s="126"/>
      <c r="I613" s="126"/>
      <c r="J613" s="126"/>
      <c r="K613" s="126"/>
      <c r="L613" s="126"/>
      <c r="M613" s="126">
        <f>F613*60%</f>
        <v>1285800</v>
      </c>
      <c r="N613" s="126"/>
      <c r="O613" s="126">
        <f t="shared" ref="O613:O616" si="670">O612</f>
        <v>40000</v>
      </c>
      <c r="P613" s="126"/>
      <c r="Q613" s="126">
        <f t="shared" ref="Q613:Q616" si="671">ROUND((F612+T612)*1/209*1.5,-1)</f>
        <v>17170</v>
      </c>
      <c r="R613" s="126">
        <f t="shared" si="666"/>
        <v>343400</v>
      </c>
      <c r="S613" s="126">
        <f t="shared" si="667"/>
        <v>85850</v>
      </c>
      <c r="T613" s="127">
        <f t="shared" ref="T613:T616" si="672">T612</f>
        <v>250000</v>
      </c>
      <c r="U613" s="122">
        <f t="shared" si="660"/>
        <v>4062200</v>
      </c>
      <c r="V613" s="333"/>
      <c r="W613" s="338">
        <f t="shared" si="668"/>
        <v>338520</v>
      </c>
      <c r="X613" s="128">
        <f t="shared" si="661"/>
        <v>182800</v>
      </c>
      <c r="Y613" s="128">
        <f t="shared" si="662"/>
        <v>123290</v>
      </c>
      <c r="Z613" s="128">
        <f t="shared" si="607"/>
        <v>8080</v>
      </c>
      <c r="AA613" s="128">
        <f t="shared" si="663"/>
        <v>36560</v>
      </c>
      <c r="AB613" s="128">
        <f t="shared" si="664"/>
        <v>32500</v>
      </c>
      <c r="AC613" s="129">
        <f t="shared" si="665"/>
        <v>721750</v>
      </c>
      <c r="AD613" s="619">
        <f t="shared" si="656"/>
        <v>3340450</v>
      </c>
    </row>
    <row r="614" spans="1:30" s="24" customFormat="1" ht="17.25" hidden="1" customHeight="1">
      <c r="A614" s="1150"/>
      <c r="B614" s="119"/>
      <c r="C614" s="120"/>
      <c r="D614" s="120"/>
      <c r="E614" s="124" t="s">
        <v>63</v>
      </c>
      <c r="F614" s="126">
        <f t="shared" si="669"/>
        <v>2143000</v>
      </c>
      <c r="G614" s="126"/>
      <c r="H614" s="126"/>
      <c r="I614" s="126"/>
      <c r="J614" s="126"/>
      <c r="K614" s="126"/>
      <c r="L614" s="126"/>
      <c r="M614" s="126"/>
      <c r="N614" s="126"/>
      <c r="O614" s="126">
        <f t="shared" si="670"/>
        <v>40000</v>
      </c>
      <c r="P614" s="126"/>
      <c r="Q614" s="126">
        <f t="shared" si="671"/>
        <v>17170</v>
      </c>
      <c r="R614" s="126">
        <f t="shared" si="666"/>
        <v>343400</v>
      </c>
      <c r="S614" s="126">
        <f t="shared" si="667"/>
        <v>85850</v>
      </c>
      <c r="T614" s="127">
        <f t="shared" si="672"/>
        <v>250000</v>
      </c>
      <c r="U614" s="122">
        <f t="shared" si="660"/>
        <v>2776400</v>
      </c>
      <c r="V614" s="333"/>
      <c r="W614" s="338">
        <f t="shared" si="668"/>
        <v>231370</v>
      </c>
      <c r="X614" s="128">
        <f t="shared" si="661"/>
        <v>124940</v>
      </c>
      <c r="Y614" s="128">
        <f t="shared" si="662"/>
        <v>84270</v>
      </c>
      <c r="Z614" s="128">
        <f t="shared" si="607"/>
        <v>5520</v>
      </c>
      <c r="AA614" s="128">
        <f t="shared" si="663"/>
        <v>24990</v>
      </c>
      <c r="AB614" s="128">
        <f t="shared" si="664"/>
        <v>22210</v>
      </c>
      <c r="AC614" s="129">
        <f t="shared" si="665"/>
        <v>493300</v>
      </c>
      <c r="AD614" s="619">
        <f t="shared" si="656"/>
        <v>2283100</v>
      </c>
    </row>
    <row r="615" spans="1:30" s="24" customFormat="1" ht="16.5" hidden="1" customHeight="1">
      <c r="A615" s="1150"/>
      <c r="B615" s="119"/>
      <c r="C615" s="120"/>
      <c r="D615" s="120"/>
      <c r="E615" s="124" t="s">
        <v>64</v>
      </c>
      <c r="F615" s="126">
        <f t="shared" si="669"/>
        <v>2143000</v>
      </c>
      <c r="G615" s="126"/>
      <c r="H615" s="126"/>
      <c r="I615" s="126"/>
      <c r="J615" s="126"/>
      <c r="K615" s="126"/>
      <c r="L615" s="126"/>
      <c r="M615" s="126"/>
      <c r="N615" s="126"/>
      <c r="O615" s="126">
        <f t="shared" si="670"/>
        <v>40000</v>
      </c>
      <c r="P615" s="126"/>
      <c r="Q615" s="126">
        <f t="shared" si="671"/>
        <v>17170</v>
      </c>
      <c r="R615" s="126">
        <f t="shared" si="666"/>
        <v>343400</v>
      </c>
      <c r="S615" s="126">
        <f t="shared" si="667"/>
        <v>85850</v>
      </c>
      <c r="T615" s="127">
        <f t="shared" si="672"/>
        <v>250000</v>
      </c>
      <c r="U615" s="122">
        <f t="shared" si="660"/>
        <v>2776400</v>
      </c>
      <c r="V615" s="333"/>
      <c r="W615" s="338">
        <f t="shared" si="668"/>
        <v>231370</v>
      </c>
      <c r="X615" s="128">
        <f t="shared" si="661"/>
        <v>124940</v>
      </c>
      <c r="Y615" s="128">
        <f t="shared" si="662"/>
        <v>84270</v>
      </c>
      <c r="Z615" s="128">
        <f t="shared" si="607"/>
        <v>5520</v>
      </c>
      <c r="AA615" s="128">
        <f t="shared" si="663"/>
        <v>24990</v>
      </c>
      <c r="AB615" s="128">
        <f t="shared" si="664"/>
        <v>22210</v>
      </c>
      <c r="AC615" s="129">
        <f t="shared" si="665"/>
        <v>493300</v>
      </c>
      <c r="AD615" s="619">
        <f t="shared" si="656"/>
        <v>2283100</v>
      </c>
    </row>
    <row r="616" spans="1:30" s="24" customFormat="1" ht="16.5" hidden="1" customHeight="1">
      <c r="A616" s="1150"/>
      <c r="B616" s="119"/>
      <c r="C616" s="120"/>
      <c r="D616" s="120"/>
      <c r="E616" s="124" t="s">
        <v>463</v>
      </c>
      <c r="F616" s="126">
        <f t="shared" si="669"/>
        <v>2143000</v>
      </c>
      <c r="G616" s="126"/>
      <c r="H616" s="126"/>
      <c r="I616" s="126"/>
      <c r="J616" s="126"/>
      <c r="K616" s="126"/>
      <c r="L616" s="126"/>
      <c r="M616" s="126"/>
      <c r="N616" s="126"/>
      <c r="O616" s="126">
        <f t="shared" si="670"/>
        <v>40000</v>
      </c>
      <c r="P616" s="126"/>
      <c r="Q616" s="126">
        <f t="shared" si="671"/>
        <v>17170</v>
      </c>
      <c r="R616" s="126">
        <f>Q616*20*2</f>
        <v>686800</v>
      </c>
      <c r="S616" s="126">
        <f>(Q616*5)*2</f>
        <v>171700</v>
      </c>
      <c r="T616" s="127">
        <f t="shared" si="672"/>
        <v>250000</v>
      </c>
      <c r="U616" s="122">
        <f t="shared" si="660"/>
        <v>3119800</v>
      </c>
      <c r="V616" s="333"/>
      <c r="W616" s="338">
        <f t="shared" si="668"/>
        <v>259990</v>
      </c>
      <c r="X616" s="128">
        <f t="shared" si="661"/>
        <v>140390</v>
      </c>
      <c r="Y616" s="128">
        <f t="shared" si="662"/>
        <v>94690</v>
      </c>
      <c r="Z616" s="128">
        <f t="shared" si="607"/>
        <v>6210</v>
      </c>
      <c r="AA616" s="128">
        <f t="shared" si="663"/>
        <v>28080</v>
      </c>
      <c r="AB616" s="128">
        <f t="shared" si="664"/>
        <v>24960</v>
      </c>
      <c r="AC616" s="129">
        <f t="shared" si="665"/>
        <v>554320</v>
      </c>
      <c r="AD616" s="619">
        <f t="shared" si="656"/>
        <v>2565480</v>
      </c>
    </row>
    <row r="617" spans="1:30" s="24" customFormat="1" ht="16.5" customHeight="1">
      <c r="A617" s="1150">
        <v>48</v>
      </c>
      <c r="B617" s="119" t="s">
        <v>781</v>
      </c>
      <c r="C617" s="120">
        <v>5</v>
      </c>
      <c r="D617" s="120">
        <v>1</v>
      </c>
      <c r="E617" s="121" t="s">
        <v>94</v>
      </c>
      <c r="F617" s="122">
        <f t="shared" ref="F617:L617" si="673">SUM(F618:F629)</f>
        <v>10235000</v>
      </c>
      <c r="G617" s="122">
        <f t="shared" si="673"/>
        <v>0</v>
      </c>
      <c r="H617" s="122">
        <f t="shared" si="673"/>
        <v>0</v>
      </c>
      <c r="I617" s="122">
        <f t="shared" si="673"/>
        <v>0</v>
      </c>
      <c r="J617" s="122">
        <f t="shared" si="673"/>
        <v>0</v>
      </c>
      <c r="K617" s="122">
        <f t="shared" si="673"/>
        <v>0</v>
      </c>
      <c r="L617" s="122">
        <f t="shared" si="673"/>
        <v>0</v>
      </c>
      <c r="M617" s="122">
        <f>SUM(M618:M629)</f>
        <v>1228200</v>
      </c>
      <c r="N617" s="122">
        <f>SUM(N618:N629)</f>
        <v>0</v>
      </c>
      <c r="O617" s="122">
        <f>SUM(O618:O629)</f>
        <v>0</v>
      </c>
      <c r="P617" s="122"/>
      <c r="Q617" s="122"/>
      <c r="R617" s="122">
        <f>SUM(R618:R629)</f>
        <v>1613000</v>
      </c>
      <c r="S617" s="122">
        <f>SUM(S618:S629)</f>
        <v>403250</v>
      </c>
      <c r="T617" s="122">
        <f>SUM(T618:T629)</f>
        <v>1000000</v>
      </c>
      <c r="U617" s="122">
        <f>SUM(U618:U629)</f>
        <v>14076200</v>
      </c>
      <c r="V617" s="333"/>
      <c r="W617" s="350">
        <f t="shared" ref="W617:AB617" si="674">SUM(W618:W629)</f>
        <v>1173040</v>
      </c>
      <c r="X617" s="122">
        <f t="shared" si="674"/>
        <v>633430</v>
      </c>
      <c r="Y617" s="122">
        <f t="shared" si="674"/>
        <v>427230</v>
      </c>
      <c r="Z617" s="122">
        <f t="shared" si="674"/>
        <v>28000</v>
      </c>
      <c r="AA617" s="122">
        <f t="shared" si="674"/>
        <v>126690</v>
      </c>
      <c r="AB617" s="122">
        <f t="shared" si="674"/>
        <v>112620</v>
      </c>
      <c r="AC617" s="123">
        <f>SUM(AC618:AC629)</f>
        <v>2501010</v>
      </c>
      <c r="AD617" s="618">
        <f t="shared" ref="AD617:AD629" si="675">U617-AC617</f>
        <v>11575190</v>
      </c>
    </row>
    <row r="618" spans="1:30" s="24" customFormat="1" ht="17.25" hidden="1" customHeight="1">
      <c r="A618" s="1150"/>
      <c r="B618" s="119"/>
      <c r="C618" s="120">
        <v>5</v>
      </c>
      <c r="D618" s="120"/>
      <c r="E618" s="124" t="s">
        <v>457</v>
      </c>
      <c r="F618" s="125"/>
      <c r="G618" s="126"/>
      <c r="H618" s="125"/>
      <c r="I618" s="125"/>
      <c r="J618" s="126"/>
      <c r="K618" s="126"/>
      <c r="L618" s="126"/>
      <c r="M618" s="126"/>
      <c r="N618" s="126"/>
      <c r="O618" s="126"/>
      <c r="P618" s="126"/>
      <c r="Q618" s="126"/>
      <c r="R618" s="126"/>
      <c r="S618" s="126"/>
      <c r="T618" s="127"/>
      <c r="U618" s="122">
        <f t="shared" ref="U618:U629" si="676">SUM(F618,M618,O618,R618,T618)</f>
        <v>0</v>
      </c>
      <c r="V618" s="333"/>
      <c r="W618" s="338">
        <f>ROUNDUP(U618*1/12,-1)</f>
        <v>0</v>
      </c>
      <c r="X618" s="128">
        <f t="shared" ref="X618:X629" si="677">ROUND(U618*4.5%,-1)</f>
        <v>0</v>
      </c>
      <c r="Y618" s="128">
        <f t="shared" ref="Y618:Y629" si="678">ROUNDUP((U618-L618)*3.035%,-1)</f>
        <v>0</v>
      </c>
      <c r="Z618" s="128">
        <f>ROUNDUP(Y618*6.55%,-1)</f>
        <v>0</v>
      </c>
      <c r="AA618" s="128">
        <f t="shared" ref="AA618:AA629" si="679">ROUND(U618*0.9%,-1)</f>
        <v>0</v>
      </c>
      <c r="AB618" s="128">
        <f t="shared" ref="AB618:AB629" si="680">ROUND(U618*0.8%,-1)</f>
        <v>0</v>
      </c>
      <c r="AC618" s="129">
        <f t="shared" ref="AC618:AC629" si="681">SUM(W618:AB618)</f>
        <v>0</v>
      </c>
      <c r="AD618" s="619">
        <f t="shared" si="675"/>
        <v>0</v>
      </c>
    </row>
    <row r="619" spans="1:30" s="24" customFormat="1" ht="16.5" hidden="1" customHeight="1">
      <c r="A619" s="1150"/>
      <c r="B619" s="119"/>
      <c r="C619" s="120"/>
      <c r="D619" s="120"/>
      <c r="E619" s="124" t="s">
        <v>458</v>
      </c>
      <c r="F619" s="126"/>
      <c r="G619" s="126"/>
      <c r="H619" s="126"/>
      <c r="I619" s="126"/>
      <c r="J619" s="126"/>
      <c r="K619" s="126"/>
      <c r="L619" s="126"/>
      <c r="M619" s="126">
        <f>F619*60%</f>
        <v>0</v>
      </c>
      <c r="N619" s="126"/>
      <c r="O619" s="126"/>
      <c r="P619" s="126"/>
      <c r="Q619" s="126"/>
      <c r="R619" s="126">
        <f>Q619*20</f>
        <v>0</v>
      </c>
      <c r="S619" s="126">
        <f>Q619*5</f>
        <v>0</v>
      </c>
      <c r="T619" s="127"/>
      <c r="U619" s="122">
        <f t="shared" si="676"/>
        <v>0</v>
      </c>
      <c r="V619" s="333"/>
      <c r="W619" s="338">
        <f>ROUNDUP((T619+U619)*1/12,-1)</f>
        <v>0</v>
      </c>
      <c r="X619" s="128">
        <f t="shared" si="677"/>
        <v>0</v>
      </c>
      <c r="Y619" s="128">
        <f t="shared" si="678"/>
        <v>0</v>
      </c>
      <c r="Z619" s="128">
        <f t="shared" ref="Z619:Z629" si="682">ROUNDUP(Y619*6.55%,-1)</f>
        <v>0</v>
      </c>
      <c r="AA619" s="128">
        <f t="shared" si="679"/>
        <v>0</v>
      </c>
      <c r="AB619" s="128">
        <f t="shared" si="680"/>
        <v>0</v>
      </c>
      <c r="AC619" s="129">
        <f t="shared" si="681"/>
        <v>0</v>
      </c>
      <c r="AD619" s="619">
        <f t="shared" si="675"/>
        <v>0</v>
      </c>
    </row>
    <row r="620" spans="1:30" s="24" customFormat="1" ht="16.5" hidden="1" customHeight="1">
      <c r="A620" s="1150"/>
      <c r="B620" s="119"/>
      <c r="C620" s="120"/>
      <c r="D620" s="120"/>
      <c r="E620" s="124" t="s">
        <v>459</v>
      </c>
      <c r="F620" s="126"/>
      <c r="G620" s="126"/>
      <c r="H620" s="126"/>
      <c r="I620" s="126"/>
      <c r="J620" s="126"/>
      <c r="K620" s="126"/>
      <c r="L620" s="126"/>
      <c r="M620" s="126"/>
      <c r="N620" s="126"/>
      <c r="O620" s="126"/>
      <c r="P620" s="126"/>
      <c r="Q620" s="126">
        <f>ROUND((F619+T619)*1/209*1.5,-1)</f>
        <v>0</v>
      </c>
      <c r="R620" s="126">
        <f t="shared" ref="R620:R628" si="683">Q620*20</f>
        <v>0</v>
      </c>
      <c r="S620" s="126">
        <f t="shared" ref="S620:S628" si="684">Q620*5</f>
        <v>0</v>
      </c>
      <c r="T620" s="127"/>
      <c r="U620" s="122">
        <f t="shared" si="676"/>
        <v>0</v>
      </c>
      <c r="V620" s="333"/>
      <c r="W620" s="338">
        <f t="shared" ref="W620:W629" si="685">ROUNDUP(U620*1/12,-1)</f>
        <v>0</v>
      </c>
      <c r="X620" s="128">
        <f t="shared" si="677"/>
        <v>0</v>
      </c>
      <c r="Y620" s="128">
        <f t="shared" si="678"/>
        <v>0</v>
      </c>
      <c r="Z620" s="128">
        <f t="shared" si="682"/>
        <v>0</v>
      </c>
      <c r="AA620" s="128">
        <f t="shared" si="679"/>
        <v>0</v>
      </c>
      <c r="AB620" s="128">
        <f t="shared" si="680"/>
        <v>0</v>
      </c>
      <c r="AC620" s="129">
        <f t="shared" si="681"/>
        <v>0</v>
      </c>
      <c r="AD620" s="619">
        <f t="shared" si="675"/>
        <v>0</v>
      </c>
    </row>
    <row r="621" spans="1:30" s="24" customFormat="1" ht="18" hidden="1" customHeight="1">
      <c r="A621" s="1150"/>
      <c r="B621" s="119"/>
      <c r="C621" s="120"/>
      <c r="D621" s="120"/>
      <c r="E621" s="124" t="s">
        <v>460</v>
      </c>
      <c r="F621" s="126"/>
      <c r="G621" s="126"/>
      <c r="H621" s="126"/>
      <c r="I621" s="126"/>
      <c r="J621" s="126"/>
      <c r="K621" s="126"/>
      <c r="L621" s="126"/>
      <c r="M621" s="126"/>
      <c r="N621" s="126"/>
      <c r="O621" s="126"/>
      <c r="P621" s="126"/>
      <c r="Q621" s="126"/>
      <c r="R621" s="126">
        <f t="shared" si="683"/>
        <v>0</v>
      </c>
      <c r="S621" s="126">
        <f t="shared" si="684"/>
        <v>0</v>
      </c>
      <c r="T621" s="127"/>
      <c r="U621" s="122">
        <f t="shared" si="676"/>
        <v>0</v>
      </c>
      <c r="V621" s="333"/>
      <c r="W621" s="338">
        <f t="shared" si="685"/>
        <v>0</v>
      </c>
      <c r="X621" s="128">
        <f t="shared" si="677"/>
        <v>0</v>
      </c>
      <c r="Y621" s="128">
        <f t="shared" si="678"/>
        <v>0</v>
      </c>
      <c r="Z621" s="128">
        <f t="shared" si="682"/>
        <v>0</v>
      </c>
      <c r="AA621" s="128">
        <f t="shared" si="679"/>
        <v>0</v>
      </c>
      <c r="AB621" s="128">
        <f t="shared" si="680"/>
        <v>0</v>
      </c>
      <c r="AC621" s="129">
        <f t="shared" si="681"/>
        <v>0</v>
      </c>
      <c r="AD621" s="619">
        <f t="shared" si="675"/>
        <v>0</v>
      </c>
    </row>
    <row r="622" spans="1:30" s="24" customFormat="1" ht="18" hidden="1" customHeight="1">
      <c r="A622" s="1150"/>
      <c r="B622" s="119"/>
      <c r="C622" s="120"/>
      <c r="D622" s="120"/>
      <c r="E622" s="124" t="s">
        <v>461</v>
      </c>
      <c r="F622" s="126"/>
      <c r="G622" s="126"/>
      <c r="H622" s="126"/>
      <c r="I622" s="126"/>
      <c r="J622" s="126"/>
      <c r="K622" s="126"/>
      <c r="L622" s="126"/>
      <c r="M622" s="126"/>
      <c r="N622" s="126"/>
      <c r="O622" s="126"/>
      <c r="P622" s="126"/>
      <c r="Q622" s="126"/>
      <c r="R622" s="126">
        <f t="shared" si="683"/>
        <v>0</v>
      </c>
      <c r="S622" s="126">
        <f t="shared" si="684"/>
        <v>0</v>
      </c>
      <c r="T622" s="127"/>
      <c r="U622" s="122">
        <f t="shared" si="676"/>
        <v>0</v>
      </c>
      <c r="V622" s="333"/>
      <c r="W622" s="338">
        <f t="shared" si="685"/>
        <v>0</v>
      </c>
      <c r="X622" s="128">
        <f t="shared" si="677"/>
        <v>0</v>
      </c>
      <c r="Y622" s="128">
        <f t="shared" si="678"/>
        <v>0</v>
      </c>
      <c r="Z622" s="128">
        <f t="shared" si="682"/>
        <v>0</v>
      </c>
      <c r="AA622" s="128">
        <f t="shared" si="679"/>
        <v>0</v>
      </c>
      <c r="AB622" s="128">
        <f t="shared" si="680"/>
        <v>0</v>
      </c>
      <c r="AC622" s="129">
        <f t="shared" si="681"/>
        <v>0</v>
      </c>
      <c r="AD622" s="619">
        <f t="shared" si="675"/>
        <v>0</v>
      </c>
    </row>
    <row r="623" spans="1:30" s="24" customFormat="1" ht="18" hidden="1" customHeight="1">
      <c r="A623" s="1150"/>
      <c r="B623" s="119"/>
      <c r="C623" s="120"/>
      <c r="D623" s="120"/>
      <c r="E623" s="124" t="s">
        <v>462</v>
      </c>
      <c r="F623" s="126"/>
      <c r="G623" s="126"/>
      <c r="H623" s="126"/>
      <c r="I623" s="126"/>
      <c r="J623" s="126"/>
      <c r="K623" s="126"/>
      <c r="L623" s="126"/>
      <c r="M623" s="126"/>
      <c r="N623" s="126"/>
      <c r="O623" s="126"/>
      <c r="P623" s="126"/>
      <c r="Q623" s="126"/>
      <c r="R623" s="126">
        <f t="shared" si="683"/>
        <v>0</v>
      </c>
      <c r="S623" s="126">
        <f t="shared" si="684"/>
        <v>0</v>
      </c>
      <c r="T623" s="127"/>
      <c r="U623" s="122">
        <f t="shared" si="676"/>
        <v>0</v>
      </c>
      <c r="V623" s="333"/>
      <c r="W623" s="338">
        <f t="shared" si="685"/>
        <v>0</v>
      </c>
      <c r="X623" s="128">
        <f t="shared" si="677"/>
        <v>0</v>
      </c>
      <c r="Y623" s="128">
        <f t="shared" si="678"/>
        <v>0</v>
      </c>
      <c r="Z623" s="128">
        <f t="shared" si="682"/>
        <v>0</v>
      </c>
      <c r="AA623" s="128">
        <f t="shared" si="679"/>
        <v>0</v>
      </c>
      <c r="AB623" s="128">
        <f t="shared" si="680"/>
        <v>0</v>
      </c>
      <c r="AC623" s="129">
        <f t="shared" si="681"/>
        <v>0</v>
      </c>
      <c r="AD623" s="619">
        <f t="shared" si="675"/>
        <v>0</v>
      </c>
    </row>
    <row r="624" spans="1:30" s="24" customFormat="1" ht="16.5" hidden="1" customHeight="1">
      <c r="A624" s="1150"/>
      <c r="B624" s="119"/>
      <c r="C624" s="120"/>
      <c r="D624" s="120"/>
      <c r="E624" s="124" t="s">
        <v>330</v>
      </c>
      <c r="F624" s="126"/>
      <c r="G624" s="126"/>
      <c r="H624" s="125"/>
      <c r="I624" s="127"/>
      <c r="J624" s="126"/>
      <c r="K624" s="126"/>
      <c r="L624" s="126"/>
      <c r="M624" s="126"/>
      <c r="N624" s="126"/>
      <c r="O624" s="126"/>
      <c r="P624" s="126"/>
      <c r="Q624" s="126"/>
      <c r="R624" s="126">
        <f t="shared" si="683"/>
        <v>0</v>
      </c>
      <c r="S624" s="126">
        <f t="shared" si="684"/>
        <v>0</v>
      </c>
      <c r="T624" s="127"/>
      <c r="U624" s="122">
        <f t="shared" si="676"/>
        <v>0</v>
      </c>
      <c r="V624" s="333"/>
      <c r="W624" s="338">
        <f t="shared" si="685"/>
        <v>0</v>
      </c>
      <c r="X624" s="128">
        <f t="shared" si="677"/>
        <v>0</v>
      </c>
      <c r="Y624" s="128">
        <f t="shared" si="678"/>
        <v>0</v>
      </c>
      <c r="Z624" s="128">
        <f t="shared" si="682"/>
        <v>0</v>
      </c>
      <c r="AA624" s="128">
        <f t="shared" si="679"/>
        <v>0</v>
      </c>
      <c r="AB624" s="128">
        <f t="shared" si="680"/>
        <v>0</v>
      </c>
      <c r="AC624" s="129">
        <f t="shared" si="681"/>
        <v>0</v>
      </c>
      <c r="AD624" s="619">
        <f t="shared" si="675"/>
        <v>0</v>
      </c>
    </row>
    <row r="625" spans="1:30" s="24" customFormat="1" ht="17.25" hidden="1" customHeight="1">
      <c r="A625" s="1150"/>
      <c r="B625" s="119"/>
      <c r="C625" s="120"/>
      <c r="D625" s="120"/>
      <c r="E625" s="124" t="s">
        <v>331</v>
      </c>
      <c r="F625" s="126">
        <v>2047000</v>
      </c>
      <c r="G625" s="126"/>
      <c r="H625" s="126"/>
      <c r="I625" s="126"/>
      <c r="J625" s="126"/>
      <c r="K625" s="126"/>
      <c r="L625" s="126"/>
      <c r="M625" s="126"/>
      <c r="N625" s="126"/>
      <c r="O625" s="126">
        <f t="shared" ref="O625:O629" si="686">O624</f>
        <v>0</v>
      </c>
      <c r="P625" s="126"/>
      <c r="Q625" s="126"/>
      <c r="R625" s="126">
        <f t="shared" si="683"/>
        <v>0</v>
      </c>
      <c r="S625" s="126">
        <f t="shared" si="684"/>
        <v>0</v>
      </c>
      <c r="T625" s="127">
        <v>200000</v>
      </c>
      <c r="U625" s="122">
        <f t="shared" si="676"/>
        <v>2247000</v>
      </c>
      <c r="V625" s="333"/>
      <c r="W625" s="338">
        <f t="shared" si="685"/>
        <v>187250</v>
      </c>
      <c r="X625" s="128">
        <f t="shared" si="677"/>
        <v>101120</v>
      </c>
      <c r="Y625" s="128">
        <f t="shared" si="678"/>
        <v>68200</v>
      </c>
      <c r="Z625" s="128">
        <f t="shared" si="682"/>
        <v>4470</v>
      </c>
      <c r="AA625" s="128">
        <f t="shared" si="679"/>
        <v>20220</v>
      </c>
      <c r="AB625" s="128">
        <f t="shared" si="680"/>
        <v>17980</v>
      </c>
      <c r="AC625" s="129">
        <f t="shared" si="681"/>
        <v>399240</v>
      </c>
      <c r="AD625" s="619">
        <f t="shared" si="675"/>
        <v>1847760</v>
      </c>
    </row>
    <row r="626" spans="1:30" s="24" customFormat="1" ht="17.25" hidden="1" customHeight="1">
      <c r="A626" s="1150"/>
      <c r="B626" s="119"/>
      <c r="C626" s="120"/>
      <c r="D626" s="120"/>
      <c r="E626" s="124" t="s">
        <v>62</v>
      </c>
      <c r="F626" s="126">
        <f t="shared" ref="F626:F629" si="687">F625</f>
        <v>2047000</v>
      </c>
      <c r="G626" s="126"/>
      <c r="H626" s="126"/>
      <c r="I626" s="126"/>
      <c r="J626" s="126"/>
      <c r="K626" s="126"/>
      <c r="L626" s="126"/>
      <c r="M626" s="126">
        <f>F626*60%</f>
        <v>1228200</v>
      </c>
      <c r="N626" s="126"/>
      <c r="O626" s="126">
        <f t="shared" si="686"/>
        <v>0</v>
      </c>
      <c r="P626" s="126"/>
      <c r="Q626" s="126">
        <f t="shared" ref="Q626:Q629" si="688">ROUND((F625+T625)*1/209*1.5,-1)</f>
        <v>16130</v>
      </c>
      <c r="R626" s="126">
        <f t="shared" si="683"/>
        <v>322600</v>
      </c>
      <c r="S626" s="126">
        <f t="shared" si="684"/>
        <v>80650</v>
      </c>
      <c r="T626" s="127">
        <f t="shared" ref="T626:T629" si="689">T625</f>
        <v>200000</v>
      </c>
      <c r="U626" s="122">
        <f t="shared" si="676"/>
        <v>3797800</v>
      </c>
      <c r="V626" s="333"/>
      <c r="W626" s="338">
        <f t="shared" si="685"/>
        <v>316490</v>
      </c>
      <c r="X626" s="128">
        <f t="shared" si="677"/>
        <v>170900</v>
      </c>
      <c r="Y626" s="128">
        <f t="shared" si="678"/>
        <v>115270</v>
      </c>
      <c r="Z626" s="128">
        <f t="shared" si="682"/>
        <v>7560</v>
      </c>
      <c r="AA626" s="128">
        <f t="shared" si="679"/>
        <v>34180</v>
      </c>
      <c r="AB626" s="128">
        <f t="shared" si="680"/>
        <v>30380</v>
      </c>
      <c r="AC626" s="129">
        <f t="shared" si="681"/>
        <v>674780</v>
      </c>
      <c r="AD626" s="619">
        <f t="shared" si="675"/>
        <v>3123020</v>
      </c>
    </row>
    <row r="627" spans="1:30" s="24" customFormat="1" ht="17.25" hidden="1" customHeight="1">
      <c r="A627" s="1150"/>
      <c r="B627" s="119"/>
      <c r="C627" s="120"/>
      <c r="D627" s="120"/>
      <c r="E627" s="124" t="s">
        <v>63</v>
      </c>
      <c r="F627" s="126">
        <f t="shared" si="687"/>
        <v>2047000</v>
      </c>
      <c r="G627" s="126"/>
      <c r="H627" s="126"/>
      <c r="I627" s="126"/>
      <c r="J627" s="126"/>
      <c r="K627" s="126"/>
      <c r="L627" s="126"/>
      <c r="M627" s="126"/>
      <c r="N627" s="126"/>
      <c r="O627" s="126">
        <f t="shared" si="686"/>
        <v>0</v>
      </c>
      <c r="P627" s="126"/>
      <c r="Q627" s="126">
        <f t="shared" si="688"/>
        <v>16130</v>
      </c>
      <c r="R627" s="126">
        <f t="shared" si="683"/>
        <v>322600</v>
      </c>
      <c r="S627" s="126">
        <f t="shared" si="684"/>
        <v>80650</v>
      </c>
      <c r="T627" s="127">
        <f t="shared" si="689"/>
        <v>200000</v>
      </c>
      <c r="U627" s="122">
        <f t="shared" si="676"/>
        <v>2569600</v>
      </c>
      <c r="V627" s="333"/>
      <c r="W627" s="338">
        <f t="shared" si="685"/>
        <v>214140</v>
      </c>
      <c r="X627" s="128">
        <f t="shared" si="677"/>
        <v>115630</v>
      </c>
      <c r="Y627" s="128">
        <f t="shared" si="678"/>
        <v>77990</v>
      </c>
      <c r="Z627" s="128">
        <f t="shared" si="682"/>
        <v>5110</v>
      </c>
      <c r="AA627" s="128">
        <f t="shared" si="679"/>
        <v>23130</v>
      </c>
      <c r="AB627" s="128">
        <f t="shared" si="680"/>
        <v>20560</v>
      </c>
      <c r="AC627" s="129">
        <f t="shared" si="681"/>
        <v>456560</v>
      </c>
      <c r="AD627" s="619">
        <f t="shared" si="675"/>
        <v>2113040</v>
      </c>
    </row>
    <row r="628" spans="1:30" s="24" customFormat="1" ht="16.5" hidden="1" customHeight="1">
      <c r="A628" s="1150"/>
      <c r="B628" s="119"/>
      <c r="C628" s="120"/>
      <c r="D628" s="120"/>
      <c r="E628" s="124" t="s">
        <v>64</v>
      </c>
      <c r="F628" s="126">
        <f t="shared" si="687"/>
        <v>2047000</v>
      </c>
      <c r="G628" s="126"/>
      <c r="H628" s="126"/>
      <c r="I628" s="126"/>
      <c r="J628" s="126"/>
      <c r="K628" s="126"/>
      <c r="L628" s="126"/>
      <c r="M628" s="126"/>
      <c r="N628" s="126"/>
      <c r="O628" s="126">
        <f t="shared" si="686"/>
        <v>0</v>
      </c>
      <c r="P628" s="126"/>
      <c r="Q628" s="126">
        <f t="shared" si="688"/>
        <v>16130</v>
      </c>
      <c r="R628" s="126">
        <f t="shared" si="683"/>
        <v>322600</v>
      </c>
      <c r="S628" s="126">
        <f t="shared" si="684"/>
        <v>80650</v>
      </c>
      <c r="T628" s="127">
        <f t="shared" si="689"/>
        <v>200000</v>
      </c>
      <c r="U628" s="122">
        <f t="shared" si="676"/>
        <v>2569600</v>
      </c>
      <c r="V628" s="333"/>
      <c r="W628" s="338">
        <f t="shared" si="685"/>
        <v>214140</v>
      </c>
      <c r="X628" s="128">
        <f t="shared" si="677"/>
        <v>115630</v>
      </c>
      <c r="Y628" s="128">
        <f t="shared" si="678"/>
        <v>77990</v>
      </c>
      <c r="Z628" s="128">
        <f t="shared" si="682"/>
        <v>5110</v>
      </c>
      <c r="AA628" s="128">
        <f t="shared" si="679"/>
        <v>23130</v>
      </c>
      <c r="AB628" s="128">
        <f t="shared" si="680"/>
        <v>20560</v>
      </c>
      <c r="AC628" s="129">
        <f t="shared" si="681"/>
        <v>456560</v>
      </c>
      <c r="AD628" s="619">
        <f t="shared" si="675"/>
        <v>2113040</v>
      </c>
    </row>
    <row r="629" spans="1:30" s="24" customFormat="1" ht="16.5" hidden="1" customHeight="1">
      <c r="A629" s="1150"/>
      <c r="B629" s="119"/>
      <c r="C629" s="120"/>
      <c r="D629" s="120"/>
      <c r="E629" s="124" t="s">
        <v>463</v>
      </c>
      <c r="F629" s="126">
        <f t="shared" si="687"/>
        <v>2047000</v>
      </c>
      <c r="G629" s="126"/>
      <c r="H629" s="126"/>
      <c r="I629" s="126"/>
      <c r="J629" s="126"/>
      <c r="K629" s="126"/>
      <c r="L629" s="126"/>
      <c r="M629" s="126"/>
      <c r="N629" s="126"/>
      <c r="O629" s="126">
        <f t="shared" si="686"/>
        <v>0</v>
      </c>
      <c r="P629" s="126"/>
      <c r="Q629" s="126">
        <f t="shared" si="688"/>
        <v>16130</v>
      </c>
      <c r="R629" s="126">
        <f>Q629*20*2</f>
        <v>645200</v>
      </c>
      <c r="S629" s="126">
        <f>(Q629*5)*2</f>
        <v>161300</v>
      </c>
      <c r="T629" s="127">
        <f t="shared" si="689"/>
        <v>200000</v>
      </c>
      <c r="U629" s="122">
        <f t="shared" si="676"/>
        <v>2892200</v>
      </c>
      <c r="V629" s="333"/>
      <c r="W629" s="338">
        <f t="shared" si="685"/>
        <v>241020</v>
      </c>
      <c r="X629" s="128">
        <f t="shared" si="677"/>
        <v>130150</v>
      </c>
      <c r="Y629" s="128">
        <f t="shared" si="678"/>
        <v>87780</v>
      </c>
      <c r="Z629" s="128">
        <f t="shared" si="682"/>
        <v>5750</v>
      </c>
      <c r="AA629" s="128">
        <f t="shared" si="679"/>
        <v>26030</v>
      </c>
      <c r="AB629" s="128">
        <f t="shared" si="680"/>
        <v>23140</v>
      </c>
      <c r="AC629" s="129">
        <f t="shared" si="681"/>
        <v>513870</v>
      </c>
      <c r="AD629" s="619">
        <f t="shared" si="675"/>
        <v>2378330</v>
      </c>
    </row>
    <row r="630" spans="1:30" s="24" customFormat="1" ht="16.5" customHeight="1">
      <c r="A630" s="1150">
        <v>49</v>
      </c>
      <c r="B630" s="119" t="s">
        <v>565</v>
      </c>
      <c r="C630" s="120">
        <v>1</v>
      </c>
      <c r="D630" s="120">
        <v>1</v>
      </c>
      <c r="E630" s="121" t="s">
        <v>94</v>
      </c>
      <c r="F630" s="122">
        <f>SUM(F631:F642)</f>
        <v>28392000</v>
      </c>
      <c r="G630" s="122">
        <f t="shared" ref="G630:L630" si="690">SUM(G631:G642)</f>
        <v>0</v>
      </c>
      <c r="H630" s="122">
        <f t="shared" si="690"/>
        <v>0</v>
      </c>
      <c r="I630" s="122">
        <f t="shared" si="690"/>
        <v>0</v>
      </c>
      <c r="J630" s="122">
        <f t="shared" si="690"/>
        <v>0</v>
      </c>
      <c r="K630" s="122">
        <f t="shared" si="690"/>
        <v>0</v>
      </c>
      <c r="L630" s="122">
        <f t="shared" si="690"/>
        <v>0</v>
      </c>
      <c r="M630" s="122">
        <f>SUM(M631:M642)</f>
        <v>0</v>
      </c>
      <c r="N630" s="122">
        <f>SUM(N631:N642)</f>
        <v>0</v>
      </c>
      <c r="O630" s="122">
        <f>SUM(O631:O642)</f>
        <v>0</v>
      </c>
      <c r="P630" s="122"/>
      <c r="Q630" s="122"/>
      <c r="R630" s="122">
        <f>SUM(R631:R642)</f>
        <v>0</v>
      </c>
      <c r="S630" s="122">
        <f>SUM(S631:S642)</f>
        <v>0</v>
      </c>
      <c r="T630" s="122">
        <f>SUM(T631:T642)</f>
        <v>0</v>
      </c>
      <c r="U630" s="122">
        <f>SUM(U631:U642)</f>
        <v>28392000</v>
      </c>
      <c r="V630" s="333"/>
      <c r="W630" s="350">
        <f t="shared" ref="W630:AB630" si="691">SUM(W631:W642)</f>
        <v>2366040</v>
      </c>
      <c r="X630" s="122">
        <f t="shared" si="691"/>
        <v>1277640</v>
      </c>
      <c r="Y630" s="122">
        <f t="shared" si="691"/>
        <v>861720</v>
      </c>
      <c r="Z630" s="122">
        <f t="shared" si="691"/>
        <v>56520</v>
      </c>
      <c r="AA630" s="122">
        <f t="shared" si="691"/>
        <v>255480</v>
      </c>
      <c r="AB630" s="122">
        <f t="shared" si="691"/>
        <v>227160</v>
      </c>
      <c r="AC630" s="123">
        <f>SUM(AC631:AC642)</f>
        <v>5044560</v>
      </c>
      <c r="AD630" s="618">
        <f t="shared" ref="AD630:AD642" si="692">U630-AC630</f>
        <v>23347440</v>
      </c>
    </row>
    <row r="631" spans="1:30" s="24" customFormat="1" ht="16.5" hidden="1" customHeight="1">
      <c r="A631" s="1150"/>
      <c r="B631" s="320" t="s">
        <v>723</v>
      </c>
      <c r="C631" s="321"/>
      <c r="D631" s="321"/>
      <c r="E631" s="336" t="s">
        <v>324</v>
      </c>
      <c r="F631" s="322">
        <v>2366000</v>
      </c>
      <c r="G631" s="323"/>
      <c r="H631" s="322"/>
      <c r="I631" s="322"/>
      <c r="J631" s="323"/>
      <c r="K631" s="323"/>
      <c r="L631" s="323"/>
      <c r="M631" s="323"/>
      <c r="N631" s="323"/>
      <c r="O631" s="323"/>
      <c r="P631" s="323"/>
      <c r="Q631" s="323"/>
      <c r="R631" s="323"/>
      <c r="S631" s="323"/>
      <c r="T631" s="324"/>
      <c r="U631" s="122">
        <f>SUM(F631,M631,O631,R631,T631)</f>
        <v>2366000</v>
      </c>
      <c r="V631" s="337"/>
      <c r="W631" s="338">
        <f>ROUNDUP(U631*1/12,-1)</f>
        <v>197170</v>
      </c>
      <c r="X631" s="128">
        <f t="shared" ref="X631:X642" si="693">ROUND(U631*4.5%,-1)</f>
        <v>106470</v>
      </c>
      <c r="Y631" s="128">
        <f t="shared" ref="Y631:Y642" si="694">ROUNDUP((U631-L631)*3.035%,-1)</f>
        <v>71810</v>
      </c>
      <c r="Z631" s="128">
        <f t="shared" ref="Z631:Z642" si="695">ROUNDUP(Y631*6.55%,-1)</f>
        <v>4710</v>
      </c>
      <c r="AA631" s="128">
        <f t="shared" ref="AA631:AA642" si="696">ROUND(U631*0.9%,-1)</f>
        <v>21290</v>
      </c>
      <c r="AB631" s="128">
        <f t="shared" ref="AB631:AB642" si="697">ROUND(U631*0.8%,-1)</f>
        <v>18930</v>
      </c>
      <c r="AC631" s="129">
        <f t="shared" ref="AC631:AC642" si="698">SUM(W631:AB631)</f>
        <v>420380</v>
      </c>
      <c r="AD631" s="619">
        <f t="shared" si="692"/>
        <v>1945620</v>
      </c>
    </row>
    <row r="632" spans="1:30" s="24" customFormat="1" ht="16.5" hidden="1" customHeight="1">
      <c r="A632" s="1150"/>
      <c r="B632" s="119"/>
      <c r="C632" s="120"/>
      <c r="D632" s="120"/>
      <c r="E632" s="124" t="s">
        <v>325</v>
      </c>
      <c r="F632" s="126">
        <f>F631</f>
        <v>2366000</v>
      </c>
      <c r="G632" s="126"/>
      <c r="H632" s="126"/>
      <c r="I632" s="126"/>
      <c r="J632" s="126"/>
      <c r="K632" s="126"/>
      <c r="L632" s="126"/>
      <c r="M632" s="126"/>
      <c r="N632" s="126"/>
      <c r="O632" s="126"/>
      <c r="P632" s="126"/>
      <c r="Q632" s="126"/>
      <c r="R632" s="126"/>
      <c r="S632" s="126"/>
      <c r="T632" s="127"/>
      <c r="U632" s="122">
        <f t="shared" ref="U632:U642" si="699">SUM(F632,M632,O632,R632,T632)</f>
        <v>2366000</v>
      </c>
      <c r="V632" s="333"/>
      <c r="W632" s="338">
        <f>ROUNDUP((T632+U632)*1/12,-1)</f>
        <v>197170</v>
      </c>
      <c r="X632" s="128">
        <f t="shared" si="693"/>
        <v>106470</v>
      </c>
      <c r="Y632" s="128">
        <f t="shared" si="694"/>
        <v>71810</v>
      </c>
      <c r="Z632" s="128">
        <f t="shared" si="695"/>
        <v>4710</v>
      </c>
      <c r="AA632" s="128">
        <f t="shared" si="696"/>
        <v>21290</v>
      </c>
      <c r="AB632" s="128">
        <f t="shared" si="697"/>
        <v>18930</v>
      </c>
      <c r="AC632" s="129">
        <f t="shared" si="698"/>
        <v>420380</v>
      </c>
      <c r="AD632" s="619">
        <f t="shared" si="692"/>
        <v>1945620</v>
      </c>
    </row>
    <row r="633" spans="1:30" s="24" customFormat="1" ht="16.5" hidden="1" customHeight="1">
      <c r="A633" s="1150"/>
      <c r="B633" s="119"/>
      <c r="C633" s="120"/>
      <c r="D633" s="120"/>
      <c r="E633" s="124" t="s">
        <v>326</v>
      </c>
      <c r="F633" s="126">
        <f>F632</f>
        <v>2366000</v>
      </c>
      <c r="G633" s="126"/>
      <c r="H633" s="126"/>
      <c r="I633" s="126"/>
      <c r="J633" s="126"/>
      <c r="K633" s="126"/>
      <c r="L633" s="126"/>
      <c r="M633" s="126"/>
      <c r="N633" s="126"/>
      <c r="O633" s="126"/>
      <c r="P633" s="126"/>
      <c r="Q633" s="126"/>
      <c r="R633" s="126"/>
      <c r="S633" s="126"/>
      <c r="T633" s="127"/>
      <c r="U633" s="122">
        <f t="shared" si="699"/>
        <v>2366000</v>
      </c>
      <c r="V633" s="333"/>
      <c r="W633" s="338">
        <f t="shared" ref="W633:W642" si="700">ROUNDUP(U633*1/12,-1)</f>
        <v>197170</v>
      </c>
      <c r="X633" s="128">
        <f t="shared" si="693"/>
        <v>106470</v>
      </c>
      <c r="Y633" s="128">
        <f t="shared" si="694"/>
        <v>71810</v>
      </c>
      <c r="Z633" s="128">
        <f t="shared" si="695"/>
        <v>4710</v>
      </c>
      <c r="AA633" s="128">
        <f t="shared" si="696"/>
        <v>21290</v>
      </c>
      <c r="AB633" s="128">
        <f t="shared" si="697"/>
        <v>18930</v>
      </c>
      <c r="AC633" s="129">
        <f t="shared" si="698"/>
        <v>420380</v>
      </c>
      <c r="AD633" s="619">
        <f t="shared" si="692"/>
        <v>1945620</v>
      </c>
    </row>
    <row r="634" spans="1:30" s="24" customFormat="1" ht="16.5" hidden="1" customHeight="1">
      <c r="A634" s="1150"/>
      <c r="B634" s="119"/>
      <c r="C634" s="120"/>
      <c r="D634" s="120"/>
      <c r="E634" s="124" t="s">
        <v>327</v>
      </c>
      <c r="F634" s="126">
        <f>F633</f>
        <v>2366000</v>
      </c>
      <c r="G634" s="126"/>
      <c r="H634" s="126"/>
      <c r="I634" s="126"/>
      <c r="J634" s="126"/>
      <c r="K634" s="126"/>
      <c r="L634" s="126"/>
      <c r="M634" s="126"/>
      <c r="N634" s="126"/>
      <c r="O634" s="126"/>
      <c r="P634" s="126"/>
      <c r="Q634" s="126"/>
      <c r="R634" s="126"/>
      <c r="S634" s="126"/>
      <c r="T634" s="127"/>
      <c r="U634" s="122">
        <f t="shared" si="699"/>
        <v>2366000</v>
      </c>
      <c r="V634" s="333"/>
      <c r="W634" s="338">
        <f t="shared" si="700"/>
        <v>197170</v>
      </c>
      <c r="X634" s="128">
        <f t="shared" si="693"/>
        <v>106470</v>
      </c>
      <c r="Y634" s="128">
        <f t="shared" si="694"/>
        <v>71810</v>
      </c>
      <c r="Z634" s="128">
        <f t="shared" si="695"/>
        <v>4710</v>
      </c>
      <c r="AA634" s="128">
        <f t="shared" si="696"/>
        <v>21290</v>
      </c>
      <c r="AB634" s="128">
        <f t="shared" si="697"/>
        <v>18930</v>
      </c>
      <c r="AC634" s="129">
        <f t="shared" si="698"/>
        <v>420380</v>
      </c>
      <c r="AD634" s="619">
        <f t="shared" si="692"/>
        <v>1945620</v>
      </c>
    </row>
    <row r="635" spans="1:30" s="24" customFormat="1" ht="16.5" hidden="1" customHeight="1">
      <c r="A635" s="1150"/>
      <c r="B635" s="119"/>
      <c r="C635" s="120"/>
      <c r="D635" s="120"/>
      <c r="E635" s="124" t="s">
        <v>328</v>
      </c>
      <c r="F635" s="126">
        <f>F634</f>
        <v>2366000</v>
      </c>
      <c r="G635" s="126"/>
      <c r="H635" s="126"/>
      <c r="I635" s="126"/>
      <c r="J635" s="126"/>
      <c r="K635" s="126"/>
      <c r="L635" s="126"/>
      <c r="M635" s="126"/>
      <c r="N635" s="126"/>
      <c r="O635" s="126"/>
      <c r="P635" s="126"/>
      <c r="Q635" s="126"/>
      <c r="R635" s="126"/>
      <c r="S635" s="126"/>
      <c r="T635" s="127"/>
      <c r="U635" s="122">
        <f t="shared" si="699"/>
        <v>2366000</v>
      </c>
      <c r="V635" s="333"/>
      <c r="W635" s="338">
        <f t="shared" si="700"/>
        <v>197170</v>
      </c>
      <c r="X635" s="128">
        <f t="shared" si="693"/>
        <v>106470</v>
      </c>
      <c r="Y635" s="128">
        <f t="shared" si="694"/>
        <v>71810</v>
      </c>
      <c r="Z635" s="128">
        <f t="shared" si="695"/>
        <v>4710</v>
      </c>
      <c r="AA635" s="128">
        <f t="shared" si="696"/>
        <v>21290</v>
      </c>
      <c r="AB635" s="128">
        <f t="shared" si="697"/>
        <v>18930</v>
      </c>
      <c r="AC635" s="129">
        <f t="shared" si="698"/>
        <v>420380</v>
      </c>
      <c r="AD635" s="619">
        <f t="shared" si="692"/>
        <v>1945620</v>
      </c>
    </row>
    <row r="636" spans="1:30" s="24" customFormat="1" ht="16.5" hidden="1" customHeight="1">
      <c r="A636" s="1150"/>
      <c r="B636" s="119"/>
      <c r="C636" s="120"/>
      <c r="D636" s="120"/>
      <c r="E636" s="124" t="s">
        <v>329</v>
      </c>
      <c r="F636" s="126">
        <f t="shared" ref="F636:F642" si="701">F635</f>
        <v>2366000</v>
      </c>
      <c r="G636" s="126"/>
      <c r="H636" s="126"/>
      <c r="I636" s="126"/>
      <c r="J636" s="126"/>
      <c r="K636" s="126"/>
      <c r="L636" s="126"/>
      <c r="M636" s="126"/>
      <c r="N636" s="126"/>
      <c r="O636" s="126"/>
      <c r="P636" s="126"/>
      <c r="Q636" s="126"/>
      <c r="R636" s="126"/>
      <c r="S636" s="126"/>
      <c r="T636" s="127"/>
      <c r="U636" s="122">
        <f t="shared" si="699"/>
        <v>2366000</v>
      </c>
      <c r="V636" s="333"/>
      <c r="W636" s="338">
        <f t="shared" si="700"/>
        <v>197170</v>
      </c>
      <c r="X636" s="128">
        <f t="shared" si="693"/>
        <v>106470</v>
      </c>
      <c r="Y636" s="128">
        <f t="shared" si="694"/>
        <v>71810</v>
      </c>
      <c r="Z636" s="128">
        <f t="shared" si="695"/>
        <v>4710</v>
      </c>
      <c r="AA636" s="128">
        <f t="shared" si="696"/>
        <v>21290</v>
      </c>
      <c r="AB636" s="128">
        <f t="shared" si="697"/>
        <v>18930</v>
      </c>
      <c r="AC636" s="129">
        <f t="shared" si="698"/>
        <v>420380</v>
      </c>
      <c r="AD636" s="619">
        <f t="shared" si="692"/>
        <v>1945620</v>
      </c>
    </row>
    <row r="637" spans="1:30" s="24" customFormat="1" ht="16.5" hidden="1" customHeight="1">
      <c r="A637" s="1150"/>
      <c r="B637" s="119"/>
      <c r="C637" s="120"/>
      <c r="D637" s="120"/>
      <c r="E637" s="124" t="s">
        <v>330</v>
      </c>
      <c r="F637" s="126">
        <f t="shared" si="701"/>
        <v>2366000</v>
      </c>
      <c r="G637" s="126"/>
      <c r="H637" s="125"/>
      <c r="I637" s="127"/>
      <c r="J637" s="126"/>
      <c r="K637" s="126"/>
      <c r="L637" s="126"/>
      <c r="M637" s="126"/>
      <c r="N637" s="126"/>
      <c r="O637" s="126"/>
      <c r="P637" s="126"/>
      <c r="Q637" s="126"/>
      <c r="R637" s="126"/>
      <c r="S637" s="126"/>
      <c r="T637" s="127"/>
      <c r="U637" s="122">
        <f t="shared" si="699"/>
        <v>2366000</v>
      </c>
      <c r="V637" s="333"/>
      <c r="W637" s="338">
        <f t="shared" si="700"/>
        <v>197170</v>
      </c>
      <c r="X637" s="128">
        <f t="shared" si="693"/>
        <v>106470</v>
      </c>
      <c r="Y637" s="128">
        <f t="shared" si="694"/>
        <v>71810</v>
      </c>
      <c r="Z637" s="128">
        <f t="shared" si="695"/>
        <v>4710</v>
      </c>
      <c r="AA637" s="128">
        <f t="shared" si="696"/>
        <v>21290</v>
      </c>
      <c r="AB637" s="128">
        <f t="shared" si="697"/>
        <v>18930</v>
      </c>
      <c r="AC637" s="129">
        <f t="shared" si="698"/>
        <v>420380</v>
      </c>
      <c r="AD637" s="619">
        <f t="shared" si="692"/>
        <v>1945620</v>
      </c>
    </row>
    <row r="638" spans="1:30" s="24" customFormat="1" ht="16.5" hidden="1" customHeight="1">
      <c r="A638" s="1150"/>
      <c r="B638" s="119"/>
      <c r="C638" s="120"/>
      <c r="D638" s="120"/>
      <c r="E638" s="124" t="s">
        <v>331</v>
      </c>
      <c r="F638" s="126">
        <f t="shared" si="701"/>
        <v>2366000</v>
      </c>
      <c r="G638" s="126"/>
      <c r="H638" s="126"/>
      <c r="I638" s="126"/>
      <c r="J638" s="126"/>
      <c r="K638" s="126"/>
      <c r="L638" s="126"/>
      <c r="M638" s="126"/>
      <c r="N638" s="126"/>
      <c r="O638" s="126"/>
      <c r="P638" s="126"/>
      <c r="Q638" s="126"/>
      <c r="R638" s="126"/>
      <c r="S638" s="126"/>
      <c r="T638" s="127"/>
      <c r="U638" s="122">
        <f t="shared" si="699"/>
        <v>2366000</v>
      </c>
      <c r="V638" s="333"/>
      <c r="W638" s="338">
        <f t="shared" si="700"/>
        <v>197170</v>
      </c>
      <c r="X638" s="128">
        <f t="shared" si="693"/>
        <v>106470</v>
      </c>
      <c r="Y638" s="128">
        <f t="shared" si="694"/>
        <v>71810</v>
      </c>
      <c r="Z638" s="128">
        <f t="shared" si="695"/>
        <v>4710</v>
      </c>
      <c r="AA638" s="128">
        <f t="shared" si="696"/>
        <v>21290</v>
      </c>
      <c r="AB638" s="128">
        <f t="shared" si="697"/>
        <v>18930</v>
      </c>
      <c r="AC638" s="129">
        <f t="shared" si="698"/>
        <v>420380</v>
      </c>
      <c r="AD638" s="619">
        <f t="shared" si="692"/>
        <v>1945620</v>
      </c>
    </row>
    <row r="639" spans="1:30" s="24" customFormat="1" ht="16.5" hidden="1" customHeight="1">
      <c r="A639" s="1150"/>
      <c r="B639" s="119"/>
      <c r="C639" s="120"/>
      <c r="D639" s="120"/>
      <c r="E639" s="124" t="s">
        <v>62</v>
      </c>
      <c r="F639" s="126">
        <f t="shared" si="701"/>
        <v>2366000</v>
      </c>
      <c r="G639" s="126"/>
      <c r="H639" s="126"/>
      <c r="I639" s="126"/>
      <c r="J639" s="126"/>
      <c r="K639" s="126"/>
      <c r="L639" s="126"/>
      <c r="M639" s="126"/>
      <c r="N639" s="126"/>
      <c r="O639" s="126"/>
      <c r="P639" s="126"/>
      <c r="Q639" s="126"/>
      <c r="R639" s="126"/>
      <c r="S639" s="126"/>
      <c r="T639" s="127"/>
      <c r="U639" s="122">
        <f t="shared" si="699"/>
        <v>2366000</v>
      </c>
      <c r="V639" s="333"/>
      <c r="W639" s="338">
        <f t="shared" si="700"/>
        <v>197170</v>
      </c>
      <c r="X639" s="128">
        <f t="shared" si="693"/>
        <v>106470</v>
      </c>
      <c r="Y639" s="128">
        <f t="shared" si="694"/>
        <v>71810</v>
      </c>
      <c r="Z639" s="128">
        <f t="shared" si="695"/>
        <v>4710</v>
      </c>
      <c r="AA639" s="128">
        <f t="shared" si="696"/>
        <v>21290</v>
      </c>
      <c r="AB639" s="128">
        <f t="shared" si="697"/>
        <v>18930</v>
      </c>
      <c r="AC639" s="129">
        <f t="shared" si="698"/>
        <v>420380</v>
      </c>
      <c r="AD639" s="619">
        <f t="shared" si="692"/>
        <v>1945620</v>
      </c>
    </row>
    <row r="640" spans="1:30" s="24" customFormat="1" ht="16.5" hidden="1" customHeight="1">
      <c r="A640" s="1150"/>
      <c r="B640" s="119"/>
      <c r="C640" s="120"/>
      <c r="D640" s="120"/>
      <c r="E640" s="124" t="s">
        <v>63</v>
      </c>
      <c r="F640" s="126">
        <f t="shared" si="701"/>
        <v>2366000</v>
      </c>
      <c r="G640" s="126"/>
      <c r="H640" s="126"/>
      <c r="I640" s="126"/>
      <c r="J640" s="126"/>
      <c r="K640" s="126"/>
      <c r="L640" s="126"/>
      <c r="M640" s="126"/>
      <c r="N640" s="126"/>
      <c r="O640" s="126"/>
      <c r="P640" s="126"/>
      <c r="Q640" s="126"/>
      <c r="R640" s="126"/>
      <c r="S640" s="126"/>
      <c r="T640" s="127"/>
      <c r="U640" s="122">
        <f t="shared" si="699"/>
        <v>2366000</v>
      </c>
      <c r="V640" s="333"/>
      <c r="W640" s="338">
        <f t="shared" si="700"/>
        <v>197170</v>
      </c>
      <c r="X640" s="128">
        <f t="shared" si="693"/>
        <v>106470</v>
      </c>
      <c r="Y640" s="128">
        <f t="shared" si="694"/>
        <v>71810</v>
      </c>
      <c r="Z640" s="128">
        <f t="shared" si="695"/>
        <v>4710</v>
      </c>
      <c r="AA640" s="128">
        <f t="shared" si="696"/>
        <v>21290</v>
      </c>
      <c r="AB640" s="128">
        <f t="shared" si="697"/>
        <v>18930</v>
      </c>
      <c r="AC640" s="129">
        <f t="shared" si="698"/>
        <v>420380</v>
      </c>
      <c r="AD640" s="619">
        <f t="shared" si="692"/>
        <v>1945620</v>
      </c>
    </row>
    <row r="641" spans="1:30" s="24" customFormat="1" ht="16.5" hidden="1" customHeight="1">
      <c r="A641" s="1150"/>
      <c r="B641" s="119"/>
      <c r="C641" s="120"/>
      <c r="D641" s="120"/>
      <c r="E641" s="124" t="s">
        <v>64</v>
      </c>
      <c r="F641" s="126">
        <f t="shared" si="701"/>
        <v>2366000</v>
      </c>
      <c r="G641" s="126"/>
      <c r="H641" s="126"/>
      <c r="I641" s="126"/>
      <c r="J641" s="126"/>
      <c r="K641" s="126"/>
      <c r="L641" s="126"/>
      <c r="M641" s="126"/>
      <c r="N641" s="126"/>
      <c r="O641" s="126"/>
      <c r="P641" s="126"/>
      <c r="Q641" s="126"/>
      <c r="R641" s="126"/>
      <c r="S641" s="126"/>
      <c r="T641" s="127"/>
      <c r="U641" s="122">
        <f t="shared" si="699"/>
        <v>2366000</v>
      </c>
      <c r="V641" s="333"/>
      <c r="W641" s="338">
        <f t="shared" si="700"/>
        <v>197170</v>
      </c>
      <c r="X641" s="128">
        <f t="shared" si="693"/>
        <v>106470</v>
      </c>
      <c r="Y641" s="128">
        <f t="shared" si="694"/>
        <v>71810</v>
      </c>
      <c r="Z641" s="128">
        <f t="shared" si="695"/>
        <v>4710</v>
      </c>
      <c r="AA641" s="128">
        <f t="shared" si="696"/>
        <v>21290</v>
      </c>
      <c r="AB641" s="128">
        <f t="shared" si="697"/>
        <v>18930</v>
      </c>
      <c r="AC641" s="129">
        <f t="shared" si="698"/>
        <v>420380</v>
      </c>
      <c r="AD641" s="619">
        <f t="shared" si="692"/>
        <v>1945620</v>
      </c>
    </row>
    <row r="642" spans="1:30" s="24" customFormat="1" ht="16.5" hidden="1" customHeight="1">
      <c r="A642" s="1150"/>
      <c r="B642" s="119"/>
      <c r="C642" s="120"/>
      <c r="D642" s="120"/>
      <c r="E642" s="124" t="s">
        <v>332</v>
      </c>
      <c r="F642" s="126">
        <f t="shared" si="701"/>
        <v>2366000</v>
      </c>
      <c r="G642" s="126"/>
      <c r="H642" s="126"/>
      <c r="I642" s="126"/>
      <c r="J642" s="126"/>
      <c r="K642" s="126"/>
      <c r="L642" s="126"/>
      <c r="M642" s="126"/>
      <c r="N642" s="126"/>
      <c r="O642" s="126"/>
      <c r="P642" s="126"/>
      <c r="Q642" s="126"/>
      <c r="R642" s="126"/>
      <c r="S642" s="126"/>
      <c r="T642" s="127"/>
      <c r="U642" s="122">
        <f t="shared" si="699"/>
        <v>2366000</v>
      </c>
      <c r="V642" s="333"/>
      <c r="W642" s="338">
        <f t="shared" si="700"/>
        <v>197170</v>
      </c>
      <c r="X642" s="128">
        <f t="shared" si="693"/>
        <v>106470</v>
      </c>
      <c r="Y642" s="128">
        <f t="shared" si="694"/>
        <v>71810</v>
      </c>
      <c r="Z642" s="128">
        <f t="shared" si="695"/>
        <v>4710</v>
      </c>
      <c r="AA642" s="128">
        <f t="shared" si="696"/>
        <v>21290</v>
      </c>
      <c r="AB642" s="128">
        <f t="shared" si="697"/>
        <v>18930</v>
      </c>
      <c r="AC642" s="129">
        <f t="shared" si="698"/>
        <v>420380</v>
      </c>
      <c r="AD642" s="619">
        <f t="shared" si="692"/>
        <v>1945620</v>
      </c>
    </row>
    <row r="643" spans="1:30" s="24" customFormat="1" ht="16.5" hidden="1" customHeight="1">
      <c r="A643" s="1153"/>
      <c r="B643" s="119"/>
      <c r="C643" s="120"/>
      <c r="D643" s="120"/>
      <c r="E643" s="121"/>
      <c r="F643" s="122"/>
      <c r="G643" s="122"/>
      <c r="H643" s="122"/>
      <c r="I643" s="122"/>
      <c r="J643" s="122"/>
      <c r="K643" s="122"/>
      <c r="L643" s="122"/>
      <c r="M643" s="122"/>
      <c r="N643" s="122"/>
      <c r="O643" s="122"/>
      <c r="P643" s="122"/>
      <c r="Q643" s="122"/>
      <c r="R643" s="122"/>
      <c r="S643" s="122"/>
      <c r="T643" s="122"/>
      <c r="U643" s="122">
        <f>SUM(U644:U655)</f>
        <v>0</v>
      </c>
      <c r="V643" s="333"/>
      <c r="W643" s="350">
        <f t="shared" ref="W643:AB643" si="702">SUM(W644:W655)</f>
        <v>0</v>
      </c>
      <c r="X643" s="122">
        <f t="shared" si="702"/>
        <v>0</v>
      </c>
      <c r="Y643" s="122">
        <f t="shared" si="702"/>
        <v>0</v>
      </c>
      <c r="Z643" s="122">
        <f t="shared" si="702"/>
        <v>0</v>
      </c>
      <c r="AA643" s="122">
        <f t="shared" si="702"/>
        <v>0</v>
      </c>
      <c r="AB643" s="122">
        <f t="shared" si="702"/>
        <v>0</v>
      </c>
      <c r="AC643" s="123"/>
      <c r="AD643" s="618"/>
    </row>
    <row r="644" spans="1:30" s="24" customFormat="1" ht="16.5" hidden="1" customHeight="1">
      <c r="A644" s="1154"/>
      <c r="B644" s="119"/>
      <c r="C644" s="120"/>
      <c r="D644" s="120"/>
      <c r="E644" s="124"/>
      <c r="F644" s="125"/>
      <c r="G644" s="126"/>
      <c r="H644" s="125"/>
      <c r="I644" s="127"/>
      <c r="J644" s="126"/>
      <c r="K644" s="126"/>
      <c r="L644" s="126"/>
      <c r="M644" s="126"/>
      <c r="N644" s="126"/>
      <c r="O644" s="126"/>
      <c r="P644" s="126"/>
      <c r="Q644" s="126"/>
      <c r="R644" s="126"/>
      <c r="S644" s="126"/>
      <c r="T644" s="127"/>
      <c r="U644" s="122">
        <f>SUM(F644,M644,O644,R644,T644)</f>
        <v>0</v>
      </c>
      <c r="V644" s="333"/>
      <c r="W644" s="338">
        <f>ROUNDUP(U644*1/12,-1)</f>
        <v>0</v>
      </c>
      <c r="X644" s="128">
        <f t="shared" ref="X644:X655" si="703">ROUND(U644*4.5%,-1)</f>
        <v>0</v>
      </c>
      <c r="Y644" s="128">
        <f t="shared" ref="Y644:Y655" si="704">ROUNDUP((U644-L644)*3.035%,-1)</f>
        <v>0</v>
      </c>
      <c r="Z644" s="128">
        <f>ROUNDUP(Y644*6.55%,-1)</f>
        <v>0</v>
      </c>
      <c r="AA644" s="128">
        <f t="shared" ref="AA644:AA655" si="705">ROUND(U644*0.9%,-1)</f>
        <v>0</v>
      </c>
      <c r="AB644" s="128">
        <f t="shared" ref="AB644:AB655" si="706">ROUND(U644*0.8%,-1)</f>
        <v>0</v>
      </c>
      <c r="AC644" s="129"/>
      <c r="AD644" s="619"/>
    </row>
    <row r="645" spans="1:30" s="24" customFormat="1" ht="16.5" hidden="1" customHeight="1">
      <c r="A645" s="1154"/>
      <c r="B645" s="119"/>
      <c r="C645" s="120"/>
      <c r="D645" s="120"/>
      <c r="E645" s="124"/>
      <c r="F645" s="126"/>
      <c r="G645" s="126"/>
      <c r="H645" s="126"/>
      <c r="I645" s="126"/>
      <c r="J645" s="126"/>
      <c r="K645" s="126"/>
      <c r="L645" s="126"/>
      <c r="M645" s="126"/>
      <c r="N645" s="126"/>
      <c r="O645" s="126"/>
      <c r="P645" s="126"/>
      <c r="Q645" s="126"/>
      <c r="R645" s="126"/>
      <c r="S645" s="126"/>
      <c r="T645" s="127"/>
      <c r="U645" s="122">
        <f t="shared" si="660"/>
        <v>0</v>
      </c>
      <c r="V645" s="333"/>
      <c r="W645" s="338">
        <f>ROUNDUP((T645+U645)*1/12,-1)</f>
        <v>0</v>
      </c>
      <c r="X645" s="128">
        <f t="shared" si="703"/>
        <v>0</v>
      </c>
      <c r="Y645" s="128">
        <f t="shared" si="704"/>
        <v>0</v>
      </c>
      <c r="Z645" s="128">
        <f t="shared" ref="Z645:Z655" si="707">ROUNDUP(Y645*6.55%,-1)</f>
        <v>0</v>
      </c>
      <c r="AA645" s="128">
        <f t="shared" si="705"/>
        <v>0</v>
      </c>
      <c r="AB645" s="128">
        <f t="shared" si="706"/>
        <v>0</v>
      </c>
      <c r="AC645" s="129"/>
      <c r="AD645" s="619"/>
    </row>
    <row r="646" spans="1:30" s="24" customFormat="1" ht="16.5" hidden="1" customHeight="1">
      <c r="A646" s="1154"/>
      <c r="B646" s="119"/>
      <c r="C646" s="120"/>
      <c r="D646" s="120"/>
      <c r="E646" s="124"/>
      <c r="F646" s="126"/>
      <c r="G646" s="126"/>
      <c r="H646" s="126"/>
      <c r="I646" s="126"/>
      <c r="J646" s="126"/>
      <c r="K646" s="126"/>
      <c r="L646" s="126"/>
      <c r="M646" s="126"/>
      <c r="N646" s="126"/>
      <c r="O646" s="126"/>
      <c r="P646" s="126"/>
      <c r="Q646" s="126"/>
      <c r="R646" s="126"/>
      <c r="S646" s="126"/>
      <c r="T646" s="127"/>
      <c r="U646" s="122">
        <f t="shared" si="660"/>
        <v>0</v>
      </c>
      <c r="V646" s="333"/>
      <c r="W646" s="338">
        <f t="shared" ref="W646:W655" si="708">ROUNDUP(U646*1/12,-1)</f>
        <v>0</v>
      </c>
      <c r="X646" s="128">
        <f t="shared" si="703"/>
        <v>0</v>
      </c>
      <c r="Y646" s="128">
        <f t="shared" si="704"/>
        <v>0</v>
      </c>
      <c r="Z646" s="128">
        <f t="shared" si="707"/>
        <v>0</v>
      </c>
      <c r="AA646" s="128">
        <f t="shared" si="705"/>
        <v>0</v>
      </c>
      <c r="AB646" s="128">
        <f t="shared" si="706"/>
        <v>0</v>
      </c>
      <c r="AC646" s="129"/>
      <c r="AD646" s="619"/>
    </row>
    <row r="647" spans="1:30" s="24" customFormat="1" ht="16.5" hidden="1" customHeight="1">
      <c r="A647" s="1154"/>
      <c r="B647" s="119"/>
      <c r="C647" s="120"/>
      <c r="D647" s="120"/>
      <c r="E647" s="124"/>
      <c r="F647" s="126"/>
      <c r="G647" s="126"/>
      <c r="H647" s="126"/>
      <c r="I647" s="126"/>
      <c r="J647" s="126"/>
      <c r="K647" s="126"/>
      <c r="L647" s="126"/>
      <c r="M647" s="126"/>
      <c r="N647" s="126"/>
      <c r="O647" s="126"/>
      <c r="P647" s="126"/>
      <c r="Q647" s="126"/>
      <c r="R647" s="126"/>
      <c r="S647" s="126"/>
      <c r="T647" s="127"/>
      <c r="U647" s="122">
        <f t="shared" si="660"/>
        <v>0</v>
      </c>
      <c r="V647" s="333"/>
      <c r="W647" s="338">
        <f t="shared" si="708"/>
        <v>0</v>
      </c>
      <c r="X647" s="128">
        <f t="shared" si="703"/>
        <v>0</v>
      </c>
      <c r="Y647" s="128">
        <f t="shared" si="704"/>
        <v>0</v>
      </c>
      <c r="Z647" s="128">
        <f t="shared" si="707"/>
        <v>0</v>
      </c>
      <c r="AA647" s="128">
        <f t="shared" si="705"/>
        <v>0</v>
      </c>
      <c r="AB647" s="128">
        <f t="shared" si="706"/>
        <v>0</v>
      </c>
      <c r="AC647" s="129"/>
      <c r="AD647" s="619"/>
    </row>
    <row r="648" spans="1:30" s="24" customFormat="1" ht="16.5" hidden="1" customHeight="1">
      <c r="A648" s="1154"/>
      <c r="B648" s="119"/>
      <c r="C648" s="120"/>
      <c r="D648" s="120"/>
      <c r="E648" s="124"/>
      <c r="F648" s="126"/>
      <c r="G648" s="126"/>
      <c r="H648" s="126"/>
      <c r="I648" s="126"/>
      <c r="J648" s="126"/>
      <c r="K648" s="126"/>
      <c r="L648" s="126"/>
      <c r="M648" s="126"/>
      <c r="N648" s="126"/>
      <c r="O648" s="126"/>
      <c r="P648" s="126"/>
      <c r="Q648" s="126"/>
      <c r="R648" s="126"/>
      <c r="S648" s="126"/>
      <c r="T648" s="127"/>
      <c r="U648" s="122">
        <f t="shared" si="660"/>
        <v>0</v>
      </c>
      <c r="V648" s="333"/>
      <c r="W648" s="338">
        <f t="shared" si="708"/>
        <v>0</v>
      </c>
      <c r="X648" s="128">
        <f t="shared" si="703"/>
        <v>0</v>
      </c>
      <c r="Y648" s="128">
        <f t="shared" si="704"/>
        <v>0</v>
      </c>
      <c r="Z648" s="128">
        <f t="shared" si="707"/>
        <v>0</v>
      </c>
      <c r="AA648" s="128">
        <f t="shared" si="705"/>
        <v>0</v>
      </c>
      <c r="AB648" s="128">
        <f t="shared" si="706"/>
        <v>0</v>
      </c>
      <c r="AC648" s="129"/>
      <c r="AD648" s="619"/>
    </row>
    <row r="649" spans="1:30" s="24" customFormat="1" ht="16.5" hidden="1" customHeight="1">
      <c r="A649" s="1154"/>
      <c r="B649" s="119"/>
      <c r="C649" s="120"/>
      <c r="D649" s="120"/>
      <c r="E649" s="124"/>
      <c r="F649" s="591"/>
      <c r="G649" s="126"/>
      <c r="H649" s="126"/>
      <c r="I649" s="126"/>
      <c r="J649" s="126"/>
      <c r="K649" s="126"/>
      <c r="L649" s="126"/>
      <c r="M649" s="126"/>
      <c r="N649" s="126"/>
      <c r="O649" s="126"/>
      <c r="P649" s="126"/>
      <c r="Q649" s="126"/>
      <c r="R649" s="126"/>
      <c r="S649" s="126"/>
      <c r="T649" s="127"/>
      <c r="U649" s="122">
        <f t="shared" si="660"/>
        <v>0</v>
      </c>
      <c r="V649" s="333"/>
      <c r="W649" s="338">
        <f t="shared" si="708"/>
        <v>0</v>
      </c>
      <c r="X649" s="128">
        <f t="shared" si="703"/>
        <v>0</v>
      </c>
      <c r="Y649" s="128">
        <f t="shared" si="704"/>
        <v>0</v>
      </c>
      <c r="Z649" s="128">
        <f t="shared" si="707"/>
        <v>0</v>
      </c>
      <c r="AA649" s="128">
        <f t="shared" si="705"/>
        <v>0</v>
      </c>
      <c r="AB649" s="128">
        <f t="shared" si="706"/>
        <v>0</v>
      </c>
      <c r="AC649" s="129"/>
      <c r="AD649" s="619"/>
    </row>
    <row r="650" spans="1:30" s="24" customFormat="1" ht="16.5" hidden="1" customHeight="1">
      <c r="A650" s="1154"/>
      <c r="B650" s="119"/>
      <c r="C650" s="120"/>
      <c r="D650" s="120"/>
      <c r="E650" s="124"/>
      <c r="F650" s="127"/>
      <c r="G650" s="126"/>
      <c r="H650" s="125"/>
      <c r="I650" s="125"/>
      <c r="J650" s="126"/>
      <c r="K650" s="126"/>
      <c r="L650" s="126"/>
      <c r="M650" s="126"/>
      <c r="N650" s="126"/>
      <c r="O650" s="126"/>
      <c r="P650" s="126"/>
      <c r="Q650" s="126"/>
      <c r="R650" s="126"/>
      <c r="S650" s="126"/>
      <c r="T650" s="127"/>
      <c r="U650" s="122">
        <f t="shared" si="660"/>
        <v>0</v>
      </c>
      <c r="V650" s="333"/>
      <c r="W650" s="338">
        <f t="shared" si="708"/>
        <v>0</v>
      </c>
      <c r="X650" s="128">
        <f t="shared" si="703"/>
        <v>0</v>
      </c>
      <c r="Y650" s="128">
        <f t="shared" si="704"/>
        <v>0</v>
      </c>
      <c r="Z650" s="128">
        <f t="shared" si="707"/>
        <v>0</v>
      </c>
      <c r="AA650" s="128">
        <f t="shared" si="705"/>
        <v>0</v>
      </c>
      <c r="AB650" s="128">
        <f t="shared" si="706"/>
        <v>0</v>
      </c>
      <c r="AC650" s="129"/>
      <c r="AD650" s="619"/>
    </row>
    <row r="651" spans="1:30" s="24" customFormat="1" ht="16.5" hidden="1" customHeight="1">
      <c r="A651" s="1154"/>
      <c r="B651" s="119"/>
      <c r="C651" s="120"/>
      <c r="D651" s="120"/>
      <c r="E651" s="124"/>
      <c r="F651" s="126"/>
      <c r="G651" s="126"/>
      <c r="H651" s="126"/>
      <c r="I651" s="126"/>
      <c r="J651" s="126"/>
      <c r="K651" s="126"/>
      <c r="L651" s="126"/>
      <c r="M651" s="126"/>
      <c r="N651" s="126"/>
      <c r="O651" s="126"/>
      <c r="P651" s="126"/>
      <c r="Q651" s="126"/>
      <c r="R651" s="126"/>
      <c r="S651" s="126"/>
      <c r="T651" s="127"/>
      <c r="U651" s="122">
        <f t="shared" si="660"/>
        <v>0</v>
      </c>
      <c r="V651" s="333"/>
      <c r="W651" s="338">
        <f t="shared" si="708"/>
        <v>0</v>
      </c>
      <c r="X651" s="128">
        <f t="shared" si="703"/>
        <v>0</v>
      </c>
      <c r="Y651" s="128">
        <f t="shared" si="704"/>
        <v>0</v>
      </c>
      <c r="Z651" s="128">
        <f t="shared" si="707"/>
        <v>0</v>
      </c>
      <c r="AA651" s="128">
        <f t="shared" si="705"/>
        <v>0</v>
      </c>
      <c r="AB651" s="128">
        <f t="shared" si="706"/>
        <v>0</v>
      </c>
      <c r="AC651" s="129"/>
      <c r="AD651" s="619"/>
    </row>
    <row r="652" spans="1:30" s="24" customFormat="1" ht="16.5" hidden="1" customHeight="1">
      <c r="A652" s="1154"/>
      <c r="B652" s="119"/>
      <c r="C652" s="120"/>
      <c r="D652" s="120"/>
      <c r="E652" s="124"/>
      <c r="F652" s="126"/>
      <c r="G652" s="126"/>
      <c r="H652" s="126"/>
      <c r="I652" s="126"/>
      <c r="J652" s="126"/>
      <c r="K652" s="126"/>
      <c r="L652" s="126"/>
      <c r="M652" s="126"/>
      <c r="N652" s="126"/>
      <c r="O652" s="126"/>
      <c r="P652" s="126"/>
      <c r="Q652" s="126"/>
      <c r="R652" s="126"/>
      <c r="S652" s="126"/>
      <c r="T652" s="127"/>
      <c r="U652" s="122">
        <f t="shared" si="660"/>
        <v>0</v>
      </c>
      <c r="V652" s="333"/>
      <c r="W652" s="338">
        <f t="shared" si="708"/>
        <v>0</v>
      </c>
      <c r="X652" s="128">
        <f t="shared" si="703"/>
        <v>0</v>
      </c>
      <c r="Y652" s="128">
        <f t="shared" si="704"/>
        <v>0</v>
      </c>
      <c r="Z652" s="128">
        <f t="shared" si="707"/>
        <v>0</v>
      </c>
      <c r="AA652" s="128">
        <f t="shared" si="705"/>
        <v>0</v>
      </c>
      <c r="AB652" s="128">
        <f t="shared" si="706"/>
        <v>0</v>
      </c>
      <c r="AC652" s="129"/>
      <c r="AD652" s="619"/>
    </row>
    <row r="653" spans="1:30" s="24" customFormat="1" ht="16.5" hidden="1" customHeight="1">
      <c r="A653" s="1154"/>
      <c r="B653" s="119"/>
      <c r="C653" s="120"/>
      <c r="D653" s="120"/>
      <c r="E653" s="124"/>
      <c r="F653" s="126"/>
      <c r="G653" s="126"/>
      <c r="H653" s="126"/>
      <c r="I653" s="126"/>
      <c r="J653" s="126"/>
      <c r="K653" s="126"/>
      <c r="L653" s="126"/>
      <c r="M653" s="126"/>
      <c r="N653" s="126"/>
      <c r="O653" s="126"/>
      <c r="P653" s="126"/>
      <c r="Q653" s="126"/>
      <c r="R653" s="126"/>
      <c r="S653" s="126"/>
      <c r="T653" s="127"/>
      <c r="U653" s="122">
        <f t="shared" si="660"/>
        <v>0</v>
      </c>
      <c r="V653" s="333"/>
      <c r="W653" s="338">
        <f t="shared" si="708"/>
        <v>0</v>
      </c>
      <c r="X653" s="128">
        <f t="shared" si="703"/>
        <v>0</v>
      </c>
      <c r="Y653" s="128">
        <f t="shared" si="704"/>
        <v>0</v>
      </c>
      <c r="Z653" s="128">
        <f t="shared" si="707"/>
        <v>0</v>
      </c>
      <c r="AA653" s="128">
        <f t="shared" si="705"/>
        <v>0</v>
      </c>
      <c r="AB653" s="128">
        <f t="shared" si="706"/>
        <v>0</v>
      </c>
      <c r="AC653" s="129"/>
      <c r="AD653" s="619"/>
    </row>
    <row r="654" spans="1:30" s="24" customFormat="1" ht="16.5" hidden="1" customHeight="1">
      <c r="A654" s="1154"/>
      <c r="B654" s="119"/>
      <c r="C654" s="120"/>
      <c r="D654" s="120"/>
      <c r="E654" s="124"/>
      <c r="F654" s="126"/>
      <c r="G654" s="126"/>
      <c r="H654" s="126"/>
      <c r="I654" s="126"/>
      <c r="J654" s="126"/>
      <c r="K654" s="126"/>
      <c r="L654" s="126"/>
      <c r="M654" s="126"/>
      <c r="N654" s="126"/>
      <c r="O654" s="126"/>
      <c r="P654" s="126"/>
      <c r="Q654" s="126"/>
      <c r="R654" s="126"/>
      <c r="S654" s="126"/>
      <c r="T654" s="127"/>
      <c r="U654" s="122">
        <f t="shared" si="660"/>
        <v>0</v>
      </c>
      <c r="V654" s="333"/>
      <c r="W654" s="338">
        <f t="shared" si="708"/>
        <v>0</v>
      </c>
      <c r="X654" s="128">
        <f t="shared" si="703"/>
        <v>0</v>
      </c>
      <c r="Y654" s="128">
        <f t="shared" si="704"/>
        <v>0</v>
      </c>
      <c r="Z654" s="128">
        <f t="shared" si="707"/>
        <v>0</v>
      </c>
      <c r="AA654" s="128">
        <f t="shared" si="705"/>
        <v>0</v>
      </c>
      <c r="AB654" s="128">
        <f t="shared" si="706"/>
        <v>0</v>
      </c>
      <c r="AC654" s="129"/>
      <c r="AD654" s="619"/>
    </row>
    <row r="655" spans="1:30" s="24" customFormat="1" ht="16.5" hidden="1" customHeight="1">
      <c r="A655" s="1155"/>
      <c r="B655" s="119"/>
      <c r="C655" s="120"/>
      <c r="D655" s="120"/>
      <c r="E655" s="124"/>
      <c r="F655" s="126"/>
      <c r="G655" s="126"/>
      <c r="H655" s="126"/>
      <c r="I655" s="126"/>
      <c r="J655" s="126"/>
      <c r="K655" s="126"/>
      <c r="L655" s="126"/>
      <c r="M655" s="126"/>
      <c r="N655" s="126"/>
      <c r="O655" s="126"/>
      <c r="P655" s="126"/>
      <c r="Q655" s="126"/>
      <c r="R655" s="126"/>
      <c r="S655" s="126"/>
      <c r="T655" s="127"/>
      <c r="U655" s="122">
        <f t="shared" si="660"/>
        <v>0</v>
      </c>
      <c r="V655" s="333"/>
      <c r="W655" s="338">
        <f t="shared" si="708"/>
        <v>0</v>
      </c>
      <c r="X655" s="128">
        <f t="shared" si="703"/>
        <v>0</v>
      </c>
      <c r="Y655" s="128">
        <f t="shared" si="704"/>
        <v>0</v>
      </c>
      <c r="Z655" s="128">
        <f t="shared" si="707"/>
        <v>0</v>
      </c>
      <c r="AA655" s="128">
        <f t="shared" si="705"/>
        <v>0</v>
      </c>
      <c r="AB655" s="128">
        <f t="shared" si="706"/>
        <v>0</v>
      </c>
      <c r="AC655" s="129"/>
      <c r="AD655" s="619"/>
    </row>
    <row r="656" spans="1:30" s="645" customFormat="1" ht="12.75" customHeight="1">
      <c r="A656" s="881"/>
      <c r="B656" s="881"/>
      <c r="C656" s="881"/>
      <c r="D656" s="881"/>
      <c r="E656" s="881"/>
      <c r="F656" s="757"/>
      <c r="G656" s="757"/>
      <c r="H656" s="757"/>
      <c r="I656" s="757"/>
      <c r="J656" s="757"/>
      <c r="K656" s="758"/>
      <c r="L656" s="758"/>
      <c r="M656" s="758"/>
      <c r="N656" s="759"/>
      <c r="O656" s="882"/>
      <c r="P656" s="882"/>
      <c r="Q656" s="882"/>
      <c r="R656" s="882"/>
      <c r="S656" s="882"/>
      <c r="T656" s="757"/>
      <c r="U656" s="757"/>
      <c r="V656" s="883"/>
      <c r="W656" s="757"/>
      <c r="X656" s="757"/>
      <c r="Y656" s="757"/>
      <c r="Z656" s="757"/>
      <c r="AA656" s="757"/>
      <c r="AB656" s="882"/>
      <c r="AC656" s="884"/>
    </row>
    <row r="657" spans="1:29" s="26" customFormat="1" ht="21" customHeight="1">
      <c r="A657" s="1147" t="s">
        <v>566</v>
      </c>
      <c r="B657" s="1147"/>
      <c r="C657" s="1147"/>
      <c r="D657" s="111"/>
      <c r="E657" s="111"/>
      <c r="F657" s="112"/>
      <c r="G657" s="112"/>
      <c r="H657" s="112"/>
      <c r="I657" s="112"/>
      <c r="J657" s="112"/>
      <c r="K657" s="113"/>
      <c r="L657" s="113"/>
      <c r="M657" s="113"/>
      <c r="N657" s="114"/>
      <c r="O657" s="135"/>
      <c r="P657" s="135"/>
      <c r="Q657" s="135"/>
      <c r="R657" s="135"/>
      <c r="S657" s="135"/>
      <c r="T657" s="112"/>
      <c r="U657" s="112"/>
      <c r="V657" s="116"/>
      <c r="W657" s="112"/>
      <c r="X657" s="112"/>
      <c r="Y657" s="112"/>
      <c r="Z657" s="112"/>
      <c r="AA657" s="112"/>
      <c r="AB657" s="135"/>
      <c r="AC657" s="117" t="s">
        <v>567</v>
      </c>
    </row>
    <row r="658" spans="1:29" s="24" customFormat="1" ht="44.25" customHeight="1" thickBot="1">
      <c r="A658" s="183" t="s">
        <v>568</v>
      </c>
      <c r="B658" s="184" t="s">
        <v>569</v>
      </c>
      <c r="C658" s="184" t="s">
        <v>570</v>
      </c>
      <c r="D658" s="184" t="s">
        <v>571</v>
      </c>
      <c r="E658" s="184" t="s">
        <v>572</v>
      </c>
      <c r="F658" s="185" t="s">
        <v>573</v>
      </c>
      <c r="G658" s="186" t="s">
        <v>574</v>
      </c>
      <c r="H658" s="186" t="s">
        <v>575</v>
      </c>
      <c r="I658" s="186" t="s">
        <v>576</v>
      </c>
      <c r="J658" s="184" t="s">
        <v>577</v>
      </c>
      <c r="K658" s="186" t="s">
        <v>578</v>
      </c>
      <c r="L658" s="186" t="s">
        <v>579</v>
      </c>
      <c r="M658" s="186" t="s">
        <v>580</v>
      </c>
      <c r="N658" s="187" t="s">
        <v>581</v>
      </c>
      <c r="O658" s="186" t="s">
        <v>648</v>
      </c>
      <c r="P658" s="186" t="s">
        <v>582</v>
      </c>
      <c r="Q658" s="186" t="str">
        <f>Q4</f>
        <v>연장근로수당</v>
      </c>
      <c r="R658" s="186" t="s">
        <v>583</v>
      </c>
      <c r="S658" s="684" t="s">
        <v>805</v>
      </c>
      <c r="T658" s="186" t="s">
        <v>584</v>
      </c>
      <c r="U658" s="189" t="s">
        <v>585</v>
      </c>
      <c r="V658" s="330" t="s">
        <v>586</v>
      </c>
      <c r="W658" s="339" t="s">
        <v>587</v>
      </c>
      <c r="X658" s="189" t="s">
        <v>588</v>
      </c>
      <c r="Y658" s="189" t="s">
        <v>589</v>
      </c>
      <c r="Z658" s="188" t="s">
        <v>590</v>
      </c>
      <c r="AA658" s="189" t="s">
        <v>591</v>
      </c>
      <c r="AB658" s="188" t="s">
        <v>592</v>
      </c>
      <c r="AC658" s="190" t="s">
        <v>593</v>
      </c>
    </row>
    <row r="659" spans="1:29" s="25" customFormat="1" ht="24.75" customHeight="1" thickTop="1">
      <c r="A659" s="1156" t="s">
        <v>594</v>
      </c>
      <c r="B659" s="1157"/>
      <c r="C659" s="1157"/>
      <c r="D659" s="1157"/>
      <c r="E659" s="1158"/>
      <c r="F659" s="118">
        <f t="shared" ref="F659:U659" si="709">F660</f>
        <v>24138000</v>
      </c>
      <c r="G659" s="118">
        <f t="shared" si="709"/>
        <v>0</v>
      </c>
      <c r="H659" s="118">
        <f t="shared" si="709"/>
        <v>0</v>
      </c>
      <c r="I659" s="118">
        <f t="shared" si="709"/>
        <v>0</v>
      </c>
      <c r="J659" s="118">
        <f t="shared" si="709"/>
        <v>0</v>
      </c>
      <c r="K659" s="118">
        <f t="shared" si="709"/>
        <v>0</v>
      </c>
      <c r="L659" s="118">
        <f t="shared" si="709"/>
        <v>0</v>
      </c>
      <c r="M659" s="118">
        <f t="shared" si="709"/>
        <v>2415600</v>
      </c>
      <c r="N659" s="118">
        <f t="shared" si="709"/>
        <v>0</v>
      </c>
      <c r="O659" s="118">
        <f t="shared" si="709"/>
        <v>480000</v>
      </c>
      <c r="P659" s="118"/>
      <c r="Q659" s="118"/>
      <c r="R659" s="118">
        <f t="shared" si="709"/>
        <v>3896200</v>
      </c>
      <c r="S659" s="118">
        <f t="shared" si="709"/>
        <v>974050</v>
      </c>
      <c r="T659" s="118">
        <f t="shared" si="709"/>
        <v>3000000</v>
      </c>
      <c r="U659" s="118">
        <f t="shared" si="709"/>
        <v>33929800</v>
      </c>
      <c r="V659" s="331"/>
      <c r="W659" s="118">
        <f t="shared" ref="W659:AC659" si="710">W660</f>
        <v>2827540</v>
      </c>
      <c r="X659" s="118">
        <f t="shared" si="710"/>
        <v>1526830</v>
      </c>
      <c r="Y659" s="118">
        <f t="shared" si="710"/>
        <v>1029820</v>
      </c>
      <c r="Z659" s="118">
        <f t="shared" si="710"/>
        <v>67520</v>
      </c>
      <c r="AA659" s="118">
        <f t="shared" si="710"/>
        <v>305370</v>
      </c>
      <c r="AB659" s="118">
        <f t="shared" si="710"/>
        <v>271440</v>
      </c>
      <c r="AC659" s="340">
        <f t="shared" si="710"/>
        <v>6028520</v>
      </c>
    </row>
    <row r="660" spans="1:29" s="24" customFormat="1" ht="22.5" customHeight="1">
      <c r="A660" s="1150">
        <v>1</v>
      </c>
      <c r="B660" s="130" t="s">
        <v>595</v>
      </c>
      <c r="C660" s="131" t="s">
        <v>660</v>
      </c>
      <c r="D660" s="131">
        <v>1</v>
      </c>
      <c r="E660" s="132" t="s">
        <v>531</v>
      </c>
      <c r="F660" s="133">
        <f t="shared" ref="F660:U660" si="711">SUM(F661:F672)</f>
        <v>24138000</v>
      </c>
      <c r="G660" s="133">
        <f t="shared" si="711"/>
        <v>0</v>
      </c>
      <c r="H660" s="133">
        <f t="shared" si="711"/>
        <v>0</v>
      </c>
      <c r="I660" s="133">
        <f t="shared" si="711"/>
        <v>0</v>
      </c>
      <c r="J660" s="133">
        <f t="shared" si="711"/>
        <v>0</v>
      </c>
      <c r="K660" s="133">
        <f t="shared" si="711"/>
        <v>0</v>
      </c>
      <c r="L660" s="133">
        <f t="shared" si="711"/>
        <v>0</v>
      </c>
      <c r="M660" s="133">
        <f t="shared" si="711"/>
        <v>2415600</v>
      </c>
      <c r="N660" s="133">
        <f t="shared" si="711"/>
        <v>0</v>
      </c>
      <c r="O660" s="133">
        <f t="shared" si="711"/>
        <v>480000</v>
      </c>
      <c r="P660" s="133"/>
      <c r="Q660" s="133"/>
      <c r="R660" s="133">
        <f t="shared" si="711"/>
        <v>3896200</v>
      </c>
      <c r="S660" s="133">
        <f t="shared" si="711"/>
        <v>974050</v>
      </c>
      <c r="T660" s="133">
        <f t="shared" si="711"/>
        <v>3000000</v>
      </c>
      <c r="U660" s="133">
        <f t="shared" si="711"/>
        <v>33929800</v>
      </c>
      <c r="V660" s="335"/>
      <c r="W660" s="341">
        <f t="shared" ref="W660:AB660" si="712">SUM(W661:W672)</f>
        <v>2827540</v>
      </c>
      <c r="X660" s="133">
        <f t="shared" si="712"/>
        <v>1526830</v>
      </c>
      <c r="Y660" s="133">
        <f t="shared" si="712"/>
        <v>1029820</v>
      </c>
      <c r="Z660" s="133">
        <f t="shared" si="712"/>
        <v>67520</v>
      </c>
      <c r="AA660" s="133">
        <f t="shared" si="712"/>
        <v>305370</v>
      </c>
      <c r="AB660" s="133">
        <f t="shared" si="712"/>
        <v>271440</v>
      </c>
      <c r="AC660" s="134">
        <f>SUM(AC661:AC672)</f>
        <v>6028520</v>
      </c>
    </row>
    <row r="661" spans="1:29" s="24" customFormat="1" ht="16.5" customHeight="1">
      <c r="A661" s="1150"/>
      <c r="B661" s="320" t="s">
        <v>596</v>
      </c>
      <c r="C661" s="321">
        <v>8</v>
      </c>
      <c r="D661" s="321"/>
      <c r="E661" s="336" t="s">
        <v>533</v>
      </c>
      <c r="F661" s="322">
        <v>2004000</v>
      </c>
      <c r="G661" s="323"/>
      <c r="H661" s="322"/>
      <c r="I661" s="324"/>
      <c r="J661" s="323"/>
      <c r="K661" s="323"/>
      <c r="L661" s="323"/>
      <c r="M661" s="126"/>
      <c r="N661" s="323"/>
      <c r="O661" s="323">
        <v>40000</v>
      </c>
      <c r="P661" s="323"/>
      <c r="Q661" s="323"/>
      <c r="R661" s="126">
        <v>0</v>
      </c>
      <c r="S661" s="323"/>
      <c r="T661" s="324">
        <v>250000</v>
      </c>
      <c r="U661" s="122">
        <f>SUM(F661,M661,O661,R661,T661)</f>
        <v>2294000</v>
      </c>
      <c r="V661" s="337"/>
      <c r="W661" s="338">
        <f>ROUNDUP(U661*1/12,-1)</f>
        <v>191170</v>
      </c>
      <c r="X661" s="128">
        <f>ROUND(U661*4.5%,-1)</f>
        <v>103230</v>
      </c>
      <c r="Y661" s="128">
        <f>ROUNDUP((U661-L661)*3.035%,-1)</f>
        <v>69630</v>
      </c>
      <c r="Z661" s="128">
        <f t="shared" ref="Z661:Z672" si="713">ROUNDUP(Y661*6.55%,-1)</f>
        <v>4570</v>
      </c>
      <c r="AA661" s="128">
        <f>ROUND(U661*0.9%,-1)</f>
        <v>20650</v>
      </c>
      <c r="AB661" s="128">
        <f>ROUND(U661*0.8%,-1)</f>
        <v>18350</v>
      </c>
      <c r="AC661" s="326">
        <f>SUM(W661:AB661)</f>
        <v>407600</v>
      </c>
    </row>
    <row r="662" spans="1:29" s="24" customFormat="1" ht="16.5" hidden="1" customHeight="1">
      <c r="A662" s="1150"/>
      <c r="B662" s="119"/>
      <c r="C662" s="120"/>
      <c r="D662" s="120"/>
      <c r="E662" s="124" t="s">
        <v>534</v>
      </c>
      <c r="F662" s="126">
        <f>F661</f>
        <v>2004000</v>
      </c>
      <c r="G662" s="126"/>
      <c r="H662" s="126"/>
      <c r="I662" s="126"/>
      <c r="J662" s="126"/>
      <c r="K662" s="126"/>
      <c r="L662" s="126"/>
      <c r="M662" s="126">
        <f>F662*60%</f>
        <v>1202400</v>
      </c>
      <c r="N662" s="126"/>
      <c r="O662" s="126">
        <f>O661</f>
        <v>40000</v>
      </c>
      <c r="P662" s="126"/>
      <c r="Q662" s="126">
        <f>ROUND((F661+T661)*1/209*1.5,-1)</f>
        <v>16180</v>
      </c>
      <c r="R662" s="671">
        <f>Q662*20</f>
        <v>323600</v>
      </c>
      <c r="S662" s="671">
        <f t="shared" ref="S662:S671" si="714">Q662*5</f>
        <v>80900</v>
      </c>
      <c r="T662" s="127">
        <f t="shared" ref="T662:T672" si="715">T661</f>
        <v>250000</v>
      </c>
      <c r="U662" s="122">
        <f t="shared" ref="U662:U672" si="716">SUM(F662,M662,O662,R662,T662)</f>
        <v>3820000</v>
      </c>
      <c r="V662" s="333"/>
      <c r="W662" s="338">
        <f t="shared" ref="W662:W672" si="717">ROUNDUP(U662*1/12,-1)</f>
        <v>318340</v>
      </c>
      <c r="X662" s="128">
        <f t="shared" ref="X662:X672" si="718">ROUND(U662*4.5%,-1)</f>
        <v>171900</v>
      </c>
      <c r="Y662" s="128">
        <f t="shared" ref="Y662:Y672" si="719">ROUNDUP((U662-L662)*3.035%,-1)</f>
        <v>115940</v>
      </c>
      <c r="Z662" s="128">
        <f t="shared" si="713"/>
        <v>7600</v>
      </c>
      <c r="AA662" s="128">
        <f t="shared" ref="AA662:AA672" si="720">ROUND(U662*0.9%,-1)</f>
        <v>34380</v>
      </c>
      <c r="AB662" s="128">
        <f t="shared" ref="AB662:AB672" si="721">ROUND(U662*0.8%,-1)</f>
        <v>30560</v>
      </c>
      <c r="AC662" s="129">
        <f t="shared" ref="AC662:AC672" si="722">SUM(W662:AB662)</f>
        <v>678720</v>
      </c>
    </row>
    <row r="663" spans="1:29" s="24" customFormat="1" ht="16.5" hidden="1" customHeight="1">
      <c r="A663" s="1150"/>
      <c r="B663" s="119"/>
      <c r="C663" s="120"/>
      <c r="D663" s="120"/>
      <c r="E663" s="124" t="s">
        <v>535</v>
      </c>
      <c r="F663" s="126">
        <f>F661</f>
        <v>2004000</v>
      </c>
      <c r="G663" s="126"/>
      <c r="H663" s="126"/>
      <c r="I663" s="126"/>
      <c r="J663" s="126"/>
      <c r="K663" s="126"/>
      <c r="L663" s="126"/>
      <c r="M663" s="126" t="s">
        <v>597</v>
      </c>
      <c r="N663" s="126"/>
      <c r="O663" s="126">
        <f t="shared" ref="O663:O672" si="723">O662</f>
        <v>40000</v>
      </c>
      <c r="P663" s="126"/>
      <c r="Q663" s="126">
        <f t="shared" ref="Q663:Q672" si="724">ROUND((F662+T662)*1/209*1.5,-1)</f>
        <v>16180</v>
      </c>
      <c r="R663" s="671">
        <f t="shared" ref="R663:R671" si="725">Q663*20</f>
        <v>323600</v>
      </c>
      <c r="S663" s="671">
        <f t="shared" si="714"/>
        <v>80900</v>
      </c>
      <c r="T663" s="127">
        <f t="shared" si="715"/>
        <v>250000</v>
      </c>
      <c r="U663" s="122">
        <f t="shared" si="716"/>
        <v>2617600</v>
      </c>
      <c r="V663" s="333"/>
      <c r="W663" s="338">
        <f t="shared" si="717"/>
        <v>218140</v>
      </c>
      <c r="X663" s="128">
        <f t="shared" si="718"/>
        <v>117790</v>
      </c>
      <c r="Y663" s="128">
        <f t="shared" si="719"/>
        <v>79450</v>
      </c>
      <c r="Z663" s="128">
        <f t="shared" si="713"/>
        <v>5210</v>
      </c>
      <c r="AA663" s="128">
        <f t="shared" si="720"/>
        <v>23560</v>
      </c>
      <c r="AB663" s="128">
        <f t="shared" si="721"/>
        <v>20940</v>
      </c>
      <c r="AC663" s="129">
        <f t="shared" si="722"/>
        <v>465090</v>
      </c>
    </row>
    <row r="664" spans="1:29" s="24" customFormat="1" ht="16.5" hidden="1" customHeight="1">
      <c r="A664" s="1150"/>
      <c r="B664" s="119"/>
      <c r="C664" s="120"/>
      <c r="D664" s="120"/>
      <c r="E664" s="124" t="s">
        <v>536</v>
      </c>
      <c r="F664" s="126">
        <f t="shared" ref="F664:F670" si="726">F662</f>
        <v>2004000</v>
      </c>
      <c r="G664" s="126"/>
      <c r="H664" s="126"/>
      <c r="I664" s="126"/>
      <c r="J664" s="126"/>
      <c r="K664" s="126"/>
      <c r="L664" s="126"/>
      <c r="M664" s="126">
        <v>0</v>
      </c>
      <c r="N664" s="126"/>
      <c r="O664" s="126">
        <f t="shared" si="723"/>
        <v>40000</v>
      </c>
      <c r="P664" s="126"/>
      <c r="Q664" s="126">
        <f t="shared" si="724"/>
        <v>16180</v>
      </c>
      <c r="R664" s="671">
        <f t="shared" si="725"/>
        <v>323600</v>
      </c>
      <c r="S664" s="671">
        <f t="shared" si="714"/>
        <v>80900</v>
      </c>
      <c r="T664" s="127">
        <f t="shared" si="715"/>
        <v>250000</v>
      </c>
      <c r="U664" s="122">
        <f t="shared" si="716"/>
        <v>2617600</v>
      </c>
      <c r="V664" s="333"/>
      <c r="W664" s="338">
        <f t="shared" si="717"/>
        <v>218140</v>
      </c>
      <c r="X664" s="128">
        <f t="shared" si="718"/>
        <v>117790</v>
      </c>
      <c r="Y664" s="128">
        <f t="shared" si="719"/>
        <v>79450</v>
      </c>
      <c r="Z664" s="128">
        <f t="shared" si="713"/>
        <v>5210</v>
      </c>
      <c r="AA664" s="128">
        <f t="shared" si="720"/>
        <v>23560</v>
      </c>
      <c r="AB664" s="128">
        <f t="shared" si="721"/>
        <v>20940</v>
      </c>
      <c r="AC664" s="129">
        <f t="shared" si="722"/>
        <v>465090</v>
      </c>
    </row>
    <row r="665" spans="1:29" s="24" customFormat="1" ht="16.5" hidden="1" customHeight="1">
      <c r="A665" s="1150"/>
      <c r="B665" s="119"/>
      <c r="C665" s="120"/>
      <c r="D665" s="120"/>
      <c r="E665" s="124" t="s">
        <v>537</v>
      </c>
      <c r="F665" s="126">
        <f t="shared" si="726"/>
        <v>2004000</v>
      </c>
      <c r="G665" s="126"/>
      <c r="H665" s="126"/>
      <c r="I665" s="126"/>
      <c r="J665" s="126"/>
      <c r="K665" s="126"/>
      <c r="L665" s="126"/>
      <c r="M665" s="126">
        <v>0</v>
      </c>
      <c r="N665" s="126"/>
      <c r="O665" s="126">
        <f t="shared" si="723"/>
        <v>40000</v>
      </c>
      <c r="P665" s="126"/>
      <c r="Q665" s="126">
        <f t="shared" si="724"/>
        <v>16180</v>
      </c>
      <c r="R665" s="671">
        <f t="shared" si="725"/>
        <v>323600</v>
      </c>
      <c r="S665" s="671">
        <f t="shared" si="714"/>
        <v>80900</v>
      </c>
      <c r="T665" s="127">
        <f t="shared" si="715"/>
        <v>250000</v>
      </c>
      <c r="U665" s="122">
        <f t="shared" si="716"/>
        <v>2617600</v>
      </c>
      <c r="V665" s="333"/>
      <c r="W665" s="338">
        <f t="shared" si="717"/>
        <v>218140</v>
      </c>
      <c r="X665" s="128">
        <f t="shared" si="718"/>
        <v>117790</v>
      </c>
      <c r="Y665" s="128">
        <f t="shared" si="719"/>
        <v>79450</v>
      </c>
      <c r="Z665" s="128">
        <f t="shared" si="713"/>
        <v>5210</v>
      </c>
      <c r="AA665" s="128">
        <f t="shared" si="720"/>
        <v>23560</v>
      </c>
      <c r="AB665" s="128">
        <f t="shared" si="721"/>
        <v>20940</v>
      </c>
      <c r="AC665" s="129">
        <f t="shared" si="722"/>
        <v>465090</v>
      </c>
    </row>
    <row r="666" spans="1:29" s="24" customFormat="1" ht="16.5" hidden="1" customHeight="1">
      <c r="A666" s="1150"/>
      <c r="B666" s="119"/>
      <c r="C666" s="120"/>
      <c r="D666" s="120"/>
      <c r="E666" s="124" t="s">
        <v>538</v>
      </c>
      <c r="F666" s="126">
        <f t="shared" si="726"/>
        <v>2004000</v>
      </c>
      <c r="G666" s="126"/>
      <c r="H666" s="126"/>
      <c r="I666" s="126"/>
      <c r="J666" s="126"/>
      <c r="K666" s="126"/>
      <c r="L666" s="126"/>
      <c r="M666" s="126">
        <v>0</v>
      </c>
      <c r="N666" s="126"/>
      <c r="O666" s="126">
        <f t="shared" si="723"/>
        <v>40000</v>
      </c>
      <c r="P666" s="126"/>
      <c r="Q666" s="126">
        <f t="shared" si="724"/>
        <v>16180</v>
      </c>
      <c r="R666" s="671">
        <f t="shared" si="725"/>
        <v>323600</v>
      </c>
      <c r="S666" s="671">
        <f t="shared" si="714"/>
        <v>80900</v>
      </c>
      <c r="T666" s="127">
        <f t="shared" si="715"/>
        <v>250000</v>
      </c>
      <c r="U666" s="122">
        <f t="shared" si="716"/>
        <v>2617600</v>
      </c>
      <c r="V666" s="333"/>
      <c r="W666" s="338">
        <f t="shared" si="717"/>
        <v>218140</v>
      </c>
      <c r="X666" s="128">
        <f t="shared" si="718"/>
        <v>117790</v>
      </c>
      <c r="Y666" s="128">
        <f t="shared" si="719"/>
        <v>79450</v>
      </c>
      <c r="Z666" s="128">
        <f t="shared" si="713"/>
        <v>5210</v>
      </c>
      <c r="AA666" s="128">
        <f t="shared" si="720"/>
        <v>23560</v>
      </c>
      <c r="AB666" s="128">
        <f t="shared" si="721"/>
        <v>20940</v>
      </c>
      <c r="AC666" s="129">
        <f t="shared" si="722"/>
        <v>465090</v>
      </c>
    </row>
    <row r="667" spans="1:29" s="24" customFormat="1" ht="16.5" hidden="1" customHeight="1">
      <c r="A667" s="1150"/>
      <c r="B667" s="119"/>
      <c r="C667" s="120"/>
      <c r="D667" s="120"/>
      <c r="E667" s="124" t="s">
        <v>330</v>
      </c>
      <c r="F667" s="126">
        <f t="shared" si="726"/>
        <v>2004000</v>
      </c>
      <c r="G667" s="126"/>
      <c r="H667" s="125"/>
      <c r="I667" s="127"/>
      <c r="J667" s="126"/>
      <c r="K667" s="126"/>
      <c r="L667" s="126"/>
      <c r="M667" s="126">
        <v>0</v>
      </c>
      <c r="N667" s="126"/>
      <c r="O667" s="126">
        <f t="shared" si="723"/>
        <v>40000</v>
      </c>
      <c r="P667" s="126"/>
      <c r="Q667" s="126">
        <f t="shared" si="724"/>
        <v>16180</v>
      </c>
      <c r="R667" s="671">
        <f t="shared" si="725"/>
        <v>323600</v>
      </c>
      <c r="S667" s="671">
        <f t="shared" si="714"/>
        <v>80900</v>
      </c>
      <c r="T667" s="127">
        <f t="shared" si="715"/>
        <v>250000</v>
      </c>
      <c r="U667" s="122">
        <f t="shared" si="716"/>
        <v>2617600</v>
      </c>
      <c r="V667" s="333"/>
      <c r="W667" s="338">
        <f t="shared" si="717"/>
        <v>218140</v>
      </c>
      <c r="X667" s="128">
        <f t="shared" si="718"/>
        <v>117790</v>
      </c>
      <c r="Y667" s="128">
        <f t="shared" si="719"/>
        <v>79450</v>
      </c>
      <c r="Z667" s="128">
        <f t="shared" si="713"/>
        <v>5210</v>
      </c>
      <c r="AA667" s="128">
        <f t="shared" si="720"/>
        <v>23560</v>
      </c>
      <c r="AB667" s="128">
        <f t="shared" si="721"/>
        <v>20940</v>
      </c>
      <c r="AC667" s="129">
        <f t="shared" si="722"/>
        <v>465090</v>
      </c>
    </row>
    <row r="668" spans="1:29" s="24" customFormat="1" ht="16.5" hidden="1" customHeight="1">
      <c r="A668" s="1150"/>
      <c r="B668" s="119"/>
      <c r="C668" s="120">
        <v>9</v>
      </c>
      <c r="D668" s="120"/>
      <c r="E668" s="124" t="s">
        <v>331</v>
      </c>
      <c r="F668" s="591">
        <v>2022000</v>
      </c>
      <c r="G668" s="126"/>
      <c r="H668" s="126"/>
      <c r="I668" s="126"/>
      <c r="J668" s="126"/>
      <c r="K668" s="126"/>
      <c r="L668" s="126"/>
      <c r="M668" s="126">
        <v>0</v>
      </c>
      <c r="N668" s="126"/>
      <c r="O668" s="126">
        <f t="shared" si="723"/>
        <v>40000</v>
      </c>
      <c r="P668" s="126"/>
      <c r="Q668" s="126">
        <f t="shared" si="724"/>
        <v>16180</v>
      </c>
      <c r="R668" s="671">
        <f t="shared" si="725"/>
        <v>323600</v>
      </c>
      <c r="S668" s="671">
        <f t="shared" si="714"/>
        <v>80900</v>
      </c>
      <c r="T668" s="127">
        <f t="shared" si="715"/>
        <v>250000</v>
      </c>
      <c r="U668" s="122">
        <f t="shared" si="716"/>
        <v>2635600</v>
      </c>
      <c r="V668" s="333"/>
      <c r="W668" s="338">
        <f t="shared" si="717"/>
        <v>219640</v>
      </c>
      <c r="X668" s="128">
        <f t="shared" si="718"/>
        <v>118600</v>
      </c>
      <c r="Y668" s="128">
        <f t="shared" si="719"/>
        <v>80000</v>
      </c>
      <c r="Z668" s="128">
        <f t="shared" si="713"/>
        <v>5240</v>
      </c>
      <c r="AA668" s="128">
        <f t="shared" si="720"/>
        <v>23720</v>
      </c>
      <c r="AB668" s="128">
        <f t="shared" si="721"/>
        <v>21080</v>
      </c>
      <c r="AC668" s="129">
        <f t="shared" si="722"/>
        <v>468280</v>
      </c>
    </row>
    <row r="669" spans="1:29" s="24" customFormat="1" ht="16.5" hidden="1" customHeight="1">
      <c r="A669" s="1150"/>
      <c r="B669" s="119"/>
      <c r="C669" s="120"/>
      <c r="D669" s="120"/>
      <c r="E669" s="124" t="s">
        <v>62</v>
      </c>
      <c r="F669" s="126">
        <f>F668</f>
        <v>2022000</v>
      </c>
      <c r="G669" s="126"/>
      <c r="H669" s="126"/>
      <c r="I669" s="126"/>
      <c r="J669" s="126"/>
      <c r="K669" s="126"/>
      <c r="L669" s="126"/>
      <c r="M669" s="126">
        <f>F669*60%</f>
        <v>1213200</v>
      </c>
      <c r="N669" s="126"/>
      <c r="O669" s="126">
        <f t="shared" si="723"/>
        <v>40000</v>
      </c>
      <c r="P669" s="126"/>
      <c r="Q669" s="126">
        <f t="shared" si="724"/>
        <v>16310</v>
      </c>
      <c r="R669" s="671">
        <f t="shared" si="725"/>
        <v>326200</v>
      </c>
      <c r="S669" s="671">
        <f t="shared" si="714"/>
        <v>81550</v>
      </c>
      <c r="T669" s="127">
        <f t="shared" si="715"/>
        <v>250000</v>
      </c>
      <c r="U669" s="122">
        <f t="shared" si="716"/>
        <v>3851400</v>
      </c>
      <c r="V669" s="333"/>
      <c r="W669" s="338">
        <f t="shared" si="717"/>
        <v>320950</v>
      </c>
      <c r="X669" s="128">
        <f t="shared" si="718"/>
        <v>173310</v>
      </c>
      <c r="Y669" s="128">
        <f t="shared" si="719"/>
        <v>116890</v>
      </c>
      <c r="Z669" s="128">
        <f t="shared" si="713"/>
        <v>7660</v>
      </c>
      <c r="AA669" s="128">
        <f t="shared" si="720"/>
        <v>34660</v>
      </c>
      <c r="AB669" s="128">
        <f t="shared" si="721"/>
        <v>30810</v>
      </c>
      <c r="AC669" s="129">
        <f t="shared" si="722"/>
        <v>684280</v>
      </c>
    </row>
    <row r="670" spans="1:29" s="24" customFormat="1" ht="16.5" hidden="1" customHeight="1">
      <c r="A670" s="1150"/>
      <c r="B670" s="119"/>
      <c r="C670" s="120"/>
      <c r="D670" s="120"/>
      <c r="E670" s="124" t="s">
        <v>63</v>
      </c>
      <c r="F670" s="126">
        <f t="shared" si="726"/>
        <v>2022000</v>
      </c>
      <c r="G670" s="126"/>
      <c r="H670" s="126"/>
      <c r="I670" s="125"/>
      <c r="J670" s="126"/>
      <c r="K670" s="126"/>
      <c r="L670" s="126"/>
      <c r="M670" s="126">
        <v>0</v>
      </c>
      <c r="N670" s="126"/>
      <c r="O670" s="126">
        <f t="shared" si="723"/>
        <v>40000</v>
      </c>
      <c r="P670" s="126"/>
      <c r="Q670" s="126">
        <f t="shared" si="724"/>
        <v>16310</v>
      </c>
      <c r="R670" s="671">
        <f t="shared" si="725"/>
        <v>326200</v>
      </c>
      <c r="S670" s="671">
        <f t="shared" si="714"/>
        <v>81550</v>
      </c>
      <c r="T670" s="127">
        <v>250000</v>
      </c>
      <c r="U670" s="122">
        <f t="shared" si="716"/>
        <v>2638200</v>
      </c>
      <c r="V670" s="333"/>
      <c r="W670" s="338">
        <f t="shared" si="717"/>
        <v>219850</v>
      </c>
      <c r="X670" s="128">
        <f t="shared" si="718"/>
        <v>118720</v>
      </c>
      <c r="Y670" s="128">
        <f t="shared" si="719"/>
        <v>80070</v>
      </c>
      <c r="Z670" s="128">
        <f t="shared" si="713"/>
        <v>5250</v>
      </c>
      <c r="AA670" s="128">
        <f t="shared" si="720"/>
        <v>23740</v>
      </c>
      <c r="AB670" s="128">
        <f t="shared" si="721"/>
        <v>21110</v>
      </c>
      <c r="AC670" s="129">
        <f t="shared" si="722"/>
        <v>468740</v>
      </c>
    </row>
    <row r="671" spans="1:29" s="24" customFormat="1" ht="16.5" hidden="1" customHeight="1">
      <c r="A671" s="1150"/>
      <c r="B671" s="119"/>
      <c r="C671" s="120"/>
      <c r="D671" s="120"/>
      <c r="E671" s="124" t="s">
        <v>64</v>
      </c>
      <c r="F671" s="126">
        <f>F670</f>
        <v>2022000</v>
      </c>
      <c r="G671" s="126"/>
      <c r="H671" s="126"/>
      <c r="I671" s="126"/>
      <c r="J671" s="126"/>
      <c r="K671" s="126"/>
      <c r="L671" s="126"/>
      <c r="M671" s="126">
        <v>0</v>
      </c>
      <c r="N671" s="126"/>
      <c r="O671" s="126">
        <f t="shared" si="723"/>
        <v>40000</v>
      </c>
      <c r="P671" s="126"/>
      <c r="Q671" s="126">
        <f t="shared" si="724"/>
        <v>16310</v>
      </c>
      <c r="R671" s="671">
        <f t="shared" si="725"/>
        <v>326200</v>
      </c>
      <c r="S671" s="671">
        <f t="shared" si="714"/>
        <v>81550</v>
      </c>
      <c r="T671" s="127">
        <f t="shared" si="715"/>
        <v>250000</v>
      </c>
      <c r="U671" s="122">
        <f t="shared" si="716"/>
        <v>2638200</v>
      </c>
      <c r="V671" s="333"/>
      <c r="W671" s="338">
        <f t="shared" si="717"/>
        <v>219850</v>
      </c>
      <c r="X671" s="128">
        <f t="shared" si="718"/>
        <v>118720</v>
      </c>
      <c r="Y671" s="128">
        <f t="shared" si="719"/>
        <v>80070</v>
      </c>
      <c r="Z671" s="128">
        <f t="shared" si="713"/>
        <v>5250</v>
      </c>
      <c r="AA671" s="128">
        <f t="shared" si="720"/>
        <v>23740</v>
      </c>
      <c r="AB671" s="128">
        <f t="shared" si="721"/>
        <v>21110</v>
      </c>
      <c r="AC671" s="129">
        <f t="shared" si="722"/>
        <v>468740</v>
      </c>
    </row>
    <row r="672" spans="1:29" s="24" customFormat="1" ht="16.5" hidden="1" customHeight="1">
      <c r="A672" s="1151"/>
      <c r="B672" s="130"/>
      <c r="C672" s="131"/>
      <c r="D672" s="131"/>
      <c r="E672" s="342" t="s">
        <v>539</v>
      </c>
      <c r="F672" s="343">
        <f>F671</f>
        <v>2022000</v>
      </c>
      <c r="G672" s="343"/>
      <c r="H672" s="343"/>
      <c r="I672" s="343"/>
      <c r="J672" s="343"/>
      <c r="K672" s="343"/>
      <c r="L672" s="343"/>
      <c r="M672" s="343">
        <v>0</v>
      </c>
      <c r="N672" s="343"/>
      <c r="O672" s="343">
        <f t="shared" si="723"/>
        <v>40000</v>
      </c>
      <c r="P672" s="126"/>
      <c r="Q672" s="343">
        <f t="shared" si="724"/>
        <v>16310</v>
      </c>
      <c r="R672" s="343">
        <f>Q672*20*2</f>
        <v>652400</v>
      </c>
      <c r="S672" s="671">
        <f>Q672*5*2</f>
        <v>163100</v>
      </c>
      <c r="T672" s="344">
        <f t="shared" si="715"/>
        <v>250000</v>
      </c>
      <c r="U672" s="122">
        <f t="shared" si="716"/>
        <v>2964400</v>
      </c>
      <c r="V672" s="335"/>
      <c r="W672" s="338">
        <f t="shared" si="717"/>
        <v>247040</v>
      </c>
      <c r="X672" s="128">
        <f t="shared" si="718"/>
        <v>133400</v>
      </c>
      <c r="Y672" s="128">
        <f t="shared" si="719"/>
        <v>89970</v>
      </c>
      <c r="Z672" s="128">
        <f t="shared" si="713"/>
        <v>5900</v>
      </c>
      <c r="AA672" s="128">
        <f t="shared" si="720"/>
        <v>26680</v>
      </c>
      <c r="AB672" s="128">
        <f t="shared" si="721"/>
        <v>23720</v>
      </c>
      <c r="AC672" s="347">
        <f t="shared" si="722"/>
        <v>526710</v>
      </c>
    </row>
    <row r="673" spans="1:30" s="26" customFormat="1" ht="15.75" customHeight="1">
      <c r="A673" s="313"/>
      <c r="B673" s="313"/>
      <c r="C673" s="313"/>
      <c r="D673" s="313"/>
      <c r="E673" s="313"/>
      <c r="F673" s="314"/>
      <c r="G673" s="314"/>
      <c r="H673" s="314"/>
      <c r="I673" s="314"/>
      <c r="J673" s="314"/>
      <c r="K673" s="315"/>
      <c r="L673" s="315"/>
      <c r="M673" s="315"/>
      <c r="N673" s="316"/>
      <c r="O673" s="317"/>
      <c r="P673" s="317"/>
      <c r="Q673" s="317"/>
      <c r="R673" s="317"/>
      <c r="S673" s="317"/>
      <c r="T673" s="314"/>
      <c r="U673" s="314"/>
      <c r="V673" s="318"/>
      <c r="W673" s="314"/>
      <c r="X673" s="314"/>
      <c r="Y673" s="314"/>
      <c r="Z673" s="314"/>
      <c r="AA673" s="314"/>
      <c r="AB673" s="317"/>
      <c r="AC673" s="319"/>
    </row>
    <row r="674" spans="1:30" s="26" customFormat="1" ht="19.5" customHeight="1">
      <c r="A674" s="1147" t="s">
        <v>598</v>
      </c>
      <c r="B674" s="1147"/>
      <c r="C674" s="1147"/>
      <c r="D674" s="111"/>
      <c r="E674" s="111"/>
      <c r="F674" s="112"/>
      <c r="G674" s="112"/>
      <c r="H674" s="112"/>
      <c r="I674" s="112"/>
      <c r="J674" s="112"/>
      <c r="K674" s="113"/>
      <c r="L674" s="113"/>
      <c r="M674" s="113"/>
      <c r="N674" s="114"/>
      <c r="O674" s="135"/>
      <c r="P674" s="135"/>
      <c r="Q674" s="135"/>
      <c r="R674" s="135"/>
      <c r="S674" s="135"/>
      <c r="T674" s="112"/>
      <c r="U674" s="112"/>
      <c r="V674" s="116"/>
      <c r="W674" s="112"/>
      <c r="X674" s="112"/>
      <c r="Y674" s="112"/>
      <c r="Z674" s="112"/>
      <c r="AA674" s="112"/>
      <c r="AB674" s="135"/>
      <c r="AC674" s="117" t="s">
        <v>567</v>
      </c>
    </row>
    <row r="675" spans="1:30" s="24" customFormat="1" ht="42" customHeight="1" thickBot="1">
      <c r="A675" s="183" t="s">
        <v>568</v>
      </c>
      <c r="B675" s="184" t="s">
        <v>569</v>
      </c>
      <c r="C675" s="184" t="s">
        <v>570</v>
      </c>
      <c r="D675" s="184" t="s">
        <v>571</v>
      </c>
      <c r="E675" s="184" t="s">
        <v>572</v>
      </c>
      <c r="F675" s="185" t="s">
        <v>573</v>
      </c>
      <c r="G675" s="186" t="s">
        <v>574</v>
      </c>
      <c r="H675" s="186" t="s">
        <v>575</v>
      </c>
      <c r="I675" s="186" t="s">
        <v>576</v>
      </c>
      <c r="J675" s="184" t="s">
        <v>577</v>
      </c>
      <c r="K675" s="186" t="s">
        <v>578</v>
      </c>
      <c r="L675" s="186" t="s">
        <v>579</v>
      </c>
      <c r="M675" s="186" t="s">
        <v>580</v>
      </c>
      <c r="N675" s="187" t="s">
        <v>581</v>
      </c>
      <c r="O675" s="186" t="s">
        <v>648</v>
      </c>
      <c r="P675" s="186"/>
      <c r="Q675" s="186" t="str">
        <f>Q4</f>
        <v>연장근로수당</v>
      </c>
      <c r="R675" s="186" t="s">
        <v>583</v>
      </c>
      <c r="S675" s="684" t="s">
        <v>805</v>
      </c>
      <c r="T675" s="186" t="s">
        <v>584</v>
      </c>
      <c r="U675" s="189" t="s">
        <v>585</v>
      </c>
      <c r="V675" s="330" t="s">
        <v>586</v>
      </c>
      <c r="W675" s="339" t="s">
        <v>587</v>
      </c>
      <c r="X675" s="189" t="s">
        <v>588</v>
      </c>
      <c r="Y675" s="189" t="s">
        <v>589</v>
      </c>
      <c r="Z675" s="188" t="s">
        <v>590</v>
      </c>
      <c r="AA675" s="189" t="s">
        <v>591</v>
      </c>
      <c r="AB675" s="188" t="s">
        <v>592</v>
      </c>
      <c r="AC675" s="190" t="s">
        <v>593</v>
      </c>
    </row>
    <row r="676" spans="1:30" s="25" customFormat="1" ht="24.75" customHeight="1" thickTop="1">
      <c r="A676" s="1148" t="s">
        <v>594</v>
      </c>
      <c r="B676" s="1149"/>
      <c r="C676" s="1149"/>
      <c r="D676" s="1149"/>
      <c r="E676" s="1149"/>
      <c r="F676" s="118">
        <f t="shared" ref="F676:O676" si="727">F677+F690+F705</f>
        <v>13880000</v>
      </c>
      <c r="G676" s="118">
        <f t="shared" si="727"/>
        <v>0</v>
      </c>
      <c r="H676" s="118">
        <f t="shared" si="727"/>
        <v>0</v>
      </c>
      <c r="I676" s="118">
        <f t="shared" si="727"/>
        <v>0</v>
      </c>
      <c r="J676" s="118">
        <f t="shared" si="727"/>
        <v>0</v>
      </c>
      <c r="K676" s="118">
        <f t="shared" si="727"/>
        <v>0</v>
      </c>
      <c r="L676" s="118">
        <f t="shared" si="727"/>
        <v>0</v>
      </c>
      <c r="M676" s="118">
        <f t="shared" si="727"/>
        <v>832800</v>
      </c>
      <c r="N676" s="118">
        <f t="shared" si="727"/>
        <v>0</v>
      </c>
      <c r="O676" s="118">
        <f t="shared" si="727"/>
        <v>400000</v>
      </c>
      <c r="P676" s="118"/>
      <c r="Q676" s="118"/>
      <c r="R676" s="510">
        <f>R677+R690+R705</f>
        <v>5016000</v>
      </c>
      <c r="S676" s="118">
        <f>S677+S690+S705</f>
        <v>0</v>
      </c>
      <c r="T676" s="118">
        <f>T677+T690+T705</f>
        <v>2000000</v>
      </c>
      <c r="U676" s="118">
        <f>U677+U690+U705</f>
        <v>22128800</v>
      </c>
      <c r="V676" s="348"/>
      <c r="W676" s="509">
        <f t="shared" ref="W676:AB676" si="728">W677+W690+W705</f>
        <v>1844100</v>
      </c>
      <c r="X676" s="510">
        <f t="shared" si="728"/>
        <v>995800</v>
      </c>
      <c r="Y676" s="510">
        <f t="shared" si="728"/>
        <v>671620</v>
      </c>
      <c r="Z676" s="510">
        <f t="shared" si="728"/>
        <v>44050</v>
      </c>
      <c r="AA676" s="510">
        <f t="shared" si="728"/>
        <v>199190</v>
      </c>
      <c r="AB676" s="510">
        <f t="shared" si="728"/>
        <v>177010</v>
      </c>
      <c r="AC676" s="340">
        <f>AC677+AC690</f>
        <v>3931770</v>
      </c>
    </row>
    <row r="677" spans="1:30" s="24" customFormat="1" ht="22.5" customHeight="1">
      <c r="A677" s="1150">
        <v>1</v>
      </c>
      <c r="B677" s="502" t="s">
        <v>562</v>
      </c>
      <c r="C677" s="503">
        <v>1</v>
      </c>
      <c r="D677" s="503">
        <v>1</v>
      </c>
      <c r="E677" s="504" t="s">
        <v>531</v>
      </c>
      <c r="F677" s="505">
        <f t="shared" ref="F677:O677" si="729">SUM(F678:F689)</f>
        <v>13880000</v>
      </c>
      <c r="G677" s="505">
        <f t="shared" si="729"/>
        <v>0</v>
      </c>
      <c r="H677" s="505">
        <f t="shared" si="729"/>
        <v>0</v>
      </c>
      <c r="I677" s="505">
        <f t="shared" si="729"/>
        <v>0</v>
      </c>
      <c r="J677" s="505">
        <f t="shared" si="729"/>
        <v>0</v>
      </c>
      <c r="K677" s="505">
        <f t="shared" si="729"/>
        <v>0</v>
      </c>
      <c r="L677" s="505">
        <f t="shared" si="729"/>
        <v>0</v>
      </c>
      <c r="M677" s="505">
        <f t="shared" si="729"/>
        <v>832800</v>
      </c>
      <c r="N677" s="505">
        <f t="shared" si="729"/>
        <v>0</v>
      </c>
      <c r="O677" s="505">
        <f t="shared" si="729"/>
        <v>400000</v>
      </c>
      <c r="P677" s="133"/>
      <c r="Q677" s="133"/>
      <c r="R677" s="505">
        <f>SUM(R678:R689)</f>
        <v>5016000</v>
      </c>
      <c r="S677" s="505">
        <f>SUM(S678:S689)</f>
        <v>0</v>
      </c>
      <c r="T677" s="505">
        <f>SUM(T678:T689)</f>
        <v>2000000</v>
      </c>
      <c r="U677" s="505">
        <f>SUM(U678:U689)</f>
        <v>22128800</v>
      </c>
      <c r="V677" s="506"/>
      <c r="W677" s="507">
        <f t="shared" ref="W677:AC677" si="730">SUM(W678:W689)</f>
        <v>1844100</v>
      </c>
      <c r="X677" s="505">
        <f t="shared" si="730"/>
        <v>995800</v>
      </c>
      <c r="Y677" s="512">
        <f t="shared" si="730"/>
        <v>671620</v>
      </c>
      <c r="Z677" s="512">
        <f t="shared" si="730"/>
        <v>44050</v>
      </c>
      <c r="AA677" s="505">
        <f t="shared" si="730"/>
        <v>199190</v>
      </c>
      <c r="AB677" s="505">
        <f t="shared" si="730"/>
        <v>177010</v>
      </c>
      <c r="AC677" s="508">
        <f t="shared" si="730"/>
        <v>3931770</v>
      </c>
      <c r="AD677" s="24" t="s">
        <v>599</v>
      </c>
    </row>
    <row r="678" spans="1:30" s="24" customFormat="1" ht="15" customHeight="1">
      <c r="A678" s="1150"/>
      <c r="B678" s="723" t="s">
        <v>948</v>
      </c>
      <c r="C678" s="494">
        <v>1</v>
      </c>
      <c r="D678" s="494"/>
      <c r="E678" s="495" t="s">
        <v>533</v>
      </c>
      <c r="F678" s="593"/>
      <c r="G678" s="497"/>
      <c r="H678" s="498"/>
      <c r="I678" s="496"/>
      <c r="J678" s="497"/>
      <c r="K678" s="497"/>
      <c r="L678" s="497"/>
      <c r="M678" s="126"/>
      <c r="N678" s="497"/>
      <c r="O678" s="497"/>
      <c r="P678" s="323"/>
      <c r="Q678" s="323"/>
      <c r="R678" s="126"/>
      <c r="S678" s="497"/>
      <c r="T678" s="496"/>
      <c r="U678" s="122">
        <f>SUM(F678,M678,O678,R678)</f>
        <v>0</v>
      </c>
      <c r="V678" s="499"/>
      <c r="W678" s="338">
        <f>ROUNDUP(U678*1/12,-1)</f>
        <v>0</v>
      </c>
      <c r="X678" s="128">
        <f>ROUND(U678*4.5%,-1)</f>
        <v>0</v>
      </c>
      <c r="Y678" s="128">
        <f>ROUNDUP((U678-L678)*3.035%,-1)</f>
        <v>0</v>
      </c>
      <c r="Z678" s="128">
        <f t="shared" ref="Z678:Z689" si="731">ROUNDUP(Y678*6.55%,-1)</f>
        <v>0</v>
      </c>
      <c r="AA678" s="128">
        <f>ROUND(U678*0.9%,-1)</f>
        <v>0</v>
      </c>
      <c r="AB678" s="128">
        <f>ROUND(U678*0.8%,-1)</f>
        <v>0</v>
      </c>
      <c r="AC678" s="501">
        <f t="shared" ref="AC678:AC689" si="732">SUM(W678:AB678)</f>
        <v>0</v>
      </c>
    </row>
    <row r="679" spans="1:30" s="24" customFormat="1" ht="15" hidden="1" customHeight="1">
      <c r="A679" s="1150"/>
      <c r="B679" s="119"/>
      <c r="C679" s="120"/>
      <c r="D679" s="120"/>
      <c r="E679" s="124" t="s">
        <v>534</v>
      </c>
      <c r="F679" s="126">
        <f>F678</f>
        <v>0</v>
      </c>
      <c r="G679" s="126"/>
      <c r="H679" s="126"/>
      <c r="I679" s="126"/>
      <c r="J679" s="126"/>
      <c r="K679" s="126"/>
      <c r="L679" s="126"/>
      <c r="M679" s="126">
        <f>F679*60%</f>
        <v>0</v>
      </c>
      <c r="N679" s="126"/>
      <c r="O679" s="126"/>
      <c r="P679" s="126"/>
      <c r="Q679" s="126"/>
      <c r="R679" s="126">
        <f>Q679*40</f>
        <v>0</v>
      </c>
      <c r="S679" s="126"/>
      <c r="T679" s="127"/>
      <c r="U679" s="122">
        <f>SUM(F679,M679,O679,R679)</f>
        <v>0</v>
      </c>
      <c r="V679" s="333"/>
      <c r="W679" s="338">
        <f t="shared" ref="W679:W689" si="733">ROUNDUP(U679*1/12,-1)</f>
        <v>0</v>
      </c>
      <c r="X679" s="128">
        <f t="shared" ref="X679:X689" si="734">ROUND(U679*4.5%,-1)</f>
        <v>0</v>
      </c>
      <c r="Y679" s="128">
        <f t="shared" ref="Y679:Y689" si="735">ROUNDUP((U679-L679)*3.035%,-1)</f>
        <v>0</v>
      </c>
      <c r="Z679" s="128">
        <f t="shared" si="731"/>
        <v>0</v>
      </c>
      <c r="AA679" s="128">
        <f t="shared" ref="AA679:AA689" si="736">ROUND(U679*0.9%,-1)</f>
        <v>0</v>
      </c>
      <c r="AB679" s="128">
        <f t="shared" ref="AB679:AB689" si="737">ROUND(U679*0.8%,-1)</f>
        <v>0</v>
      </c>
      <c r="AC679" s="129">
        <f t="shared" si="732"/>
        <v>0</v>
      </c>
    </row>
    <row r="680" spans="1:30" s="24" customFormat="1" ht="15" hidden="1" customHeight="1">
      <c r="A680" s="1150"/>
      <c r="B680" s="119"/>
      <c r="C680" s="120"/>
      <c r="D680" s="120"/>
      <c r="E680" s="124" t="s">
        <v>535</v>
      </c>
      <c r="F680" s="126">
        <v>1388000</v>
      </c>
      <c r="G680" s="126"/>
      <c r="H680" s="126"/>
      <c r="I680" s="126"/>
      <c r="J680" s="126"/>
      <c r="K680" s="126"/>
      <c r="L680" s="126"/>
      <c r="M680" s="126" t="s">
        <v>597</v>
      </c>
      <c r="N680" s="126"/>
      <c r="O680" s="126">
        <v>40000</v>
      </c>
      <c r="P680" s="126">
        <f>P679</f>
        <v>0</v>
      </c>
      <c r="Q680" s="126">
        <v>11400</v>
      </c>
      <c r="R680" s="126">
        <f>Q680*40</f>
        <v>456000</v>
      </c>
      <c r="S680" s="126"/>
      <c r="T680" s="127">
        <v>200000</v>
      </c>
      <c r="U680" s="122">
        <f t="shared" ref="U680:U689" si="738">SUM(F680,M680,O680,R680,T680)</f>
        <v>2084000</v>
      </c>
      <c r="V680" s="333"/>
      <c r="W680" s="338">
        <f t="shared" si="733"/>
        <v>173670</v>
      </c>
      <c r="X680" s="128">
        <f t="shared" si="734"/>
        <v>93780</v>
      </c>
      <c r="Y680" s="128">
        <f t="shared" si="735"/>
        <v>63250</v>
      </c>
      <c r="Z680" s="128">
        <f t="shared" si="731"/>
        <v>4150</v>
      </c>
      <c r="AA680" s="128">
        <f t="shared" si="736"/>
        <v>18760</v>
      </c>
      <c r="AB680" s="128">
        <f t="shared" si="737"/>
        <v>16670</v>
      </c>
      <c r="AC680" s="129">
        <f t="shared" si="732"/>
        <v>370280</v>
      </c>
    </row>
    <row r="681" spans="1:30" s="24" customFormat="1" ht="15" hidden="1" customHeight="1">
      <c r="A681" s="1150"/>
      <c r="B681" s="119"/>
      <c r="C681" s="120"/>
      <c r="D681" s="120"/>
      <c r="E681" s="124" t="s">
        <v>536</v>
      </c>
      <c r="F681" s="126">
        <f>F680</f>
        <v>1388000</v>
      </c>
      <c r="G681" s="126"/>
      <c r="H681" s="126"/>
      <c r="I681" s="125"/>
      <c r="J681" s="126"/>
      <c r="K681" s="126"/>
      <c r="L681" s="126"/>
      <c r="M681" s="126">
        <v>0</v>
      </c>
      <c r="N681" s="126"/>
      <c r="O681" s="126">
        <f>O680</f>
        <v>40000</v>
      </c>
      <c r="P681" s="126">
        <f t="shared" ref="P681:P689" si="739">P680</f>
        <v>0</v>
      </c>
      <c r="Q681" s="126">
        <f t="shared" ref="Q681:Q689" si="740">ROUND((F680+T680)*1/209*1.5,-1)</f>
        <v>11400</v>
      </c>
      <c r="R681" s="126">
        <f>Q681*40</f>
        <v>456000</v>
      </c>
      <c r="S681" s="126"/>
      <c r="T681" s="127">
        <v>200000</v>
      </c>
      <c r="U681" s="122">
        <f t="shared" si="738"/>
        <v>2084000</v>
      </c>
      <c r="V681" s="333"/>
      <c r="W681" s="338">
        <f t="shared" si="733"/>
        <v>173670</v>
      </c>
      <c r="X681" s="128">
        <f t="shared" si="734"/>
        <v>93780</v>
      </c>
      <c r="Y681" s="128">
        <f t="shared" si="735"/>
        <v>63250</v>
      </c>
      <c r="Z681" s="128">
        <f t="shared" si="731"/>
        <v>4150</v>
      </c>
      <c r="AA681" s="128">
        <f t="shared" si="736"/>
        <v>18760</v>
      </c>
      <c r="AB681" s="128">
        <f t="shared" si="737"/>
        <v>16670</v>
      </c>
      <c r="AC681" s="129">
        <f t="shared" si="732"/>
        <v>370280</v>
      </c>
    </row>
    <row r="682" spans="1:30" s="24" customFormat="1" ht="15" hidden="1" customHeight="1">
      <c r="A682" s="1150"/>
      <c r="B682" s="119"/>
      <c r="C682" s="120"/>
      <c r="D682" s="120"/>
      <c r="E682" s="124" t="s">
        <v>537</v>
      </c>
      <c r="F682" s="126">
        <f>F681</f>
        <v>1388000</v>
      </c>
      <c r="G682" s="126"/>
      <c r="H682" s="126"/>
      <c r="I682" s="126"/>
      <c r="J682" s="126"/>
      <c r="K682" s="126"/>
      <c r="L682" s="126"/>
      <c r="M682" s="126">
        <v>0</v>
      </c>
      <c r="N682" s="126"/>
      <c r="O682" s="126">
        <f t="shared" ref="O682:O689" si="741">O681</f>
        <v>40000</v>
      </c>
      <c r="P682" s="126">
        <f t="shared" si="739"/>
        <v>0</v>
      </c>
      <c r="Q682" s="126">
        <f t="shared" si="740"/>
        <v>11400</v>
      </c>
      <c r="R682" s="126">
        <f t="shared" ref="R682:R688" si="742">Q682*40</f>
        <v>456000</v>
      </c>
      <c r="S682" s="126"/>
      <c r="T682" s="127">
        <f t="shared" ref="T682:T689" si="743">T681</f>
        <v>200000</v>
      </c>
      <c r="U682" s="122">
        <f t="shared" si="738"/>
        <v>2084000</v>
      </c>
      <c r="V682" s="333"/>
      <c r="W682" s="338">
        <f t="shared" si="733"/>
        <v>173670</v>
      </c>
      <c r="X682" s="128">
        <f t="shared" si="734"/>
        <v>93780</v>
      </c>
      <c r="Y682" s="128">
        <f t="shared" si="735"/>
        <v>63250</v>
      </c>
      <c r="Z682" s="128">
        <f t="shared" si="731"/>
        <v>4150</v>
      </c>
      <c r="AA682" s="128">
        <f t="shared" si="736"/>
        <v>18760</v>
      </c>
      <c r="AB682" s="128">
        <f t="shared" si="737"/>
        <v>16670</v>
      </c>
      <c r="AC682" s="129">
        <f t="shared" si="732"/>
        <v>370280</v>
      </c>
    </row>
    <row r="683" spans="1:30" s="24" customFormat="1" ht="15" hidden="1" customHeight="1">
      <c r="A683" s="1150"/>
      <c r="B683" s="119"/>
      <c r="C683" s="120"/>
      <c r="D683" s="120"/>
      <c r="E683" s="124" t="s">
        <v>538</v>
      </c>
      <c r="F683" s="126">
        <f>F682</f>
        <v>1388000</v>
      </c>
      <c r="G683" s="126"/>
      <c r="H683" s="126"/>
      <c r="I683" s="126"/>
      <c r="J683" s="126"/>
      <c r="K683" s="126"/>
      <c r="L683" s="126"/>
      <c r="M683" s="126">
        <v>0</v>
      </c>
      <c r="N683" s="126"/>
      <c r="O683" s="126">
        <f t="shared" si="741"/>
        <v>40000</v>
      </c>
      <c r="P683" s="126">
        <f t="shared" si="739"/>
        <v>0</v>
      </c>
      <c r="Q683" s="126">
        <f t="shared" si="740"/>
        <v>11400</v>
      </c>
      <c r="R683" s="126">
        <f t="shared" si="742"/>
        <v>456000</v>
      </c>
      <c r="S683" s="126"/>
      <c r="T683" s="127">
        <f t="shared" si="743"/>
        <v>200000</v>
      </c>
      <c r="U683" s="122">
        <f t="shared" si="738"/>
        <v>2084000</v>
      </c>
      <c r="V683" s="333"/>
      <c r="W683" s="338">
        <f t="shared" si="733"/>
        <v>173670</v>
      </c>
      <c r="X683" s="128">
        <f t="shared" si="734"/>
        <v>93780</v>
      </c>
      <c r="Y683" s="128">
        <f t="shared" si="735"/>
        <v>63250</v>
      </c>
      <c r="Z683" s="128">
        <f t="shared" si="731"/>
        <v>4150</v>
      </c>
      <c r="AA683" s="128">
        <f t="shared" si="736"/>
        <v>18760</v>
      </c>
      <c r="AB683" s="128">
        <f t="shared" si="737"/>
        <v>16670</v>
      </c>
      <c r="AC683" s="129">
        <f t="shared" si="732"/>
        <v>370280</v>
      </c>
    </row>
    <row r="684" spans="1:30" s="24" customFormat="1" ht="15" hidden="1" customHeight="1">
      <c r="A684" s="1150"/>
      <c r="B684" s="119"/>
      <c r="C684" s="120"/>
      <c r="D684" s="120"/>
      <c r="E684" s="124" t="s">
        <v>330</v>
      </c>
      <c r="F684" s="128">
        <f>F683</f>
        <v>1388000</v>
      </c>
      <c r="G684" s="126"/>
      <c r="H684" s="125"/>
      <c r="I684" s="127"/>
      <c r="J684" s="126"/>
      <c r="K684" s="126"/>
      <c r="L684" s="126"/>
      <c r="M684" s="126">
        <v>0</v>
      </c>
      <c r="N684" s="126"/>
      <c r="O684" s="126">
        <f t="shared" si="741"/>
        <v>40000</v>
      </c>
      <c r="P684" s="126">
        <f t="shared" si="739"/>
        <v>0</v>
      </c>
      <c r="Q684" s="126">
        <f t="shared" si="740"/>
        <v>11400</v>
      </c>
      <c r="R684" s="126">
        <f t="shared" si="742"/>
        <v>456000</v>
      </c>
      <c r="S684" s="126"/>
      <c r="T684" s="127">
        <f t="shared" si="743"/>
        <v>200000</v>
      </c>
      <c r="U684" s="122">
        <f t="shared" si="738"/>
        <v>2084000</v>
      </c>
      <c r="V684" s="333"/>
      <c r="W684" s="338">
        <f t="shared" si="733"/>
        <v>173670</v>
      </c>
      <c r="X684" s="128">
        <f t="shared" si="734"/>
        <v>93780</v>
      </c>
      <c r="Y684" s="128">
        <f t="shared" si="735"/>
        <v>63250</v>
      </c>
      <c r="Z684" s="128">
        <f t="shared" si="731"/>
        <v>4150</v>
      </c>
      <c r="AA684" s="128">
        <f t="shared" si="736"/>
        <v>18760</v>
      </c>
      <c r="AB684" s="128">
        <f t="shared" si="737"/>
        <v>16670</v>
      </c>
      <c r="AC684" s="129">
        <f t="shared" si="732"/>
        <v>370280</v>
      </c>
    </row>
    <row r="685" spans="1:30" s="24" customFormat="1" ht="15" hidden="1" customHeight="1">
      <c r="A685" s="1150"/>
      <c r="B685" s="119"/>
      <c r="C685" s="120"/>
      <c r="D685" s="120"/>
      <c r="E685" s="124" t="s">
        <v>331</v>
      </c>
      <c r="F685" s="126">
        <f>F684</f>
        <v>1388000</v>
      </c>
      <c r="G685" s="126"/>
      <c r="H685" s="126"/>
      <c r="I685" s="126"/>
      <c r="J685" s="126"/>
      <c r="K685" s="126"/>
      <c r="L685" s="126"/>
      <c r="M685" s="126">
        <v>0</v>
      </c>
      <c r="N685" s="126"/>
      <c r="O685" s="126">
        <f t="shared" si="741"/>
        <v>40000</v>
      </c>
      <c r="P685" s="126">
        <f t="shared" si="739"/>
        <v>0</v>
      </c>
      <c r="Q685" s="126">
        <f t="shared" si="740"/>
        <v>11400</v>
      </c>
      <c r="R685" s="126">
        <f t="shared" si="742"/>
        <v>456000</v>
      </c>
      <c r="S685" s="126"/>
      <c r="T685" s="127">
        <f t="shared" si="743"/>
        <v>200000</v>
      </c>
      <c r="U685" s="122">
        <f t="shared" si="738"/>
        <v>2084000</v>
      </c>
      <c r="V685" s="333"/>
      <c r="W685" s="338">
        <f t="shared" si="733"/>
        <v>173670</v>
      </c>
      <c r="X685" s="128">
        <f t="shared" si="734"/>
        <v>93780</v>
      </c>
      <c r="Y685" s="128">
        <f t="shared" si="735"/>
        <v>63250</v>
      </c>
      <c r="Z685" s="128">
        <f t="shared" si="731"/>
        <v>4150</v>
      </c>
      <c r="AA685" s="128">
        <f t="shared" si="736"/>
        <v>18760</v>
      </c>
      <c r="AB685" s="128">
        <f t="shared" si="737"/>
        <v>16670</v>
      </c>
      <c r="AC685" s="129">
        <f t="shared" si="732"/>
        <v>370280</v>
      </c>
    </row>
    <row r="686" spans="1:30" s="24" customFormat="1" ht="15" hidden="1" customHeight="1">
      <c r="A686" s="1150"/>
      <c r="B686" s="119"/>
      <c r="C686" s="120"/>
      <c r="D686" s="120"/>
      <c r="E686" s="124" t="s">
        <v>62</v>
      </c>
      <c r="F686" s="126">
        <f>F684</f>
        <v>1388000</v>
      </c>
      <c r="G686" s="126"/>
      <c r="H686" s="126"/>
      <c r="I686" s="126"/>
      <c r="J686" s="126"/>
      <c r="K686" s="126"/>
      <c r="L686" s="126"/>
      <c r="M686" s="126">
        <f>F686*60%</f>
        <v>832800</v>
      </c>
      <c r="N686" s="126"/>
      <c r="O686" s="126">
        <f t="shared" si="741"/>
        <v>40000</v>
      </c>
      <c r="P686" s="126">
        <f t="shared" si="739"/>
        <v>0</v>
      </c>
      <c r="Q686" s="126">
        <f t="shared" si="740"/>
        <v>11400</v>
      </c>
      <c r="R686" s="126">
        <f t="shared" si="742"/>
        <v>456000</v>
      </c>
      <c r="S686" s="126"/>
      <c r="T686" s="127">
        <f t="shared" si="743"/>
        <v>200000</v>
      </c>
      <c r="U686" s="122">
        <f t="shared" si="738"/>
        <v>2916800</v>
      </c>
      <c r="V686" s="333"/>
      <c r="W686" s="338">
        <f t="shared" si="733"/>
        <v>243070</v>
      </c>
      <c r="X686" s="128">
        <f t="shared" si="734"/>
        <v>131260</v>
      </c>
      <c r="Y686" s="128">
        <f t="shared" si="735"/>
        <v>88530</v>
      </c>
      <c r="Z686" s="128">
        <f t="shared" si="731"/>
        <v>5800</v>
      </c>
      <c r="AA686" s="128">
        <f t="shared" si="736"/>
        <v>26250</v>
      </c>
      <c r="AB686" s="128">
        <f t="shared" si="737"/>
        <v>23330</v>
      </c>
      <c r="AC686" s="129">
        <f t="shared" si="732"/>
        <v>518240</v>
      </c>
    </row>
    <row r="687" spans="1:30" s="24" customFormat="1" ht="15" hidden="1" customHeight="1">
      <c r="A687" s="1150"/>
      <c r="B687" s="119"/>
      <c r="C687" s="120"/>
      <c r="D687" s="120"/>
      <c r="E687" s="124" t="s">
        <v>63</v>
      </c>
      <c r="F687" s="127">
        <f>F686</f>
        <v>1388000</v>
      </c>
      <c r="G687" s="126"/>
      <c r="H687" s="126"/>
      <c r="I687" s="127"/>
      <c r="J687" s="126"/>
      <c r="K687" s="126"/>
      <c r="L687" s="126"/>
      <c r="M687" s="126">
        <v>0</v>
      </c>
      <c r="N687" s="126"/>
      <c r="O687" s="126">
        <f t="shared" si="741"/>
        <v>40000</v>
      </c>
      <c r="P687" s="126">
        <f t="shared" si="739"/>
        <v>0</v>
      </c>
      <c r="Q687" s="126">
        <f t="shared" si="740"/>
        <v>11400</v>
      </c>
      <c r="R687" s="126">
        <f t="shared" si="742"/>
        <v>456000</v>
      </c>
      <c r="S687" s="126"/>
      <c r="T687" s="127">
        <f t="shared" si="743"/>
        <v>200000</v>
      </c>
      <c r="U687" s="122">
        <f t="shared" si="738"/>
        <v>2084000</v>
      </c>
      <c r="V687" s="333"/>
      <c r="W687" s="338">
        <f t="shared" si="733"/>
        <v>173670</v>
      </c>
      <c r="X687" s="128">
        <f t="shared" si="734"/>
        <v>93780</v>
      </c>
      <c r="Y687" s="128">
        <f t="shared" si="735"/>
        <v>63250</v>
      </c>
      <c r="Z687" s="128">
        <f t="shared" si="731"/>
        <v>4150</v>
      </c>
      <c r="AA687" s="128">
        <f t="shared" si="736"/>
        <v>18760</v>
      </c>
      <c r="AB687" s="128">
        <f t="shared" si="737"/>
        <v>16670</v>
      </c>
      <c r="AC687" s="129">
        <f t="shared" si="732"/>
        <v>370280</v>
      </c>
    </row>
    <row r="688" spans="1:30" s="24" customFormat="1" ht="15" hidden="1" customHeight="1">
      <c r="A688" s="1150"/>
      <c r="B688" s="119"/>
      <c r="C688" s="120"/>
      <c r="D688" s="120"/>
      <c r="E688" s="124" t="s">
        <v>64</v>
      </c>
      <c r="F688" s="126">
        <f>F687</f>
        <v>1388000</v>
      </c>
      <c r="G688" s="126"/>
      <c r="H688" s="126"/>
      <c r="I688" s="126"/>
      <c r="J688" s="126"/>
      <c r="K688" s="126"/>
      <c r="L688" s="126"/>
      <c r="M688" s="126">
        <v>0</v>
      </c>
      <c r="N688" s="126"/>
      <c r="O688" s="126">
        <f t="shared" si="741"/>
        <v>40000</v>
      </c>
      <c r="P688" s="126">
        <f t="shared" si="739"/>
        <v>0</v>
      </c>
      <c r="Q688" s="126">
        <f t="shared" si="740"/>
        <v>11400</v>
      </c>
      <c r="R688" s="126">
        <f t="shared" si="742"/>
        <v>456000</v>
      </c>
      <c r="S688" s="126"/>
      <c r="T688" s="127">
        <f t="shared" si="743"/>
        <v>200000</v>
      </c>
      <c r="U688" s="122">
        <f t="shared" si="738"/>
        <v>2084000</v>
      </c>
      <c r="V688" s="333"/>
      <c r="W688" s="338">
        <f t="shared" si="733"/>
        <v>173670</v>
      </c>
      <c r="X688" s="128">
        <f t="shared" si="734"/>
        <v>93780</v>
      </c>
      <c r="Y688" s="128">
        <f t="shared" si="735"/>
        <v>63250</v>
      </c>
      <c r="Z688" s="128">
        <f t="shared" si="731"/>
        <v>4150</v>
      </c>
      <c r="AA688" s="128">
        <f t="shared" si="736"/>
        <v>18760</v>
      </c>
      <c r="AB688" s="128">
        <f t="shared" si="737"/>
        <v>16670</v>
      </c>
      <c r="AC688" s="129">
        <f t="shared" si="732"/>
        <v>370280</v>
      </c>
    </row>
    <row r="689" spans="1:29" s="24" customFormat="1" ht="15" hidden="1" customHeight="1">
      <c r="A689" s="1151"/>
      <c r="B689" s="130"/>
      <c r="C689" s="131"/>
      <c r="D689" s="131"/>
      <c r="E689" s="342" t="s">
        <v>539</v>
      </c>
      <c r="F689" s="343">
        <f>F688</f>
        <v>1388000</v>
      </c>
      <c r="G689" s="343"/>
      <c r="H689" s="343"/>
      <c r="I689" s="343"/>
      <c r="J689" s="343"/>
      <c r="K689" s="343"/>
      <c r="L689" s="343"/>
      <c r="M689" s="343">
        <v>0</v>
      </c>
      <c r="N689" s="343"/>
      <c r="O689" s="343">
        <f t="shared" si="741"/>
        <v>40000</v>
      </c>
      <c r="P689" s="126">
        <f t="shared" si="739"/>
        <v>0</v>
      </c>
      <c r="Q689" s="343">
        <f t="shared" si="740"/>
        <v>11400</v>
      </c>
      <c r="R689" s="343">
        <f>Q689*40*2</f>
        <v>912000</v>
      </c>
      <c r="S689" s="343"/>
      <c r="T689" s="344">
        <f t="shared" si="743"/>
        <v>200000</v>
      </c>
      <c r="U689" s="122">
        <f t="shared" si="738"/>
        <v>2540000</v>
      </c>
      <c r="V689" s="335"/>
      <c r="W689" s="338">
        <f t="shared" si="733"/>
        <v>211670</v>
      </c>
      <c r="X689" s="128">
        <f t="shared" si="734"/>
        <v>114300</v>
      </c>
      <c r="Y689" s="128">
        <f t="shared" si="735"/>
        <v>77090</v>
      </c>
      <c r="Z689" s="128">
        <f t="shared" si="731"/>
        <v>5050</v>
      </c>
      <c r="AA689" s="128">
        <f t="shared" si="736"/>
        <v>22860</v>
      </c>
      <c r="AB689" s="128">
        <f t="shared" si="737"/>
        <v>20320</v>
      </c>
      <c r="AC689" s="347">
        <f t="shared" si="732"/>
        <v>451290</v>
      </c>
    </row>
    <row r="690" spans="1:29" s="24" customFormat="1" ht="22.5" hidden="1" customHeight="1">
      <c r="A690" s="1152">
        <v>2</v>
      </c>
      <c r="B690" s="502" t="s">
        <v>562</v>
      </c>
      <c r="C690" s="503">
        <v>2</v>
      </c>
      <c r="D690" s="503">
        <v>1</v>
      </c>
      <c r="E690" s="504" t="s">
        <v>531</v>
      </c>
      <c r="F690" s="505">
        <f t="shared" ref="F690:U690" si="744">SUM(F691:F702)</f>
        <v>0</v>
      </c>
      <c r="G690" s="505">
        <f t="shared" si="744"/>
        <v>0</v>
      </c>
      <c r="H690" s="505">
        <f t="shared" si="744"/>
        <v>0</v>
      </c>
      <c r="I690" s="505">
        <f t="shared" si="744"/>
        <v>0</v>
      </c>
      <c r="J690" s="505">
        <f t="shared" si="744"/>
        <v>0</v>
      </c>
      <c r="K690" s="505">
        <f t="shared" si="744"/>
        <v>0</v>
      </c>
      <c r="L690" s="505">
        <f t="shared" si="744"/>
        <v>0</v>
      </c>
      <c r="M690" s="505">
        <f t="shared" si="744"/>
        <v>0</v>
      </c>
      <c r="N690" s="505">
        <f t="shared" si="744"/>
        <v>0</v>
      </c>
      <c r="O690" s="505">
        <f t="shared" si="744"/>
        <v>0</v>
      </c>
      <c r="P690" s="133"/>
      <c r="Q690" s="505"/>
      <c r="R690" s="505">
        <f>SUM(R691:R702)</f>
        <v>0</v>
      </c>
      <c r="S690" s="505">
        <f t="shared" si="744"/>
        <v>0</v>
      </c>
      <c r="T690" s="505">
        <f t="shared" si="744"/>
        <v>0</v>
      </c>
      <c r="U690" s="505">
        <f t="shared" si="744"/>
        <v>0</v>
      </c>
      <c r="V690" s="506"/>
      <c r="W690" s="507">
        <f t="shared" ref="W690:AC690" si="745">SUM(W691:W702)</f>
        <v>0</v>
      </c>
      <c r="X690" s="505">
        <f t="shared" si="745"/>
        <v>0</v>
      </c>
      <c r="Y690" s="505">
        <f t="shared" si="745"/>
        <v>0</v>
      </c>
      <c r="Z690" s="505">
        <f t="shared" si="745"/>
        <v>0</v>
      </c>
      <c r="AA690" s="505">
        <f t="shared" si="745"/>
        <v>0</v>
      </c>
      <c r="AB690" s="505">
        <f t="shared" si="745"/>
        <v>0</v>
      </c>
      <c r="AC690" s="508">
        <f t="shared" si="745"/>
        <v>0</v>
      </c>
    </row>
    <row r="691" spans="1:29" s="24" customFormat="1" ht="17.25" hidden="1" customHeight="1">
      <c r="A691" s="1150"/>
      <c r="B691" s="493"/>
      <c r="C691" s="494"/>
      <c r="D691" s="494"/>
      <c r="E691" s="495" t="s">
        <v>533</v>
      </c>
      <c r="F691" s="498"/>
      <c r="G691" s="497"/>
      <c r="H691" s="498"/>
      <c r="I691" s="496"/>
      <c r="J691" s="497"/>
      <c r="K691" s="497"/>
      <c r="L691" s="497"/>
      <c r="M691" s="126">
        <f>F691*50%</f>
        <v>0</v>
      </c>
      <c r="N691" s="497"/>
      <c r="O691" s="497"/>
      <c r="P691" s="323"/>
      <c r="Q691" s="323"/>
      <c r="R691" s="126"/>
      <c r="S691" s="497"/>
      <c r="T691" s="496"/>
      <c r="U691" s="122">
        <f>SUM(F691:T691)-Q691</f>
        <v>0</v>
      </c>
      <c r="V691" s="499"/>
      <c r="W691" s="511">
        <f>ROUNDUP(U691*1/12,-1)</f>
        <v>0</v>
      </c>
      <c r="X691" s="500">
        <f t="shared" ref="X691:X702" si="746">ROUND(U691*4.5%,-1)</f>
        <v>0</v>
      </c>
      <c r="Y691" s="128">
        <f>ROUNDUP((U691-L691)*2.82%,-1)</f>
        <v>0</v>
      </c>
      <c r="Z691" s="128">
        <f>ROUNDUP(Y691*6.55%,-1)</f>
        <v>0</v>
      </c>
      <c r="AA691" s="571">
        <f>ROUND(U691*0.8%,-1)</f>
        <v>0</v>
      </c>
      <c r="AB691" s="500">
        <f>ROUND(U691*0.785%,-1)</f>
        <v>0</v>
      </c>
      <c r="AC691" s="501">
        <f t="shared" ref="AC691:AC702" si="747">SUM(W691:AB691)</f>
        <v>0</v>
      </c>
    </row>
    <row r="692" spans="1:29" s="24" customFormat="1" ht="17.25" hidden="1" customHeight="1">
      <c r="A692" s="1150"/>
      <c r="B692" s="119"/>
      <c r="C692" s="120"/>
      <c r="D692" s="120"/>
      <c r="E692" s="124" t="s">
        <v>534</v>
      </c>
      <c r="F692" s="126">
        <f>F691</f>
        <v>0</v>
      </c>
      <c r="G692" s="126"/>
      <c r="H692" s="126"/>
      <c r="I692" s="126"/>
      <c r="J692" s="126"/>
      <c r="K692" s="126"/>
      <c r="L692" s="126"/>
      <c r="M692" s="126"/>
      <c r="N692" s="126"/>
      <c r="O692" s="126"/>
      <c r="P692" s="126">
        <f>(M691+M699)/12</f>
        <v>0</v>
      </c>
      <c r="Q692" s="126">
        <f>ROUND((F691+P692+T692)*1/209*1.5,-1)</f>
        <v>0</v>
      </c>
      <c r="R692" s="126"/>
      <c r="S692" s="126"/>
      <c r="T692" s="127"/>
      <c r="U692" s="122">
        <f t="shared" ref="U692:U702" si="748">SUM(F692:T692)-Q692</f>
        <v>0</v>
      </c>
      <c r="V692" s="333"/>
      <c r="W692" s="334">
        <f t="shared" ref="W692:W702" si="749">ROUNDUP(U692*1/12,-1)</f>
        <v>0</v>
      </c>
      <c r="X692" s="128">
        <f t="shared" si="746"/>
        <v>0</v>
      </c>
      <c r="Y692" s="128">
        <f t="shared" ref="Y692:Y702" si="750">ROUNDUP((U692-L692)*2.82%,-1)</f>
        <v>0</v>
      </c>
      <c r="Z692" s="128">
        <f t="shared" ref="Z692:Z702" si="751">ROUNDUP(Y692*6.55%,-1)</f>
        <v>0</v>
      </c>
      <c r="AA692" s="128">
        <f t="shared" ref="AA692:AA702" si="752">ROUND(U692*0.8%,-1)</f>
        <v>0</v>
      </c>
      <c r="AB692" s="128">
        <f t="shared" ref="AB692:AB702" si="753">ROUND(U692*0.785%,-1)</f>
        <v>0</v>
      </c>
      <c r="AC692" s="129">
        <f t="shared" si="747"/>
        <v>0</v>
      </c>
    </row>
    <row r="693" spans="1:29" s="24" customFormat="1" ht="17.25" hidden="1" customHeight="1">
      <c r="A693" s="1150"/>
      <c r="B693" s="119"/>
      <c r="C693" s="120"/>
      <c r="D693" s="120"/>
      <c r="E693" s="124" t="s">
        <v>535</v>
      </c>
      <c r="F693" s="126">
        <f>F691</f>
        <v>0</v>
      </c>
      <c r="G693" s="126"/>
      <c r="H693" s="126"/>
      <c r="I693" s="126"/>
      <c r="J693" s="126"/>
      <c r="K693" s="126"/>
      <c r="L693" s="126"/>
      <c r="M693" s="126" t="s">
        <v>597</v>
      </c>
      <c r="N693" s="126"/>
      <c r="O693" s="126"/>
      <c r="P693" s="126">
        <f t="shared" ref="P693:P702" si="754">P692</f>
        <v>0</v>
      </c>
      <c r="Q693" s="126">
        <f t="shared" ref="Q693:Q702" si="755">ROUND((F692+P693+T693)*1/209*1.5,-1)</f>
        <v>0</v>
      </c>
      <c r="R693" s="126"/>
      <c r="S693" s="126"/>
      <c r="T693" s="127"/>
      <c r="U693" s="122">
        <f t="shared" si="748"/>
        <v>0</v>
      </c>
      <c r="V693" s="333"/>
      <c r="W693" s="334">
        <f t="shared" si="749"/>
        <v>0</v>
      </c>
      <c r="X693" s="128">
        <f t="shared" si="746"/>
        <v>0</v>
      </c>
      <c r="Y693" s="128">
        <f t="shared" si="750"/>
        <v>0</v>
      </c>
      <c r="Z693" s="128">
        <f t="shared" si="751"/>
        <v>0</v>
      </c>
      <c r="AA693" s="128">
        <f t="shared" si="752"/>
        <v>0</v>
      </c>
      <c r="AB693" s="128">
        <f t="shared" si="753"/>
        <v>0</v>
      </c>
      <c r="AC693" s="129">
        <f t="shared" si="747"/>
        <v>0</v>
      </c>
    </row>
    <row r="694" spans="1:29" s="24" customFormat="1" ht="17.25" hidden="1" customHeight="1">
      <c r="A694" s="1150"/>
      <c r="B694" s="119"/>
      <c r="C694" s="120"/>
      <c r="D694" s="120"/>
      <c r="E694" s="124" t="s">
        <v>536</v>
      </c>
      <c r="F694" s="126">
        <f>F691</f>
        <v>0</v>
      </c>
      <c r="G694" s="126"/>
      <c r="H694" s="126"/>
      <c r="I694" s="126"/>
      <c r="J694" s="126"/>
      <c r="K694" s="126"/>
      <c r="L694" s="126"/>
      <c r="M694" s="126">
        <v>0</v>
      </c>
      <c r="N694" s="126"/>
      <c r="O694" s="126"/>
      <c r="P694" s="126">
        <f t="shared" si="754"/>
        <v>0</v>
      </c>
      <c r="Q694" s="126">
        <f t="shared" si="755"/>
        <v>0</v>
      </c>
      <c r="R694" s="126"/>
      <c r="S694" s="126"/>
      <c r="T694" s="127"/>
      <c r="U694" s="122">
        <f t="shared" si="748"/>
        <v>0</v>
      </c>
      <c r="V694" s="333"/>
      <c r="W694" s="334">
        <f t="shared" si="749"/>
        <v>0</v>
      </c>
      <c r="X694" s="128">
        <f t="shared" si="746"/>
        <v>0</v>
      </c>
      <c r="Y694" s="128">
        <f t="shared" si="750"/>
        <v>0</v>
      </c>
      <c r="Z694" s="128">
        <f t="shared" si="751"/>
        <v>0</v>
      </c>
      <c r="AA694" s="128">
        <f t="shared" si="752"/>
        <v>0</v>
      </c>
      <c r="AB694" s="128">
        <f t="shared" si="753"/>
        <v>0</v>
      </c>
      <c r="AC694" s="129">
        <f t="shared" si="747"/>
        <v>0</v>
      </c>
    </row>
    <row r="695" spans="1:29" s="24" customFormat="1" ht="17.25" hidden="1" customHeight="1">
      <c r="A695" s="1150"/>
      <c r="B695" s="119"/>
      <c r="C695" s="120"/>
      <c r="D695" s="120"/>
      <c r="E695" s="124" t="s">
        <v>537</v>
      </c>
      <c r="F695" s="126">
        <f>F691</f>
        <v>0</v>
      </c>
      <c r="G695" s="126"/>
      <c r="H695" s="126"/>
      <c r="I695" s="126"/>
      <c r="J695" s="126"/>
      <c r="K695" s="126"/>
      <c r="L695" s="126"/>
      <c r="M695" s="126">
        <v>0</v>
      </c>
      <c r="N695" s="126"/>
      <c r="O695" s="126"/>
      <c r="P695" s="126">
        <f t="shared" si="754"/>
        <v>0</v>
      </c>
      <c r="Q695" s="126">
        <f t="shared" si="755"/>
        <v>0</v>
      </c>
      <c r="R695" s="126"/>
      <c r="S695" s="126"/>
      <c r="T695" s="127"/>
      <c r="U695" s="122">
        <f t="shared" si="748"/>
        <v>0</v>
      </c>
      <c r="V695" s="333"/>
      <c r="W695" s="334">
        <f t="shared" si="749"/>
        <v>0</v>
      </c>
      <c r="X695" s="128">
        <f t="shared" si="746"/>
        <v>0</v>
      </c>
      <c r="Y695" s="128">
        <f t="shared" si="750"/>
        <v>0</v>
      </c>
      <c r="Z695" s="128">
        <f t="shared" si="751"/>
        <v>0</v>
      </c>
      <c r="AA695" s="128">
        <f t="shared" si="752"/>
        <v>0</v>
      </c>
      <c r="AB695" s="128">
        <f t="shared" si="753"/>
        <v>0</v>
      </c>
      <c r="AC695" s="129">
        <f t="shared" si="747"/>
        <v>0</v>
      </c>
    </row>
    <row r="696" spans="1:29" s="24" customFormat="1" ht="17.25" hidden="1" customHeight="1">
      <c r="A696" s="1150"/>
      <c r="B696" s="119"/>
      <c r="C696" s="120"/>
      <c r="D696" s="120"/>
      <c r="E696" s="124" t="s">
        <v>538</v>
      </c>
      <c r="F696" s="126">
        <f>F691</f>
        <v>0</v>
      </c>
      <c r="G696" s="126"/>
      <c r="H696" s="126"/>
      <c r="I696" s="126"/>
      <c r="J696" s="126"/>
      <c r="K696" s="126"/>
      <c r="L696" s="126"/>
      <c r="M696" s="126">
        <v>0</v>
      </c>
      <c r="N696" s="126"/>
      <c r="O696" s="126"/>
      <c r="P696" s="126">
        <f t="shared" si="754"/>
        <v>0</v>
      </c>
      <c r="Q696" s="126">
        <f t="shared" si="755"/>
        <v>0</v>
      </c>
      <c r="R696" s="126"/>
      <c r="S696" s="126"/>
      <c r="T696" s="127"/>
      <c r="U696" s="122">
        <f t="shared" si="748"/>
        <v>0</v>
      </c>
      <c r="V696" s="333"/>
      <c r="W696" s="334">
        <f t="shared" si="749"/>
        <v>0</v>
      </c>
      <c r="X696" s="128">
        <f t="shared" si="746"/>
        <v>0</v>
      </c>
      <c r="Y696" s="128">
        <f t="shared" si="750"/>
        <v>0</v>
      </c>
      <c r="Z696" s="128">
        <f t="shared" si="751"/>
        <v>0</v>
      </c>
      <c r="AA696" s="128">
        <f t="shared" si="752"/>
        <v>0</v>
      </c>
      <c r="AB696" s="128">
        <f t="shared" si="753"/>
        <v>0</v>
      </c>
      <c r="AC696" s="129">
        <f t="shared" si="747"/>
        <v>0</v>
      </c>
    </row>
    <row r="697" spans="1:29" s="24" customFormat="1" ht="17.25" hidden="1" customHeight="1">
      <c r="A697" s="1150"/>
      <c r="B697" s="119"/>
      <c r="C697" s="120"/>
      <c r="D697" s="120"/>
      <c r="E697" s="124" t="s">
        <v>330</v>
      </c>
      <c r="F697" s="128">
        <f t="shared" ref="F697:F702" si="756">F696</f>
        <v>0</v>
      </c>
      <c r="G697" s="126"/>
      <c r="H697" s="125"/>
      <c r="I697" s="127"/>
      <c r="J697" s="126"/>
      <c r="K697" s="126"/>
      <c r="L697" s="126"/>
      <c r="M697" s="126">
        <v>0</v>
      </c>
      <c r="N697" s="126"/>
      <c r="O697" s="126"/>
      <c r="P697" s="126">
        <f t="shared" si="754"/>
        <v>0</v>
      </c>
      <c r="Q697" s="126">
        <f t="shared" si="755"/>
        <v>0</v>
      </c>
      <c r="R697" s="126"/>
      <c r="S697" s="126"/>
      <c r="T697" s="127"/>
      <c r="U697" s="122">
        <f t="shared" si="748"/>
        <v>0</v>
      </c>
      <c r="V697" s="333"/>
      <c r="W697" s="334">
        <f t="shared" si="749"/>
        <v>0</v>
      </c>
      <c r="X697" s="128">
        <f t="shared" si="746"/>
        <v>0</v>
      </c>
      <c r="Y697" s="128">
        <f t="shared" si="750"/>
        <v>0</v>
      </c>
      <c r="Z697" s="128">
        <f t="shared" si="751"/>
        <v>0</v>
      </c>
      <c r="AA697" s="128">
        <f t="shared" si="752"/>
        <v>0</v>
      </c>
      <c r="AB697" s="128">
        <f t="shared" si="753"/>
        <v>0</v>
      </c>
      <c r="AC697" s="129">
        <f t="shared" si="747"/>
        <v>0</v>
      </c>
    </row>
    <row r="698" spans="1:29" s="24" customFormat="1" ht="17.25" hidden="1" customHeight="1">
      <c r="A698" s="1150"/>
      <c r="B698" s="119"/>
      <c r="C698" s="120"/>
      <c r="D698" s="120"/>
      <c r="E698" s="124" t="s">
        <v>331</v>
      </c>
      <c r="F698" s="126">
        <f t="shared" si="756"/>
        <v>0</v>
      </c>
      <c r="G698" s="126"/>
      <c r="H698" s="126"/>
      <c r="I698" s="126"/>
      <c r="J698" s="126"/>
      <c r="K698" s="126"/>
      <c r="L698" s="126"/>
      <c r="M698" s="126">
        <v>0</v>
      </c>
      <c r="N698" s="126"/>
      <c r="O698" s="126"/>
      <c r="P698" s="126">
        <f t="shared" si="754"/>
        <v>0</v>
      </c>
      <c r="Q698" s="126">
        <f t="shared" si="755"/>
        <v>0</v>
      </c>
      <c r="R698" s="126"/>
      <c r="S698" s="126"/>
      <c r="T698" s="127"/>
      <c r="U698" s="122">
        <f t="shared" si="748"/>
        <v>0</v>
      </c>
      <c r="V698" s="333"/>
      <c r="W698" s="334">
        <f t="shared" si="749"/>
        <v>0</v>
      </c>
      <c r="X698" s="128">
        <f t="shared" si="746"/>
        <v>0</v>
      </c>
      <c r="Y698" s="128">
        <f t="shared" si="750"/>
        <v>0</v>
      </c>
      <c r="Z698" s="128">
        <f t="shared" si="751"/>
        <v>0</v>
      </c>
      <c r="AA698" s="128">
        <f t="shared" si="752"/>
        <v>0</v>
      </c>
      <c r="AB698" s="128">
        <f t="shared" si="753"/>
        <v>0</v>
      </c>
      <c r="AC698" s="129">
        <f t="shared" si="747"/>
        <v>0</v>
      </c>
    </row>
    <row r="699" spans="1:29" s="24" customFormat="1" ht="17.25" hidden="1" customHeight="1">
      <c r="A699" s="1150"/>
      <c r="B699" s="119"/>
      <c r="C699" s="120"/>
      <c r="D699" s="120"/>
      <c r="E699" s="124" t="s">
        <v>62</v>
      </c>
      <c r="F699" s="126">
        <f t="shared" si="756"/>
        <v>0</v>
      </c>
      <c r="G699" s="126"/>
      <c r="H699" s="126"/>
      <c r="I699" s="126"/>
      <c r="J699" s="126"/>
      <c r="K699" s="126"/>
      <c r="L699" s="126"/>
      <c r="M699" s="126">
        <f>F699*50%</f>
        <v>0</v>
      </c>
      <c r="N699" s="126"/>
      <c r="O699" s="126"/>
      <c r="P699" s="126">
        <f t="shared" si="754"/>
        <v>0</v>
      </c>
      <c r="Q699" s="126">
        <f t="shared" si="755"/>
        <v>0</v>
      </c>
      <c r="R699" s="126"/>
      <c r="S699" s="126"/>
      <c r="T699" s="127"/>
      <c r="U699" s="122">
        <f t="shared" si="748"/>
        <v>0</v>
      </c>
      <c r="V699" s="333"/>
      <c r="W699" s="334">
        <f t="shared" si="749"/>
        <v>0</v>
      </c>
      <c r="X699" s="128">
        <f t="shared" si="746"/>
        <v>0</v>
      </c>
      <c r="Y699" s="128">
        <f t="shared" si="750"/>
        <v>0</v>
      </c>
      <c r="Z699" s="128">
        <f t="shared" si="751"/>
        <v>0</v>
      </c>
      <c r="AA699" s="128">
        <f t="shared" si="752"/>
        <v>0</v>
      </c>
      <c r="AB699" s="128">
        <f t="shared" si="753"/>
        <v>0</v>
      </c>
      <c r="AC699" s="129">
        <f t="shared" si="747"/>
        <v>0</v>
      </c>
    </row>
    <row r="700" spans="1:29" s="24" customFormat="1" ht="17.25" hidden="1" customHeight="1">
      <c r="A700" s="1150"/>
      <c r="B700" s="119"/>
      <c r="C700" s="120"/>
      <c r="D700" s="120"/>
      <c r="E700" s="124" t="s">
        <v>63</v>
      </c>
      <c r="F700" s="125">
        <f t="shared" si="756"/>
        <v>0</v>
      </c>
      <c r="G700" s="126"/>
      <c r="H700" s="126"/>
      <c r="I700" s="125"/>
      <c r="J700" s="126"/>
      <c r="K700" s="126"/>
      <c r="L700" s="126"/>
      <c r="M700" s="126">
        <v>0</v>
      </c>
      <c r="N700" s="126"/>
      <c r="O700" s="126"/>
      <c r="P700" s="126">
        <f t="shared" si="754"/>
        <v>0</v>
      </c>
      <c r="Q700" s="126">
        <f t="shared" si="755"/>
        <v>0</v>
      </c>
      <c r="R700" s="126"/>
      <c r="S700" s="126"/>
      <c r="T700" s="127"/>
      <c r="U700" s="122">
        <f t="shared" si="748"/>
        <v>0</v>
      </c>
      <c r="V700" s="333"/>
      <c r="W700" s="334">
        <f t="shared" si="749"/>
        <v>0</v>
      </c>
      <c r="X700" s="128">
        <f t="shared" si="746"/>
        <v>0</v>
      </c>
      <c r="Y700" s="128">
        <f t="shared" si="750"/>
        <v>0</v>
      </c>
      <c r="Z700" s="128">
        <f t="shared" si="751"/>
        <v>0</v>
      </c>
      <c r="AA700" s="128">
        <f t="shared" si="752"/>
        <v>0</v>
      </c>
      <c r="AB700" s="128">
        <f t="shared" si="753"/>
        <v>0</v>
      </c>
      <c r="AC700" s="129">
        <f t="shared" si="747"/>
        <v>0</v>
      </c>
    </row>
    <row r="701" spans="1:29" s="24" customFormat="1" ht="17.25" hidden="1" customHeight="1">
      <c r="A701" s="1150"/>
      <c r="B701" s="119"/>
      <c r="C701" s="120"/>
      <c r="D701" s="120"/>
      <c r="E701" s="124" t="s">
        <v>64</v>
      </c>
      <c r="F701" s="126">
        <f t="shared" si="756"/>
        <v>0</v>
      </c>
      <c r="G701" s="126"/>
      <c r="H701" s="126"/>
      <c r="I701" s="126"/>
      <c r="J701" s="126"/>
      <c r="K701" s="126"/>
      <c r="L701" s="126"/>
      <c r="M701" s="126">
        <v>0</v>
      </c>
      <c r="N701" s="126"/>
      <c r="O701" s="126"/>
      <c r="P701" s="126">
        <f t="shared" si="754"/>
        <v>0</v>
      </c>
      <c r="Q701" s="126">
        <f t="shared" si="755"/>
        <v>0</v>
      </c>
      <c r="R701" s="126"/>
      <c r="S701" s="126"/>
      <c r="T701" s="127"/>
      <c r="U701" s="122">
        <f t="shared" si="748"/>
        <v>0</v>
      </c>
      <c r="V701" s="333"/>
      <c r="W701" s="334">
        <f t="shared" si="749"/>
        <v>0</v>
      </c>
      <c r="X701" s="128">
        <f t="shared" si="746"/>
        <v>0</v>
      </c>
      <c r="Y701" s="128">
        <f t="shared" si="750"/>
        <v>0</v>
      </c>
      <c r="Z701" s="128">
        <f t="shared" si="751"/>
        <v>0</v>
      </c>
      <c r="AA701" s="128">
        <f t="shared" si="752"/>
        <v>0</v>
      </c>
      <c r="AB701" s="128">
        <f t="shared" si="753"/>
        <v>0</v>
      </c>
      <c r="AC701" s="129">
        <f t="shared" si="747"/>
        <v>0</v>
      </c>
    </row>
    <row r="702" spans="1:29" s="24" customFormat="1" ht="17.25" hidden="1" customHeight="1">
      <c r="A702" s="1151"/>
      <c r="B702" s="130"/>
      <c r="C702" s="131"/>
      <c r="D702" s="131"/>
      <c r="E702" s="342" t="s">
        <v>539</v>
      </c>
      <c r="F702" s="343">
        <f t="shared" si="756"/>
        <v>0</v>
      </c>
      <c r="G702" s="343"/>
      <c r="H702" s="343"/>
      <c r="I702" s="343"/>
      <c r="J702" s="343"/>
      <c r="K702" s="343"/>
      <c r="L702" s="343"/>
      <c r="M702" s="343">
        <v>0</v>
      </c>
      <c r="N702" s="343"/>
      <c r="O702" s="343"/>
      <c r="P702" s="126">
        <f t="shared" si="754"/>
        <v>0</v>
      </c>
      <c r="Q702" s="343">
        <f t="shared" si="755"/>
        <v>0</v>
      </c>
      <c r="R702" s="126"/>
      <c r="S702" s="343"/>
      <c r="T702" s="344"/>
      <c r="U702" s="122">
        <f t="shared" si="748"/>
        <v>0</v>
      </c>
      <c r="V702" s="335"/>
      <c r="W702" s="351">
        <f t="shared" si="749"/>
        <v>0</v>
      </c>
      <c r="X702" s="346">
        <f t="shared" si="746"/>
        <v>0</v>
      </c>
      <c r="Y702" s="711">
        <f t="shared" si="750"/>
        <v>0</v>
      </c>
      <c r="Z702" s="711">
        <f t="shared" si="751"/>
        <v>0</v>
      </c>
      <c r="AA702" s="570">
        <f t="shared" si="752"/>
        <v>0</v>
      </c>
      <c r="AB702" s="346">
        <f t="shared" si="753"/>
        <v>0</v>
      </c>
      <c r="AC702" s="347">
        <f t="shared" si="747"/>
        <v>0</v>
      </c>
    </row>
    <row r="703" spans="1:29" s="643" customFormat="1" ht="17.25" customHeight="1">
      <c r="A703" s="313"/>
      <c r="B703" s="896"/>
      <c r="C703" s="897"/>
      <c r="D703" s="888"/>
      <c r="E703" s="889"/>
      <c r="F703" s="890"/>
      <c r="G703" s="890"/>
      <c r="H703" s="890"/>
      <c r="I703" s="890"/>
      <c r="J703" s="890"/>
      <c r="K703" s="890"/>
      <c r="L703" s="890"/>
      <c r="M703" s="890"/>
      <c r="N703" s="890"/>
      <c r="O703" s="890"/>
      <c r="P703" s="890"/>
      <c r="Q703" s="890"/>
      <c r="R703" s="890"/>
      <c r="S703" s="890"/>
      <c r="T703" s="891"/>
      <c r="U703" s="892"/>
      <c r="V703" s="893"/>
      <c r="W703" s="894"/>
      <c r="X703" s="894"/>
      <c r="Y703" s="894"/>
      <c r="Z703" s="894"/>
      <c r="AA703" s="894"/>
      <c r="AB703" s="894"/>
      <c r="AC703" s="895"/>
    </row>
    <row r="704" spans="1:29" s="643" customFormat="1" ht="17.25" customHeight="1">
      <c r="A704" s="885"/>
      <c r="B704" s="886"/>
      <c r="C704" s="887"/>
      <c r="D704" s="888"/>
      <c r="E704" s="889"/>
      <c r="F704" s="890"/>
      <c r="G704" s="890"/>
      <c r="H704" s="890"/>
      <c r="I704" s="890"/>
      <c r="J704" s="890"/>
      <c r="K704" s="890"/>
      <c r="L704" s="890"/>
      <c r="M704" s="890"/>
      <c r="N704" s="890"/>
      <c r="O704" s="890"/>
      <c r="P704" s="890"/>
      <c r="Q704" s="890"/>
      <c r="R704" s="890"/>
      <c r="S704" s="890"/>
      <c r="T704" s="891"/>
      <c r="U704" s="892"/>
      <c r="V704" s="893"/>
      <c r="W704" s="894"/>
      <c r="X704" s="894"/>
      <c r="Y704" s="894"/>
      <c r="Z704" s="894"/>
      <c r="AA704" s="894"/>
      <c r="AB704" s="894"/>
      <c r="AC704" s="895"/>
    </row>
    <row r="705" spans="1:30" s="24" customFormat="1" ht="21" customHeight="1">
      <c r="A705" s="1147" t="s">
        <v>812</v>
      </c>
      <c r="B705" s="1147"/>
      <c r="C705" s="1147"/>
      <c r="D705" s="656"/>
      <c r="E705" s="656"/>
      <c r="F705" s="657"/>
      <c r="G705" s="657"/>
      <c r="H705" s="657"/>
      <c r="I705" s="657"/>
      <c r="J705" s="657"/>
      <c r="K705" s="658"/>
      <c r="L705" s="658"/>
      <c r="M705" s="658"/>
      <c r="N705" s="659"/>
      <c r="O705" s="680"/>
      <c r="P705" s="680"/>
      <c r="Q705" s="680"/>
      <c r="R705" s="680"/>
      <c r="S705" s="680"/>
      <c r="T705" s="657"/>
      <c r="U705" s="657"/>
      <c r="V705" s="661"/>
      <c r="W705" s="657"/>
      <c r="X705" s="657"/>
      <c r="Y705" s="657"/>
      <c r="Z705" s="657"/>
      <c r="AA705" s="657"/>
      <c r="AB705" s="680"/>
      <c r="AC705" s="662" t="s">
        <v>813</v>
      </c>
    </row>
    <row r="706" spans="1:30" s="24" customFormat="1" ht="33.75" customHeight="1" thickBot="1">
      <c r="A706" s="681" t="s">
        <v>814</v>
      </c>
      <c r="B706" s="682" t="s">
        <v>815</v>
      </c>
      <c r="C706" s="682" t="s">
        <v>816</v>
      </c>
      <c r="D706" s="682" t="s">
        <v>817</v>
      </c>
      <c r="E706" s="682" t="s">
        <v>818</v>
      </c>
      <c r="F706" s="683" t="s">
        <v>819</v>
      </c>
      <c r="G706" s="684" t="s">
        <v>820</v>
      </c>
      <c r="H706" s="684" t="s">
        <v>821</v>
      </c>
      <c r="I706" s="684" t="s">
        <v>822</v>
      </c>
      <c r="J706" s="682" t="s">
        <v>823</v>
      </c>
      <c r="K706" s="684" t="s">
        <v>824</v>
      </c>
      <c r="L706" s="684" t="s">
        <v>825</v>
      </c>
      <c r="M706" s="684" t="s">
        <v>826</v>
      </c>
      <c r="N706" s="685" t="s">
        <v>827</v>
      </c>
      <c r="O706" s="684" t="s">
        <v>828</v>
      </c>
      <c r="P706" s="684"/>
      <c r="Q706" s="684" t="s">
        <v>843</v>
      </c>
      <c r="R706" s="684" t="s">
        <v>829</v>
      </c>
      <c r="S706" s="684" t="s">
        <v>805</v>
      </c>
      <c r="T706" s="684" t="s">
        <v>830</v>
      </c>
      <c r="U706" s="687" t="s">
        <v>831</v>
      </c>
      <c r="V706" s="700" t="s">
        <v>832</v>
      </c>
      <c r="W706" s="706" t="s">
        <v>833</v>
      </c>
      <c r="X706" s="687" t="s">
        <v>834</v>
      </c>
      <c r="Y706" s="687" t="s">
        <v>835</v>
      </c>
      <c r="Z706" s="686" t="s">
        <v>836</v>
      </c>
      <c r="AA706" s="687" t="s">
        <v>837</v>
      </c>
      <c r="AB706" s="686" t="s">
        <v>838</v>
      </c>
      <c r="AC706" s="688" t="s">
        <v>839</v>
      </c>
    </row>
    <row r="707" spans="1:30" s="24" customFormat="1" ht="12.75" customHeight="1" thickTop="1">
      <c r="A707" s="1148" t="s">
        <v>840</v>
      </c>
      <c r="B707" s="1149"/>
      <c r="C707" s="1149"/>
      <c r="D707" s="1149"/>
      <c r="E707" s="1149"/>
      <c r="F707" s="663">
        <f>F708</f>
        <v>18595000</v>
      </c>
      <c r="G707" s="663">
        <f t="shared" ref="G707:T707" si="757">G708</f>
        <v>0</v>
      </c>
      <c r="H707" s="663">
        <f t="shared" si="757"/>
        <v>0</v>
      </c>
      <c r="I707" s="663">
        <f t="shared" si="757"/>
        <v>0</v>
      </c>
      <c r="J707" s="663">
        <f t="shared" si="757"/>
        <v>0</v>
      </c>
      <c r="K707" s="663">
        <f t="shared" si="757"/>
        <v>0</v>
      </c>
      <c r="L707" s="663">
        <f t="shared" si="757"/>
        <v>0</v>
      </c>
      <c r="M707" s="663">
        <f t="shared" si="757"/>
        <v>1008600</v>
      </c>
      <c r="N707" s="663">
        <f t="shared" si="757"/>
        <v>0</v>
      </c>
      <c r="O707" s="663">
        <f t="shared" si="757"/>
        <v>440000</v>
      </c>
      <c r="P707" s="663">
        <f t="shared" si="757"/>
        <v>0</v>
      </c>
      <c r="Q707" s="663">
        <f t="shared" si="757"/>
        <v>135750</v>
      </c>
      <c r="R707" s="663">
        <f t="shared" si="757"/>
        <v>3000000</v>
      </c>
      <c r="S707" s="663">
        <f t="shared" si="757"/>
        <v>750000</v>
      </c>
      <c r="T707" s="663">
        <f t="shared" si="757"/>
        <v>2200000</v>
      </c>
      <c r="U707" s="663">
        <f>U708</f>
        <v>25813600</v>
      </c>
      <c r="V707" s="663">
        <f t="shared" ref="V707:AC707" si="758">V708</f>
        <v>0</v>
      </c>
      <c r="W707" s="663">
        <f t="shared" si="758"/>
        <v>2151200</v>
      </c>
      <c r="X707" s="663">
        <f t="shared" si="758"/>
        <v>1161660</v>
      </c>
      <c r="Y707" s="663">
        <f t="shared" si="758"/>
        <v>783480</v>
      </c>
      <c r="Z707" s="663">
        <f t="shared" si="758"/>
        <v>51370</v>
      </c>
      <c r="AA707" s="663">
        <f t="shared" si="758"/>
        <v>232340</v>
      </c>
      <c r="AB707" s="663">
        <f t="shared" si="758"/>
        <v>206530</v>
      </c>
      <c r="AC707" s="663">
        <f t="shared" si="758"/>
        <v>4586580</v>
      </c>
    </row>
    <row r="708" spans="1:30" s="24" customFormat="1" ht="15.75" customHeight="1">
      <c r="A708" s="1150">
        <v>1</v>
      </c>
      <c r="B708" s="731" t="s">
        <v>841</v>
      </c>
      <c r="C708" s="732">
        <v>3</v>
      </c>
      <c r="D708" s="732">
        <v>1</v>
      </c>
      <c r="E708" s="733" t="s">
        <v>842</v>
      </c>
      <c r="F708" s="734">
        <f>SUM(F709:F720)</f>
        <v>18595000</v>
      </c>
      <c r="G708" s="734">
        <f t="shared" ref="G708:T708" si="759">SUM(G709:G720)</f>
        <v>0</v>
      </c>
      <c r="H708" s="734">
        <f t="shared" si="759"/>
        <v>0</v>
      </c>
      <c r="I708" s="734">
        <f t="shared" si="759"/>
        <v>0</v>
      </c>
      <c r="J708" s="734">
        <f t="shared" si="759"/>
        <v>0</v>
      </c>
      <c r="K708" s="734">
        <f t="shared" si="759"/>
        <v>0</v>
      </c>
      <c r="L708" s="734">
        <f t="shared" si="759"/>
        <v>0</v>
      </c>
      <c r="M708" s="734">
        <f t="shared" si="759"/>
        <v>1008600</v>
      </c>
      <c r="N708" s="734">
        <f t="shared" si="759"/>
        <v>0</v>
      </c>
      <c r="O708" s="734">
        <f t="shared" si="759"/>
        <v>440000</v>
      </c>
      <c r="P708" s="734">
        <f t="shared" si="759"/>
        <v>0</v>
      </c>
      <c r="Q708" s="734">
        <f t="shared" si="759"/>
        <v>135750</v>
      </c>
      <c r="R708" s="734">
        <f t="shared" si="759"/>
        <v>3000000</v>
      </c>
      <c r="S708" s="734">
        <f t="shared" si="759"/>
        <v>750000</v>
      </c>
      <c r="T708" s="734">
        <f t="shared" si="759"/>
        <v>2200000</v>
      </c>
      <c r="U708" s="734">
        <f>SUM(U709:U720)</f>
        <v>25813600</v>
      </c>
      <c r="V708" s="734">
        <f t="shared" ref="V708:AC708" si="760">SUM(V709:V720)</f>
        <v>0</v>
      </c>
      <c r="W708" s="734">
        <f t="shared" si="760"/>
        <v>2151200</v>
      </c>
      <c r="X708" s="734">
        <f t="shared" si="760"/>
        <v>1161660</v>
      </c>
      <c r="Y708" s="734">
        <f t="shared" si="760"/>
        <v>783480</v>
      </c>
      <c r="Z708" s="734">
        <f t="shared" si="760"/>
        <v>51370</v>
      </c>
      <c r="AA708" s="734">
        <f t="shared" si="760"/>
        <v>232340</v>
      </c>
      <c r="AB708" s="734">
        <f t="shared" si="760"/>
        <v>206530</v>
      </c>
      <c r="AC708" s="734">
        <f t="shared" si="760"/>
        <v>4586580</v>
      </c>
    </row>
    <row r="709" spans="1:30" s="24" customFormat="1" ht="14.25" customHeight="1">
      <c r="A709" s="1150"/>
      <c r="B709" s="723" t="s">
        <v>846</v>
      </c>
      <c r="C709" s="724"/>
      <c r="D709" s="724"/>
      <c r="E709" s="725" t="s">
        <v>457</v>
      </c>
      <c r="F709" s="774"/>
      <c r="G709" s="727"/>
      <c r="H709" s="728"/>
      <c r="I709" s="726"/>
      <c r="J709" s="727"/>
      <c r="K709" s="727"/>
      <c r="L709" s="727"/>
      <c r="M709" s="671"/>
      <c r="N709" s="727"/>
      <c r="O709" s="727"/>
      <c r="P709" s="696"/>
      <c r="Q709" s="696"/>
      <c r="R709" s="671"/>
      <c r="S709" s="727"/>
      <c r="T709" s="726"/>
      <c r="U709" s="667">
        <v>0</v>
      </c>
      <c r="V709" s="729"/>
      <c r="W709" s="705">
        <v>0</v>
      </c>
      <c r="X709" s="673">
        <v>0</v>
      </c>
      <c r="Y709" s="673">
        <v>0</v>
      </c>
      <c r="Z709" s="673">
        <v>0</v>
      </c>
      <c r="AA709" s="673">
        <v>0</v>
      </c>
      <c r="AB709" s="673">
        <v>0</v>
      </c>
      <c r="AC709" s="730">
        <v>0</v>
      </c>
    </row>
    <row r="710" spans="1:30" s="643" customFormat="1" ht="16.5" customHeight="1">
      <c r="A710" s="1150"/>
      <c r="B710" s="664"/>
      <c r="C710" s="665">
        <v>3</v>
      </c>
      <c r="D710" s="665"/>
      <c r="E710" s="669" t="s">
        <v>844</v>
      </c>
      <c r="F710" s="671">
        <v>1681000</v>
      </c>
      <c r="G710" s="671"/>
      <c r="H710" s="671"/>
      <c r="I710" s="671"/>
      <c r="J710" s="671"/>
      <c r="K710" s="671"/>
      <c r="L710" s="671"/>
      <c r="M710" s="671"/>
      <c r="N710" s="671"/>
      <c r="O710" s="671">
        <v>40000</v>
      </c>
      <c r="P710" s="671"/>
      <c r="Q710" s="671"/>
      <c r="R710" s="671">
        <f>Q710*20</f>
        <v>0</v>
      </c>
      <c r="S710" s="671">
        <f>Q710*5</f>
        <v>0</v>
      </c>
      <c r="T710" s="672">
        <v>200000</v>
      </c>
      <c r="U710" s="667">
        <f t="shared" ref="U710:U719" si="761">SUM(F710,M710,O710,R710,T710)</f>
        <v>1921000</v>
      </c>
      <c r="V710" s="701"/>
      <c r="W710" s="705">
        <f t="shared" ref="W710:W719" si="762">ROUNDUP(U710*1/12,-1)</f>
        <v>160090</v>
      </c>
      <c r="X710" s="673">
        <f t="shared" ref="X710:X719" si="763">ROUND(U710*4.5%,-1)</f>
        <v>86450</v>
      </c>
      <c r="Y710" s="673">
        <f t="shared" ref="Y710:Y719" si="764">ROUNDUP((U710-L710)*3.035%,-1)</f>
        <v>58310</v>
      </c>
      <c r="Z710" s="673">
        <f t="shared" ref="Z710:Z719" si="765">ROUNDUP(Y710*6.55%,-1)</f>
        <v>3820</v>
      </c>
      <c r="AA710" s="673">
        <f t="shared" ref="AA710:AA719" si="766">ROUND(U710*0.9%,-1)</f>
        <v>17290</v>
      </c>
      <c r="AB710" s="673">
        <f t="shared" ref="AB710:AB719" si="767">ROUND(U710*0.8%,-1)</f>
        <v>15370</v>
      </c>
      <c r="AC710" s="674">
        <f t="shared" ref="AC710:AC719" si="768">SUM(W710:AB710)</f>
        <v>341330</v>
      </c>
      <c r="AD710" s="619">
        <f t="shared" ref="AD710:AD719" si="769">U710-AC710</f>
        <v>1579670</v>
      </c>
    </row>
    <row r="711" spans="1:30" s="643" customFormat="1" ht="16.5" hidden="1" customHeight="1">
      <c r="A711" s="1150"/>
      <c r="B711" s="664"/>
      <c r="C711" s="665"/>
      <c r="D711" s="665"/>
      <c r="E711" s="669" t="s">
        <v>459</v>
      </c>
      <c r="F711" s="671">
        <f>F710</f>
        <v>1681000</v>
      </c>
      <c r="G711" s="671"/>
      <c r="H711" s="671"/>
      <c r="I711" s="671"/>
      <c r="J711" s="671"/>
      <c r="K711" s="671"/>
      <c r="L711" s="671"/>
      <c r="M711" s="671"/>
      <c r="N711" s="671"/>
      <c r="O711" s="671">
        <f t="shared" ref="O711:O719" si="770">O710</f>
        <v>40000</v>
      </c>
      <c r="P711" s="671"/>
      <c r="Q711" s="671">
        <f t="shared" ref="Q711:Q719" si="771">ROUND((F710+T710)*1/209*1.5,-1)</f>
        <v>13500</v>
      </c>
      <c r="R711" s="671">
        <f>Q711*20</f>
        <v>270000</v>
      </c>
      <c r="S711" s="671">
        <f t="shared" ref="S711:S719" si="772">Q711*5</f>
        <v>67500</v>
      </c>
      <c r="T711" s="672">
        <v>200000</v>
      </c>
      <c r="U711" s="667">
        <f t="shared" si="761"/>
        <v>2191000</v>
      </c>
      <c r="V711" s="701"/>
      <c r="W711" s="705">
        <f t="shared" si="762"/>
        <v>182590</v>
      </c>
      <c r="X711" s="673">
        <f t="shared" si="763"/>
        <v>98600</v>
      </c>
      <c r="Y711" s="673">
        <f t="shared" si="764"/>
        <v>66500</v>
      </c>
      <c r="Z711" s="673">
        <f t="shared" si="765"/>
        <v>4360</v>
      </c>
      <c r="AA711" s="673">
        <f t="shared" si="766"/>
        <v>19720</v>
      </c>
      <c r="AB711" s="673">
        <f t="shared" si="767"/>
        <v>17530</v>
      </c>
      <c r="AC711" s="674">
        <f t="shared" si="768"/>
        <v>389300</v>
      </c>
      <c r="AD711" s="619">
        <f t="shared" si="769"/>
        <v>1801700</v>
      </c>
    </row>
    <row r="712" spans="1:30" s="643" customFormat="1" ht="16.5" hidden="1" customHeight="1">
      <c r="A712" s="1150"/>
      <c r="B712" s="664"/>
      <c r="C712" s="665"/>
      <c r="D712" s="665"/>
      <c r="E712" s="669" t="s">
        <v>460</v>
      </c>
      <c r="F712" s="671">
        <f>F711</f>
        <v>1681000</v>
      </c>
      <c r="G712" s="671"/>
      <c r="H712" s="671"/>
      <c r="I712" s="671"/>
      <c r="J712" s="671"/>
      <c r="K712" s="671"/>
      <c r="L712" s="671"/>
      <c r="M712" s="671"/>
      <c r="N712" s="671"/>
      <c r="O712" s="671">
        <f t="shared" si="770"/>
        <v>40000</v>
      </c>
      <c r="P712" s="671"/>
      <c r="Q712" s="671">
        <f t="shared" si="771"/>
        <v>13500</v>
      </c>
      <c r="R712" s="671">
        <f t="shared" ref="R712:R719" si="773">Q712*20</f>
        <v>270000</v>
      </c>
      <c r="S712" s="671">
        <f t="shared" si="772"/>
        <v>67500</v>
      </c>
      <c r="T712" s="672">
        <f t="shared" ref="T712:T719" si="774">T711</f>
        <v>200000</v>
      </c>
      <c r="U712" s="667">
        <f t="shared" si="761"/>
        <v>2191000</v>
      </c>
      <c r="V712" s="701"/>
      <c r="W712" s="705">
        <f t="shared" si="762"/>
        <v>182590</v>
      </c>
      <c r="X712" s="673">
        <f t="shared" si="763"/>
        <v>98600</v>
      </c>
      <c r="Y712" s="673">
        <f t="shared" si="764"/>
        <v>66500</v>
      </c>
      <c r="Z712" s="673">
        <f t="shared" si="765"/>
        <v>4360</v>
      </c>
      <c r="AA712" s="673">
        <f t="shared" si="766"/>
        <v>19720</v>
      </c>
      <c r="AB712" s="673">
        <f t="shared" si="767"/>
        <v>17530</v>
      </c>
      <c r="AC712" s="674">
        <f t="shared" si="768"/>
        <v>389300</v>
      </c>
      <c r="AD712" s="619">
        <f t="shared" si="769"/>
        <v>1801700</v>
      </c>
    </row>
    <row r="713" spans="1:30" s="643" customFormat="1" ht="16.5" hidden="1" customHeight="1">
      <c r="A713" s="1150"/>
      <c r="B713" s="664"/>
      <c r="C713" s="665"/>
      <c r="D713" s="665"/>
      <c r="E713" s="669" t="s">
        <v>461</v>
      </c>
      <c r="F713" s="671">
        <f>F712</f>
        <v>1681000</v>
      </c>
      <c r="G713" s="671"/>
      <c r="H713" s="671"/>
      <c r="I713" s="671"/>
      <c r="J713" s="671"/>
      <c r="K713" s="671"/>
      <c r="L713" s="671"/>
      <c r="M713" s="671"/>
      <c r="N713" s="671"/>
      <c r="O713" s="671">
        <f t="shared" si="770"/>
        <v>40000</v>
      </c>
      <c r="P713" s="671"/>
      <c r="Q713" s="671">
        <f t="shared" si="771"/>
        <v>13500</v>
      </c>
      <c r="R713" s="671">
        <f t="shared" si="773"/>
        <v>270000</v>
      </c>
      <c r="S713" s="671">
        <f t="shared" si="772"/>
        <v>67500</v>
      </c>
      <c r="T713" s="672">
        <f t="shared" si="774"/>
        <v>200000</v>
      </c>
      <c r="U713" s="667">
        <f t="shared" si="761"/>
        <v>2191000</v>
      </c>
      <c r="V713" s="701"/>
      <c r="W713" s="705">
        <f t="shared" si="762"/>
        <v>182590</v>
      </c>
      <c r="X713" s="673">
        <f t="shared" si="763"/>
        <v>98600</v>
      </c>
      <c r="Y713" s="673">
        <f t="shared" si="764"/>
        <v>66500</v>
      </c>
      <c r="Z713" s="673">
        <f t="shared" si="765"/>
        <v>4360</v>
      </c>
      <c r="AA713" s="673">
        <f t="shared" si="766"/>
        <v>19720</v>
      </c>
      <c r="AB713" s="673">
        <f t="shared" si="767"/>
        <v>17530</v>
      </c>
      <c r="AC713" s="674">
        <f t="shared" si="768"/>
        <v>389300</v>
      </c>
      <c r="AD713" s="619">
        <f t="shared" si="769"/>
        <v>1801700</v>
      </c>
    </row>
    <row r="714" spans="1:30" s="643" customFormat="1" ht="16.5" hidden="1" customHeight="1">
      <c r="A714" s="1150"/>
      <c r="B714" s="664"/>
      <c r="C714" s="665"/>
      <c r="D714" s="665"/>
      <c r="E714" s="669" t="s">
        <v>462</v>
      </c>
      <c r="F714" s="671">
        <f t="shared" ref="F714:F719" si="775">F713</f>
        <v>1681000</v>
      </c>
      <c r="G714" s="671"/>
      <c r="H714" s="670"/>
      <c r="I714" s="672"/>
      <c r="J714" s="671"/>
      <c r="K714" s="671"/>
      <c r="L714" s="671"/>
      <c r="M714" s="671"/>
      <c r="N714" s="671"/>
      <c r="O714" s="671">
        <f t="shared" si="770"/>
        <v>40000</v>
      </c>
      <c r="P714" s="671"/>
      <c r="Q714" s="671">
        <f t="shared" si="771"/>
        <v>13500</v>
      </c>
      <c r="R714" s="671">
        <f t="shared" si="773"/>
        <v>270000</v>
      </c>
      <c r="S714" s="671">
        <f t="shared" si="772"/>
        <v>67500</v>
      </c>
      <c r="T714" s="672">
        <f t="shared" si="774"/>
        <v>200000</v>
      </c>
      <c r="U714" s="667">
        <f t="shared" si="761"/>
        <v>2191000</v>
      </c>
      <c r="V714" s="701"/>
      <c r="W714" s="705">
        <f t="shared" si="762"/>
        <v>182590</v>
      </c>
      <c r="X714" s="673">
        <f t="shared" si="763"/>
        <v>98600</v>
      </c>
      <c r="Y714" s="673">
        <f t="shared" si="764"/>
        <v>66500</v>
      </c>
      <c r="Z714" s="673">
        <f t="shared" si="765"/>
        <v>4360</v>
      </c>
      <c r="AA714" s="673">
        <f t="shared" si="766"/>
        <v>19720</v>
      </c>
      <c r="AB714" s="673">
        <f t="shared" si="767"/>
        <v>17530</v>
      </c>
      <c r="AC714" s="674">
        <f t="shared" si="768"/>
        <v>389300</v>
      </c>
      <c r="AD714" s="619">
        <f t="shared" si="769"/>
        <v>1801700</v>
      </c>
    </row>
    <row r="715" spans="1:30" s="643" customFormat="1" ht="16.5" hidden="1" customHeight="1">
      <c r="A715" s="1150"/>
      <c r="B715" s="664"/>
      <c r="C715" s="665"/>
      <c r="D715" s="665"/>
      <c r="E715" s="669" t="s">
        <v>330</v>
      </c>
      <c r="F715" s="671">
        <f t="shared" si="775"/>
        <v>1681000</v>
      </c>
      <c r="G715" s="671"/>
      <c r="H715" s="671"/>
      <c r="I715" s="671"/>
      <c r="J715" s="671"/>
      <c r="K715" s="671"/>
      <c r="L715" s="671"/>
      <c r="M715" s="671"/>
      <c r="N715" s="671"/>
      <c r="O715" s="671">
        <f t="shared" si="770"/>
        <v>40000</v>
      </c>
      <c r="P715" s="671"/>
      <c r="Q715" s="671">
        <f t="shared" si="771"/>
        <v>13500</v>
      </c>
      <c r="R715" s="671">
        <f t="shared" si="773"/>
        <v>270000</v>
      </c>
      <c r="S715" s="671">
        <f t="shared" si="772"/>
        <v>67500</v>
      </c>
      <c r="T715" s="672">
        <f t="shared" si="774"/>
        <v>200000</v>
      </c>
      <c r="U715" s="667">
        <f t="shared" si="761"/>
        <v>2191000</v>
      </c>
      <c r="V715" s="701"/>
      <c r="W715" s="705">
        <f t="shared" si="762"/>
        <v>182590</v>
      </c>
      <c r="X715" s="673">
        <f t="shared" si="763"/>
        <v>98600</v>
      </c>
      <c r="Y715" s="673">
        <f t="shared" si="764"/>
        <v>66500</v>
      </c>
      <c r="Z715" s="673">
        <f t="shared" si="765"/>
        <v>4360</v>
      </c>
      <c r="AA715" s="673">
        <f t="shared" si="766"/>
        <v>19720</v>
      </c>
      <c r="AB715" s="673">
        <f t="shared" si="767"/>
        <v>17530</v>
      </c>
      <c r="AC715" s="674">
        <f t="shared" si="768"/>
        <v>389300</v>
      </c>
      <c r="AD715" s="619">
        <f t="shared" si="769"/>
        <v>1801700</v>
      </c>
    </row>
    <row r="716" spans="1:30" s="643" customFormat="1" ht="16.5" hidden="1" customHeight="1">
      <c r="A716" s="1150"/>
      <c r="B716" s="664"/>
      <c r="C716" s="665"/>
      <c r="D716" s="665"/>
      <c r="E716" s="669" t="s">
        <v>331</v>
      </c>
      <c r="F716" s="671">
        <f t="shared" si="775"/>
        <v>1681000</v>
      </c>
      <c r="G716" s="671"/>
      <c r="H716" s="671"/>
      <c r="I716" s="671"/>
      <c r="J716" s="671"/>
      <c r="K716" s="671"/>
      <c r="L716" s="671"/>
      <c r="M716" s="671">
        <f>F716*60%</f>
        <v>1008600</v>
      </c>
      <c r="N716" s="671"/>
      <c r="O716" s="671">
        <f t="shared" si="770"/>
        <v>40000</v>
      </c>
      <c r="P716" s="671"/>
      <c r="Q716" s="671">
        <f t="shared" si="771"/>
        <v>13500</v>
      </c>
      <c r="R716" s="671">
        <f t="shared" si="773"/>
        <v>270000</v>
      </c>
      <c r="S716" s="671">
        <f t="shared" si="772"/>
        <v>67500</v>
      </c>
      <c r="T716" s="672">
        <f t="shared" si="774"/>
        <v>200000</v>
      </c>
      <c r="U716" s="667">
        <f t="shared" si="761"/>
        <v>3199600</v>
      </c>
      <c r="V716" s="701"/>
      <c r="W716" s="705">
        <f t="shared" si="762"/>
        <v>266640</v>
      </c>
      <c r="X716" s="673">
        <f t="shared" si="763"/>
        <v>143980</v>
      </c>
      <c r="Y716" s="673">
        <f t="shared" si="764"/>
        <v>97110</v>
      </c>
      <c r="Z716" s="673">
        <f t="shared" si="765"/>
        <v>6370</v>
      </c>
      <c r="AA716" s="673">
        <f t="shared" si="766"/>
        <v>28800</v>
      </c>
      <c r="AB716" s="673">
        <f t="shared" si="767"/>
        <v>25600</v>
      </c>
      <c r="AC716" s="674">
        <f t="shared" si="768"/>
        <v>568500</v>
      </c>
      <c r="AD716" s="619">
        <f t="shared" si="769"/>
        <v>2631100</v>
      </c>
    </row>
    <row r="717" spans="1:30" s="643" customFormat="1" ht="16.5" hidden="1" customHeight="1">
      <c r="A717" s="1150"/>
      <c r="B717" s="664"/>
      <c r="C717" s="665"/>
      <c r="D717" s="665"/>
      <c r="E717" s="669" t="s">
        <v>62</v>
      </c>
      <c r="F717" s="671">
        <f t="shared" si="775"/>
        <v>1681000</v>
      </c>
      <c r="G717" s="671"/>
      <c r="H717" s="671"/>
      <c r="I717" s="671"/>
      <c r="J717" s="671"/>
      <c r="K717" s="671"/>
      <c r="L717" s="671"/>
      <c r="M717" s="671"/>
      <c r="N717" s="671"/>
      <c r="O717" s="671">
        <f t="shared" si="770"/>
        <v>40000</v>
      </c>
      <c r="P717" s="671"/>
      <c r="Q717" s="671">
        <f t="shared" si="771"/>
        <v>13500</v>
      </c>
      <c r="R717" s="671">
        <f t="shared" si="773"/>
        <v>270000</v>
      </c>
      <c r="S717" s="671">
        <f t="shared" si="772"/>
        <v>67500</v>
      </c>
      <c r="T717" s="672">
        <f t="shared" si="774"/>
        <v>200000</v>
      </c>
      <c r="U717" s="667">
        <f t="shared" si="761"/>
        <v>2191000</v>
      </c>
      <c r="V717" s="701"/>
      <c r="W717" s="705">
        <f t="shared" si="762"/>
        <v>182590</v>
      </c>
      <c r="X717" s="673">
        <f t="shared" si="763"/>
        <v>98600</v>
      </c>
      <c r="Y717" s="673">
        <f t="shared" si="764"/>
        <v>66500</v>
      </c>
      <c r="Z717" s="673">
        <f t="shared" si="765"/>
        <v>4360</v>
      </c>
      <c r="AA717" s="673">
        <f t="shared" si="766"/>
        <v>19720</v>
      </c>
      <c r="AB717" s="673">
        <f t="shared" si="767"/>
        <v>17530</v>
      </c>
      <c r="AC717" s="674">
        <f t="shared" si="768"/>
        <v>389300</v>
      </c>
      <c r="AD717" s="619">
        <f t="shared" si="769"/>
        <v>1801700</v>
      </c>
    </row>
    <row r="718" spans="1:30" s="643" customFormat="1" ht="16.5" hidden="1" customHeight="1">
      <c r="A718" s="1150"/>
      <c r="B718" s="664"/>
      <c r="C718" s="665"/>
      <c r="D718" s="665"/>
      <c r="E718" s="669" t="s">
        <v>63</v>
      </c>
      <c r="F718" s="671">
        <f t="shared" si="775"/>
        <v>1681000</v>
      </c>
      <c r="G718" s="671"/>
      <c r="H718" s="671"/>
      <c r="I718" s="671"/>
      <c r="J718" s="671"/>
      <c r="K718" s="671"/>
      <c r="L718" s="671"/>
      <c r="M718" s="671"/>
      <c r="N718" s="671"/>
      <c r="O718" s="671">
        <f t="shared" si="770"/>
        <v>40000</v>
      </c>
      <c r="P718" s="671"/>
      <c r="Q718" s="671">
        <f t="shared" si="771"/>
        <v>13500</v>
      </c>
      <c r="R718" s="671">
        <f t="shared" si="773"/>
        <v>270000</v>
      </c>
      <c r="S718" s="671">
        <f t="shared" si="772"/>
        <v>67500</v>
      </c>
      <c r="T718" s="672">
        <f t="shared" si="774"/>
        <v>200000</v>
      </c>
      <c r="U718" s="667">
        <f t="shared" si="761"/>
        <v>2191000</v>
      </c>
      <c r="V718" s="701"/>
      <c r="W718" s="705">
        <f t="shared" si="762"/>
        <v>182590</v>
      </c>
      <c r="X718" s="673">
        <f t="shared" si="763"/>
        <v>98600</v>
      </c>
      <c r="Y718" s="673">
        <f t="shared" si="764"/>
        <v>66500</v>
      </c>
      <c r="Z718" s="673">
        <f t="shared" si="765"/>
        <v>4360</v>
      </c>
      <c r="AA718" s="673">
        <f t="shared" si="766"/>
        <v>19720</v>
      </c>
      <c r="AB718" s="673">
        <f t="shared" si="767"/>
        <v>17530</v>
      </c>
      <c r="AC718" s="674">
        <f t="shared" si="768"/>
        <v>389300</v>
      </c>
      <c r="AD718" s="619">
        <f t="shared" si="769"/>
        <v>1801700</v>
      </c>
    </row>
    <row r="719" spans="1:30" s="643" customFormat="1" ht="16.5" hidden="1" customHeight="1">
      <c r="A719" s="1150"/>
      <c r="B719" s="664"/>
      <c r="C719" s="665"/>
      <c r="D719" s="665"/>
      <c r="E719" s="669" t="s">
        <v>64</v>
      </c>
      <c r="F719" s="671">
        <f t="shared" si="775"/>
        <v>1681000</v>
      </c>
      <c r="G719" s="671"/>
      <c r="H719" s="671"/>
      <c r="I719" s="671"/>
      <c r="J719" s="671"/>
      <c r="K719" s="671"/>
      <c r="L719" s="671"/>
      <c r="M719" s="671"/>
      <c r="N719" s="671"/>
      <c r="O719" s="671">
        <f t="shared" si="770"/>
        <v>40000</v>
      </c>
      <c r="P719" s="671"/>
      <c r="Q719" s="671">
        <f t="shared" si="771"/>
        <v>13500</v>
      </c>
      <c r="R719" s="671">
        <f t="shared" si="773"/>
        <v>270000</v>
      </c>
      <c r="S719" s="671">
        <f t="shared" si="772"/>
        <v>67500</v>
      </c>
      <c r="T719" s="672">
        <f t="shared" si="774"/>
        <v>200000</v>
      </c>
      <c r="U719" s="667">
        <f t="shared" si="761"/>
        <v>2191000</v>
      </c>
      <c r="V719" s="701"/>
      <c r="W719" s="705">
        <f t="shared" si="762"/>
        <v>182590</v>
      </c>
      <c r="X719" s="673">
        <f t="shared" si="763"/>
        <v>98600</v>
      </c>
      <c r="Y719" s="673">
        <f t="shared" si="764"/>
        <v>66500</v>
      </c>
      <c r="Z719" s="673">
        <f t="shared" si="765"/>
        <v>4360</v>
      </c>
      <c r="AA719" s="673">
        <f t="shared" si="766"/>
        <v>19720</v>
      </c>
      <c r="AB719" s="673">
        <f t="shared" si="767"/>
        <v>17530</v>
      </c>
      <c r="AC719" s="674">
        <f t="shared" si="768"/>
        <v>389300</v>
      </c>
      <c r="AD719" s="619">
        <f t="shared" si="769"/>
        <v>1801700</v>
      </c>
    </row>
    <row r="720" spans="1:30" ht="16.5" hidden="1" customHeight="1">
      <c r="A720" s="1151"/>
      <c r="B720" s="675"/>
      <c r="C720" s="676"/>
      <c r="D720" s="676"/>
      <c r="E720" s="707" t="s">
        <v>463</v>
      </c>
      <c r="F720" s="708">
        <v>1785000</v>
      </c>
      <c r="G720" s="708"/>
      <c r="H720" s="708"/>
      <c r="I720" s="708"/>
      <c r="J720" s="708"/>
      <c r="K720" s="708"/>
      <c r="L720" s="708"/>
      <c r="M720" s="708">
        <v>0</v>
      </c>
      <c r="N720" s="708"/>
      <c r="O720" s="708">
        <v>40000</v>
      </c>
      <c r="P720" s="708">
        <v>0</v>
      </c>
      <c r="Q720" s="708">
        <v>14250</v>
      </c>
      <c r="R720" s="708">
        <f>Q720*20*2</f>
        <v>570000</v>
      </c>
      <c r="S720" s="708">
        <f>(Q720*5)*2</f>
        <v>142500</v>
      </c>
      <c r="T720" s="709">
        <v>200000</v>
      </c>
      <c r="U720" s="678">
        <v>3165000</v>
      </c>
      <c r="V720" s="702"/>
      <c r="W720" s="710">
        <v>263750</v>
      </c>
      <c r="X720" s="711">
        <v>142430</v>
      </c>
      <c r="Y720" s="711">
        <v>96060</v>
      </c>
      <c r="Z720" s="711">
        <v>6300</v>
      </c>
      <c r="AA720" s="711">
        <v>28490</v>
      </c>
      <c r="AB720" s="711">
        <v>25320</v>
      </c>
      <c r="AC720" s="712">
        <v>562350</v>
      </c>
    </row>
  </sheetData>
  <mergeCells count="63">
    <mergeCell ref="A201:A213"/>
    <mergeCell ref="A32:A44"/>
    <mergeCell ref="A175:A187"/>
    <mergeCell ref="A214:A226"/>
    <mergeCell ref="A3:B3"/>
    <mergeCell ref="A84:A96"/>
    <mergeCell ref="A58:A70"/>
    <mergeCell ref="A19:A31"/>
    <mergeCell ref="A136:A148"/>
    <mergeCell ref="A5:E5"/>
    <mergeCell ref="A6:A18"/>
    <mergeCell ref="A45:A57"/>
    <mergeCell ref="A71:A83"/>
    <mergeCell ref="A97:A109"/>
    <mergeCell ref="A149:A161"/>
    <mergeCell ref="A292:A304"/>
    <mergeCell ref="A1:M1"/>
    <mergeCell ref="A630:A642"/>
    <mergeCell ref="A357:A369"/>
    <mergeCell ref="A370:A382"/>
    <mergeCell ref="A383:A395"/>
    <mergeCell ref="A396:A408"/>
    <mergeCell ref="A318:A330"/>
    <mergeCell ref="A617:A629"/>
    <mergeCell ref="A461:A473"/>
    <mergeCell ref="A409:A421"/>
    <mergeCell ref="A110:A122"/>
    <mergeCell ref="A435:A447"/>
    <mergeCell ref="A162:A174"/>
    <mergeCell ref="A123:A135"/>
    <mergeCell ref="A188:A200"/>
    <mergeCell ref="A643:A655"/>
    <mergeCell ref="A659:E659"/>
    <mergeCell ref="A578:A590"/>
    <mergeCell ref="A604:A616"/>
    <mergeCell ref="A227:A239"/>
    <mergeCell ref="A513:A525"/>
    <mergeCell ref="A487:A499"/>
    <mergeCell ref="A500:A512"/>
    <mergeCell ref="A448:A460"/>
    <mergeCell ref="A474:A486"/>
    <mergeCell ref="A240:A252"/>
    <mergeCell ref="A253:A265"/>
    <mergeCell ref="A344:A356"/>
    <mergeCell ref="A266:A278"/>
    <mergeCell ref="A279:A291"/>
    <mergeCell ref="A305:A317"/>
    <mergeCell ref="A705:C705"/>
    <mergeCell ref="A707:E707"/>
    <mergeCell ref="A708:A720"/>
    <mergeCell ref="A422:A434"/>
    <mergeCell ref="A331:A343"/>
    <mergeCell ref="A526:A538"/>
    <mergeCell ref="A539:A551"/>
    <mergeCell ref="A552:A564"/>
    <mergeCell ref="A565:A577"/>
    <mergeCell ref="A676:E676"/>
    <mergeCell ref="A674:C674"/>
    <mergeCell ref="A660:A672"/>
    <mergeCell ref="A690:A702"/>
    <mergeCell ref="A591:A603"/>
    <mergeCell ref="A657:C657"/>
    <mergeCell ref="A677:A689"/>
  </mergeCells>
  <phoneticPr fontId="2" type="noConversion"/>
  <pageMargins left="0.19685039370078741" right="0.15748031496062992" top="0.23622047244094491" bottom="0.19685039370078741" header="0.15748031496062992" footer="0.15748031496062992"/>
  <pageSetup paperSize="9" scale="8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B126"/>
  <sheetViews>
    <sheetView tabSelected="1"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U132" sqref="U132"/>
    </sheetView>
  </sheetViews>
  <sheetFormatPr defaultRowHeight="13.5"/>
  <cols>
    <col min="1" max="1" width="3.6640625" style="646" customWidth="1"/>
    <col min="2" max="2" width="10.33203125" style="646" hidden="1" customWidth="1"/>
    <col min="3" max="3" width="5.109375" style="646" hidden="1" customWidth="1"/>
    <col min="4" max="4" width="3" style="646" customWidth="1"/>
    <col min="5" max="5" width="8.88671875" style="646"/>
    <col min="6" max="11" width="15.77734375" style="646" hidden="1" customWidth="1"/>
    <col min="12" max="12" width="15.77734375" style="646" customWidth="1"/>
    <col min="13" max="18" width="15.77734375" style="646" hidden="1" customWidth="1"/>
    <col min="19" max="19" width="15.77734375" style="646" customWidth="1"/>
    <col min="20" max="20" width="8.88671875" style="647" customWidth="1"/>
    <col min="21" max="21" width="12.33203125" style="646" customWidth="1"/>
    <col min="22" max="22" width="13" style="646" hidden="1" customWidth="1"/>
    <col min="23" max="27" width="13" style="646" customWidth="1"/>
    <col min="28" max="28" width="13.21875" style="642" customWidth="1"/>
    <col min="29" max="16384" width="8.88671875" style="642"/>
  </cols>
  <sheetData>
    <row r="1" spans="1:27" s="645" customFormat="1" ht="36" customHeight="1">
      <c r="A1" s="735" t="s">
        <v>731</v>
      </c>
      <c r="B1" s="735"/>
      <c r="C1" s="735"/>
      <c r="D1" s="735"/>
      <c r="E1" s="735"/>
      <c r="F1" s="735"/>
      <c r="G1" s="735"/>
      <c r="H1" s="735"/>
      <c r="I1" s="735"/>
      <c r="J1" s="654"/>
      <c r="K1" s="654"/>
      <c r="L1" s="654"/>
      <c r="M1" s="654"/>
      <c r="N1" s="654"/>
      <c r="O1" s="654"/>
      <c r="P1" s="654"/>
      <c r="Q1" s="654"/>
      <c r="R1" s="654"/>
      <c r="S1" s="654"/>
      <c r="T1" s="655"/>
      <c r="U1" s="654"/>
      <c r="V1" s="654"/>
      <c r="W1" s="654"/>
      <c r="X1" s="654"/>
      <c r="Y1" s="654"/>
      <c r="Z1" s="654"/>
      <c r="AA1" s="654"/>
    </row>
    <row r="2" spans="1:27" s="645" customFormat="1" ht="14.25" customHeight="1">
      <c r="A2" s="654"/>
      <c r="B2" s="654"/>
      <c r="C2" s="654"/>
      <c r="D2" s="654"/>
      <c r="E2" s="654"/>
      <c r="F2" s="654"/>
      <c r="G2" s="654"/>
      <c r="H2" s="654"/>
      <c r="I2" s="654"/>
      <c r="J2" s="654"/>
      <c r="K2" s="654"/>
      <c r="L2" s="654"/>
      <c r="M2" s="654"/>
      <c r="N2" s="654"/>
      <c r="O2" s="654"/>
      <c r="P2" s="654"/>
      <c r="Q2" s="654"/>
      <c r="R2" s="654"/>
      <c r="S2" s="654"/>
      <c r="T2" s="655"/>
      <c r="U2" s="654"/>
      <c r="V2" s="654"/>
      <c r="W2" s="654"/>
      <c r="X2" s="654"/>
      <c r="Y2" s="654"/>
      <c r="Z2" s="654"/>
      <c r="AA2" s="654"/>
    </row>
    <row r="3" spans="1:27" s="645" customFormat="1" ht="27.75" customHeight="1" thickBot="1">
      <c r="A3" s="1160" t="s">
        <v>848</v>
      </c>
      <c r="B3" s="1160"/>
      <c r="C3" s="1160"/>
      <c r="D3" s="1160"/>
      <c r="E3" s="1160"/>
      <c r="F3" s="657"/>
      <c r="G3" s="657"/>
      <c r="H3" s="657"/>
      <c r="I3" s="657"/>
      <c r="J3" s="657"/>
      <c r="K3" s="658"/>
      <c r="L3" s="658"/>
      <c r="M3" s="658"/>
      <c r="N3" s="659"/>
      <c r="O3" s="660"/>
      <c r="P3" s="660"/>
      <c r="Q3" s="660"/>
      <c r="R3" s="657"/>
      <c r="S3" s="657"/>
      <c r="T3" s="661"/>
      <c r="U3" s="657"/>
      <c r="V3" s="657"/>
      <c r="W3" s="657"/>
      <c r="X3" s="657"/>
      <c r="Y3" s="657"/>
      <c r="Z3" s="660"/>
      <c r="AA3" s="662" t="s">
        <v>73</v>
      </c>
    </row>
    <row r="4" spans="1:27" s="643" customFormat="1" ht="44.25" customHeight="1" thickBot="1">
      <c r="A4" s="740" t="s">
        <v>74</v>
      </c>
      <c r="B4" s="741" t="s">
        <v>75</v>
      </c>
      <c r="C4" s="741" t="s">
        <v>76</v>
      </c>
      <c r="D4" s="741" t="s">
        <v>77</v>
      </c>
      <c r="E4" s="741" t="s">
        <v>78</v>
      </c>
      <c r="F4" s="742" t="s">
        <v>79</v>
      </c>
      <c r="G4" s="743" t="s">
        <v>80</v>
      </c>
      <c r="H4" s="743" t="s">
        <v>81</v>
      </c>
      <c r="I4" s="743" t="s">
        <v>82</v>
      </c>
      <c r="J4" s="741" t="s">
        <v>83</v>
      </c>
      <c r="K4" s="743" t="s">
        <v>470</v>
      </c>
      <c r="L4" s="743" t="s">
        <v>950</v>
      </c>
      <c r="M4" s="743" t="s">
        <v>84</v>
      </c>
      <c r="N4" s="743" t="s">
        <v>456</v>
      </c>
      <c r="O4" s="743" t="s">
        <v>85</v>
      </c>
      <c r="P4" s="743" t="s">
        <v>471</v>
      </c>
      <c r="Q4" s="743" t="s">
        <v>383</v>
      </c>
      <c r="R4" s="743" t="s">
        <v>61</v>
      </c>
      <c r="S4" s="744" t="s">
        <v>849</v>
      </c>
      <c r="T4" s="783" t="s">
        <v>87</v>
      </c>
      <c r="U4" s="876" t="s">
        <v>41</v>
      </c>
      <c r="V4" s="786" t="s">
        <v>88</v>
      </c>
      <c r="W4" s="786" t="s">
        <v>89</v>
      </c>
      <c r="X4" s="776" t="s">
        <v>307</v>
      </c>
      <c r="Y4" s="744" t="s">
        <v>90</v>
      </c>
      <c r="Z4" s="776" t="s">
        <v>91</v>
      </c>
      <c r="AA4" s="777" t="s">
        <v>757</v>
      </c>
    </row>
    <row r="5" spans="1:27" s="644" customFormat="1" ht="41.25" customHeight="1" thickTop="1">
      <c r="A5" s="1170" t="s">
        <v>93</v>
      </c>
      <c r="B5" s="1149"/>
      <c r="C5" s="1149"/>
      <c r="D5" s="1149"/>
      <c r="E5" s="1149"/>
      <c r="F5" s="663"/>
      <c r="G5" s="663">
        <f t="shared" ref="G5:K5" si="0">G6+G19+G32</f>
        <v>0</v>
      </c>
      <c r="H5" s="663">
        <f t="shared" si="0"/>
        <v>0</v>
      </c>
      <c r="I5" s="663">
        <f t="shared" si="0"/>
        <v>0</v>
      </c>
      <c r="J5" s="663">
        <f t="shared" si="0"/>
        <v>0</v>
      </c>
      <c r="K5" s="663">
        <f t="shared" si="0"/>
        <v>0</v>
      </c>
      <c r="L5" s="663">
        <f>L6+L19+L32</f>
        <v>7500000</v>
      </c>
      <c r="M5" s="663">
        <f t="shared" ref="M5:S5" si="1">M6+M19+M32</f>
        <v>0</v>
      </c>
      <c r="N5" s="663">
        <f t="shared" si="1"/>
        <v>0</v>
      </c>
      <c r="O5" s="663">
        <f t="shared" si="1"/>
        <v>0</v>
      </c>
      <c r="P5" s="663">
        <f t="shared" si="1"/>
        <v>0</v>
      </c>
      <c r="Q5" s="663">
        <f t="shared" si="1"/>
        <v>0</v>
      </c>
      <c r="R5" s="663">
        <f t="shared" si="1"/>
        <v>0</v>
      </c>
      <c r="S5" s="663">
        <f t="shared" si="1"/>
        <v>7500000</v>
      </c>
      <c r="T5" s="747"/>
      <c r="U5" s="877">
        <f t="shared" ref="U5:AA5" si="2">U6+U19+U32</f>
        <v>625000</v>
      </c>
      <c r="V5" s="714">
        <f t="shared" si="2"/>
        <v>0</v>
      </c>
      <c r="W5" s="714">
        <f t="shared" si="2"/>
        <v>227650</v>
      </c>
      <c r="X5" s="663">
        <f t="shared" si="2"/>
        <v>14940</v>
      </c>
      <c r="Y5" s="663">
        <f t="shared" si="2"/>
        <v>67500</v>
      </c>
      <c r="Z5" s="663">
        <f t="shared" si="2"/>
        <v>60000</v>
      </c>
      <c r="AA5" s="778">
        <f t="shared" si="2"/>
        <v>995090</v>
      </c>
    </row>
    <row r="6" spans="1:27" s="643" customFormat="1" ht="41.25" customHeight="1">
      <c r="A6" s="1171">
        <v>1</v>
      </c>
      <c r="B6" s="664" t="s">
        <v>455</v>
      </c>
      <c r="C6" s="665"/>
      <c r="D6" s="665">
        <v>11</v>
      </c>
      <c r="E6" s="666" t="s">
        <v>94</v>
      </c>
      <c r="F6" s="667">
        <f t="shared" ref="F6:K6" si="3">SUM(F7:F18)</f>
        <v>0</v>
      </c>
      <c r="G6" s="667">
        <f t="shared" si="3"/>
        <v>0</v>
      </c>
      <c r="H6" s="667">
        <f t="shared" si="3"/>
        <v>0</v>
      </c>
      <c r="I6" s="667">
        <f t="shared" si="3"/>
        <v>0</v>
      </c>
      <c r="J6" s="667">
        <f t="shared" si="3"/>
        <v>0</v>
      </c>
      <c r="K6" s="667">
        <f t="shared" si="3"/>
        <v>0</v>
      </c>
      <c r="L6" s="667">
        <f>SUM(L7:L18)</f>
        <v>7500000</v>
      </c>
      <c r="M6" s="667">
        <f t="shared" ref="M6:S6" si="4">SUM(M7:M18)</f>
        <v>0</v>
      </c>
      <c r="N6" s="667">
        <f t="shared" si="4"/>
        <v>0</v>
      </c>
      <c r="O6" s="667">
        <f t="shared" si="4"/>
        <v>0</v>
      </c>
      <c r="P6" s="667">
        <f t="shared" si="4"/>
        <v>0</v>
      </c>
      <c r="Q6" s="667">
        <f t="shared" si="4"/>
        <v>0</v>
      </c>
      <c r="R6" s="667">
        <f t="shared" si="4"/>
        <v>0</v>
      </c>
      <c r="S6" s="667">
        <f t="shared" si="4"/>
        <v>7500000</v>
      </c>
      <c r="T6" s="784"/>
      <c r="U6" s="878">
        <f t="shared" ref="U6:AA6" si="5">SUM(U7:U18)</f>
        <v>625000</v>
      </c>
      <c r="V6" s="715">
        <f t="shared" si="5"/>
        <v>0</v>
      </c>
      <c r="W6" s="715">
        <f t="shared" si="5"/>
        <v>227650</v>
      </c>
      <c r="X6" s="667">
        <f t="shared" si="5"/>
        <v>14940</v>
      </c>
      <c r="Y6" s="667">
        <f t="shared" si="5"/>
        <v>67500</v>
      </c>
      <c r="Z6" s="667">
        <f t="shared" si="5"/>
        <v>60000</v>
      </c>
      <c r="AA6" s="779">
        <f t="shared" si="5"/>
        <v>995090</v>
      </c>
    </row>
    <row r="7" spans="1:27" s="643" customFormat="1" ht="18" customHeight="1">
      <c r="A7" s="1172"/>
      <c r="B7" s="664" t="s">
        <v>450</v>
      </c>
      <c r="C7" s="665"/>
      <c r="D7" s="665">
        <v>1</v>
      </c>
      <c r="E7" s="669" t="s">
        <v>429</v>
      </c>
      <c r="F7" s="670"/>
      <c r="G7" s="671"/>
      <c r="H7" s="670"/>
      <c r="I7" s="672"/>
      <c r="J7" s="671"/>
      <c r="K7" s="671"/>
      <c r="L7" s="671">
        <f>300000*5</f>
        <v>1500000</v>
      </c>
      <c r="M7" s="671"/>
      <c r="N7" s="671"/>
      <c r="O7" s="671"/>
      <c r="P7" s="671"/>
      <c r="Q7" s="671"/>
      <c r="R7" s="672"/>
      <c r="S7" s="667">
        <f>SUM(F7:R7)</f>
        <v>1500000</v>
      </c>
      <c r="T7" s="784"/>
      <c r="U7" s="879">
        <f>ROUNDUP(S7*1/12,-1)</f>
        <v>125000</v>
      </c>
      <c r="V7" s="705"/>
      <c r="W7" s="705">
        <f>ROUNDUP((S7-J7)*3.035%,-1)</f>
        <v>45530</v>
      </c>
      <c r="X7" s="673">
        <f t="shared" ref="X7" si="6">ROUNDUP(W7*6.55%,-1)</f>
        <v>2990</v>
      </c>
      <c r="Y7" s="673">
        <f t="shared" ref="Y7" si="7">ROUND(S7*0.9%,-1)</f>
        <v>13500</v>
      </c>
      <c r="Z7" s="673">
        <f t="shared" ref="Z7" si="8">ROUND(S7*0.8%,-1)</f>
        <v>12000</v>
      </c>
      <c r="AA7" s="780">
        <f>SUM(U7:Z7)</f>
        <v>199020</v>
      </c>
    </row>
    <row r="8" spans="1:27" s="643" customFormat="1" ht="18" customHeight="1">
      <c r="A8" s="1172"/>
      <c r="B8" s="664" t="s">
        <v>451</v>
      </c>
      <c r="C8" s="665"/>
      <c r="D8" s="665">
        <v>1</v>
      </c>
      <c r="E8" s="669" t="s">
        <v>430</v>
      </c>
      <c r="F8" s="671"/>
      <c r="G8" s="671"/>
      <c r="H8" s="671"/>
      <c r="I8" s="671"/>
      <c r="J8" s="671"/>
      <c r="K8" s="671"/>
      <c r="L8" s="671">
        <f>200000*5</f>
        <v>1000000</v>
      </c>
      <c r="M8" s="671"/>
      <c r="N8" s="671"/>
      <c r="O8" s="671"/>
      <c r="P8" s="671"/>
      <c r="Q8" s="671"/>
      <c r="R8" s="672"/>
      <c r="S8" s="667">
        <f>SUM(F8:R8)</f>
        <v>1000000</v>
      </c>
      <c r="T8" s="784"/>
      <c r="U8" s="879">
        <f>ROUND(S8*1/12,-1)</f>
        <v>83330</v>
      </c>
      <c r="V8" s="705"/>
      <c r="W8" s="705">
        <f t="shared" ref="W8:W11" si="9">ROUNDUP((S8-J8)*3.035%,-1)</f>
        <v>30350</v>
      </c>
      <c r="X8" s="673">
        <f>ROUNDUP(W8*6.55%,-1)</f>
        <v>1990</v>
      </c>
      <c r="Y8" s="673">
        <f t="shared" ref="Y8:Y11" si="10">ROUND(S8*0.9%,-1)</f>
        <v>9000</v>
      </c>
      <c r="Z8" s="673">
        <f t="shared" ref="Z8:Z11" si="11">ROUND(S8*0.8%,-1)</f>
        <v>8000</v>
      </c>
      <c r="AA8" s="780">
        <f>SUM(U8:Z8)</f>
        <v>132670</v>
      </c>
    </row>
    <row r="9" spans="1:27" s="643" customFormat="1" ht="18" customHeight="1">
      <c r="A9" s="1172"/>
      <c r="B9" s="664" t="s">
        <v>452</v>
      </c>
      <c r="C9" s="665"/>
      <c r="D9" s="665">
        <v>1</v>
      </c>
      <c r="E9" s="669" t="s">
        <v>447</v>
      </c>
      <c r="F9" s="671"/>
      <c r="G9" s="671"/>
      <c r="H9" s="671"/>
      <c r="I9" s="671"/>
      <c r="J9" s="671"/>
      <c r="K9" s="671"/>
      <c r="L9" s="671">
        <f>150000*5</f>
        <v>750000</v>
      </c>
      <c r="M9" s="671"/>
      <c r="N9" s="671"/>
      <c r="O9" s="671"/>
      <c r="P9" s="671"/>
      <c r="Q9" s="671"/>
      <c r="R9" s="672"/>
      <c r="S9" s="667">
        <f>SUM(F9:R9)</f>
        <v>750000</v>
      </c>
      <c r="T9" s="784"/>
      <c r="U9" s="879">
        <f>ROUND(S9*1/12,-1)</f>
        <v>62500</v>
      </c>
      <c r="V9" s="705"/>
      <c r="W9" s="705">
        <f t="shared" si="9"/>
        <v>22770</v>
      </c>
      <c r="X9" s="673">
        <f t="shared" ref="X9:X11" si="12">ROUNDUP(W9*6.55%,-1)</f>
        <v>1500</v>
      </c>
      <c r="Y9" s="673">
        <f t="shared" si="10"/>
        <v>6750</v>
      </c>
      <c r="Z9" s="673">
        <f t="shared" si="11"/>
        <v>6000</v>
      </c>
      <c r="AA9" s="780">
        <f>SUM(U9:Z9)</f>
        <v>99520</v>
      </c>
    </row>
    <row r="10" spans="1:27" s="643" customFormat="1" ht="18" customHeight="1">
      <c r="A10" s="1172"/>
      <c r="B10" s="664" t="s">
        <v>453</v>
      </c>
      <c r="C10" s="665"/>
      <c r="D10" s="665">
        <v>1</v>
      </c>
      <c r="E10" s="669" t="s">
        <v>766</v>
      </c>
      <c r="F10" s="672"/>
      <c r="G10" s="671"/>
      <c r="H10" s="671"/>
      <c r="I10" s="671"/>
      <c r="J10" s="671"/>
      <c r="K10" s="671"/>
      <c r="L10" s="671">
        <f>150000*5</f>
        <v>750000</v>
      </c>
      <c r="M10" s="671"/>
      <c r="N10" s="671"/>
      <c r="O10" s="671"/>
      <c r="P10" s="671"/>
      <c r="Q10" s="671"/>
      <c r="R10" s="672"/>
      <c r="S10" s="667">
        <f>SUM(F10:R10)</f>
        <v>750000</v>
      </c>
      <c r="T10" s="784"/>
      <c r="U10" s="879">
        <f>ROUND(S10*1/12,-1)</f>
        <v>62500</v>
      </c>
      <c r="V10" s="705"/>
      <c r="W10" s="705">
        <f t="shared" si="9"/>
        <v>22770</v>
      </c>
      <c r="X10" s="673">
        <f t="shared" si="12"/>
        <v>1500</v>
      </c>
      <c r="Y10" s="673">
        <f t="shared" si="10"/>
        <v>6750</v>
      </c>
      <c r="Z10" s="673">
        <f t="shared" si="11"/>
        <v>6000</v>
      </c>
      <c r="AA10" s="780">
        <f>SUM(U10:Z10)</f>
        <v>99520</v>
      </c>
    </row>
    <row r="11" spans="1:27" s="643" customFormat="1" ht="18" customHeight="1" thickBot="1">
      <c r="A11" s="1173"/>
      <c r="B11" s="640" t="s">
        <v>454</v>
      </c>
      <c r="C11" s="768"/>
      <c r="D11" s="768">
        <v>7</v>
      </c>
      <c r="E11" s="769" t="s">
        <v>448</v>
      </c>
      <c r="F11" s="770"/>
      <c r="G11" s="770"/>
      <c r="H11" s="770"/>
      <c r="I11" s="770"/>
      <c r="J11" s="770"/>
      <c r="K11" s="770"/>
      <c r="L11" s="770">
        <f>100000*5*D11</f>
        <v>3500000</v>
      </c>
      <c r="M11" s="770"/>
      <c r="N11" s="770"/>
      <c r="O11" s="770"/>
      <c r="P11" s="770"/>
      <c r="Q11" s="770"/>
      <c r="R11" s="771"/>
      <c r="S11" s="639">
        <f>SUM(F11:R11)</f>
        <v>3500000</v>
      </c>
      <c r="T11" s="785"/>
      <c r="U11" s="880">
        <f>ROUND(S11*1/12,-1)</f>
        <v>291670</v>
      </c>
      <c r="V11" s="787"/>
      <c r="W11" s="787">
        <f t="shared" si="9"/>
        <v>106230</v>
      </c>
      <c r="X11" s="781">
        <f t="shared" si="12"/>
        <v>6960</v>
      </c>
      <c r="Y11" s="781">
        <f t="shared" si="10"/>
        <v>31500</v>
      </c>
      <c r="Z11" s="781">
        <f t="shared" si="11"/>
        <v>28000</v>
      </c>
      <c r="AA11" s="782">
        <f>SUM(U11:Z11)</f>
        <v>464360</v>
      </c>
    </row>
    <row r="12" spans="1:27" s="643" customFormat="1" ht="16.5" hidden="1" customHeight="1">
      <c r="A12" s="749"/>
      <c r="B12" s="693"/>
      <c r="C12" s="694"/>
      <c r="D12" s="694"/>
      <c r="E12" s="703"/>
      <c r="F12" s="696">
        <f>F11</f>
        <v>0</v>
      </c>
      <c r="G12" s="696">
        <f>F12*50%</f>
        <v>0</v>
      </c>
      <c r="H12" s="696">
        <v>0</v>
      </c>
      <c r="I12" s="696">
        <f>I7</f>
        <v>0</v>
      </c>
      <c r="J12" s="696">
        <v>0</v>
      </c>
      <c r="K12" s="696">
        <f>K11</f>
        <v>0</v>
      </c>
      <c r="L12" s="696">
        <v>0</v>
      </c>
      <c r="M12" s="696">
        <v>0</v>
      </c>
      <c r="N12" s="696">
        <f>N7</f>
        <v>0</v>
      </c>
      <c r="O12" s="696">
        <f>O7</f>
        <v>0</v>
      </c>
      <c r="P12" s="696">
        <f t="shared" ref="P12:P17" si="13">ROUND((F12)*1/209*1.5*40,-1)</f>
        <v>0</v>
      </c>
      <c r="Q12" s="696"/>
      <c r="R12" s="697">
        <f t="shared" ref="R12:R18" si="14">R11</f>
        <v>0</v>
      </c>
      <c r="S12" s="698">
        <f t="shared" ref="S12:S18" si="15">SUM(F12:R12)</f>
        <v>0</v>
      </c>
      <c r="T12" s="704"/>
      <c r="U12" s="641">
        <f t="shared" ref="U12:U18" si="16">ROUND(S12*1/12,-1)</f>
        <v>0</v>
      </c>
      <c r="V12" s="788">
        <f t="shared" ref="V12:V18" si="17">ROUND(S12*4.5%,-1)</f>
        <v>0</v>
      </c>
      <c r="W12" s="775">
        <f t="shared" ref="W12:W18" si="18">ROUND(S12*2.665%,-1)</f>
        <v>0</v>
      </c>
      <c r="X12" s="775">
        <f t="shared" ref="X12:X18" si="19">ROUND(W12*6.55%,-1)</f>
        <v>0</v>
      </c>
      <c r="Y12" s="775">
        <f t="shared" ref="Y12:Y18" si="20">ROUND(S12*0.7%,-1)</f>
        <v>0</v>
      </c>
      <c r="Z12" s="775">
        <f t="shared" ref="Z12:Z18" si="21">ROUND(S12*0.7%,-1)</f>
        <v>0</v>
      </c>
      <c r="AA12" s="699">
        <f t="shared" ref="AA12:AA18" si="22">SUM(U12:Z12)</f>
        <v>0</v>
      </c>
    </row>
    <row r="13" spans="1:27" s="643" customFormat="1" ht="16.5" hidden="1" customHeight="1">
      <c r="A13" s="749"/>
      <c r="B13" s="664"/>
      <c r="C13" s="665"/>
      <c r="D13" s="665"/>
      <c r="E13" s="669"/>
      <c r="F13" s="673">
        <f>F12</f>
        <v>0</v>
      </c>
      <c r="G13" s="671">
        <v>0</v>
      </c>
      <c r="H13" s="670">
        <f>F13*90%</f>
        <v>0</v>
      </c>
      <c r="I13" s="670" t="s">
        <v>68</v>
      </c>
      <c r="J13" s="671">
        <v>0</v>
      </c>
      <c r="K13" s="671">
        <f t="shared" ref="K13:L17" si="23">K12</f>
        <v>0</v>
      </c>
      <c r="L13" s="671">
        <f t="shared" si="23"/>
        <v>0</v>
      </c>
      <c r="M13" s="671">
        <v>0</v>
      </c>
      <c r="N13" s="671">
        <f>N12</f>
        <v>0</v>
      </c>
      <c r="O13" s="671">
        <f>O12</f>
        <v>0</v>
      </c>
      <c r="P13" s="671">
        <f t="shared" si="13"/>
        <v>0</v>
      </c>
      <c r="Q13" s="671"/>
      <c r="R13" s="672">
        <f t="shared" si="14"/>
        <v>0</v>
      </c>
      <c r="S13" s="667">
        <f t="shared" si="15"/>
        <v>0</v>
      </c>
      <c r="T13" s="701"/>
      <c r="U13" s="750">
        <f t="shared" si="16"/>
        <v>0</v>
      </c>
      <c r="V13" s="705">
        <f t="shared" si="17"/>
        <v>0</v>
      </c>
      <c r="W13" s="673">
        <f t="shared" si="18"/>
        <v>0</v>
      </c>
      <c r="X13" s="673">
        <f t="shared" si="19"/>
        <v>0</v>
      </c>
      <c r="Y13" s="673">
        <f t="shared" si="20"/>
        <v>0</v>
      </c>
      <c r="Z13" s="673">
        <f t="shared" si="21"/>
        <v>0</v>
      </c>
      <c r="AA13" s="674">
        <f t="shared" si="22"/>
        <v>0</v>
      </c>
    </row>
    <row r="14" spans="1:27" s="643" customFormat="1" ht="16.5" hidden="1" customHeight="1">
      <c r="A14" s="749"/>
      <c r="B14" s="664"/>
      <c r="C14" s="665"/>
      <c r="D14" s="665"/>
      <c r="E14" s="669"/>
      <c r="F14" s="671">
        <f>F13</f>
        <v>0</v>
      </c>
      <c r="G14" s="671">
        <v>0</v>
      </c>
      <c r="H14" s="671">
        <v>0</v>
      </c>
      <c r="I14" s="671" t="str">
        <f>I13</f>
        <v>-</v>
      </c>
      <c r="J14" s="671">
        <v>0</v>
      </c>
      <c r="K14" s="671">
        <f t="shared" si="23"/>
        <v>0</v>
      </c>
      <c r="L14" s="671">
        <f t="shared" si="23"/>
        <v>0</v>
      </c>
      <c r="M14" s="671">
        <v>0</v>
      </c>
      <c r="N14" s="671">
        <f>N13</f>
        <v>0</v>
      </c>
      <c r="O14" s="671">
        <f>O13</f>
        <v>0</v>
      </c>
      <c r="P14" s="671">
        <f t="shared" si="13"/>
        <v>0</v>
      </c>
      <c r="Q14" s="671"/>
      <c r="R14" s="672">
        <f t="shared" si="14"/>
        <v>0</v>
      </c>
      <c r="S14" s="667">
        <f t="shared" si="15"/>
        <v>0</v>
      </c>
      <c r="T14" s="701"/>
      <c r="U14" s="750">
        <f t="shared" si="16"/>
        <v>0</v>
      </c>
      <c r="V14" s="705">
        <f t="shared" si="17"/>
        <v>0</v>
      </c>
      <c r="W14" s="673">
        <f t="shared" si="18"/>
        <v>0</v>
      </c>
      <c r="X14" s="673">
        <f t="shared" si="19"/>
        <v>0</v>
      </c>
      <c r="Y14" s="673">
        <f t="shared" si="20"/>
        <v>0</v>
      </c>
      <c r="Z14" s="673">
        <f t="shared" si="21"/>
        <v>0</v>
      </c>
      <c r="AA14" s="674">
        <f t="shared" si="22"/>
        <v>0</v>
      </c>
    </row>
    <row r="15" spans="1:27" s="643" customFormat="1" ht="16.5" hidden="1" customHeight="1">
      <c r="A15" s="749"/>
      <c r="B15" s="664"/>
      <c r="C15" s="665"/>
      <c r="D15" s="665"/>
      <c r="E15" s="669"/>
      <c r="F15" s="671">
        <f>F13</f>
        <v>0</v>
      </c>
      <c r="G15" s="671">
        <f>F15*50%</f>
        <v>0</v>
      </c>
      <c r="H15" s="671">
        <v>0</v>
      </c>
      <c r="I15" s="671" t="str">
        <f>I13</f>
        <v>-</v>
      </c>
      <c r="J15" s="671">
        <v>0</v>
      </c>
      <c r="K15" s="671">
        <f t="shared" si="23"/>
        <v>0</v>
      </c>
      <c r="L15" s="671">
        <f t="shared" si="23"/>
        <v>0</v>
      </c>
      <c r="M15" s="671">
        <f>F15*50%</f>
        <v>0</v>
      </c>
      <c r="N15" s="671">
        <f>N13</f>
        <v>0</v>
      </c>
      <c r="O15" s="671">
        <f>O13</f>
        <v>0</v>
      </c>
      <c r="P15" s="671">
        <f t="shared" si="13"/>
        <v>0</v>
      </c>
      <c r="Q15" s="671"/>
      <c r="R15" s="672">
        <f t="shared" si="14"/>
        <v>0</v>
      </c>
      <c r="S15" s="667">
        <f t="shared" si="15"/>
        <v>0</v>
      </c>
      <c r="T15" s="701"/>
      <c r="U15" s="750">
        <f t="shared" si="16"/>
        <v>0</v>
      </c>
      <c r="V15" s="705">
        <f t="shared" si="17"/>
        <v>0</v>
      </c>
      <c r="W15" s="673">
        <f t="shared" si="18"/>
        <v>0</v>
      </c>
      <c r="X15" s="673">
        <f t="shared" si="19"/>
        <v>0</v>
      </c>
      <c r="Y15" s="673">
        <f t="shared" si="20"/>
        <v>0</v>
      </c>
      <c r="Z15" s="673">
        <f t="shared" si="21"/>
        <v>0</v>
      </c>
      <c r="AA15" s="674">
        <f t="shared" si="22"/>
        <v>0</v>
      </c>
    </row>
    <row r="16" spans="1:27" s="643" customFormat="1" ht="16.5" hidden="1" customHeight="1">
      <c r="A16" s="749"/>
      <c r="B16" s="664"/>
      <c r="C16" s="665"/>
      <c r="D16" s="665"/>
      <c r="E16" s="669"/>
      <c r="F16" s="671">
        <f>F13</f>
        <v>0</v>
      </c>
      <c r="G16" s="671">
        <v>0</v>
      </c>
      <c r="H16" s="671">
        <v>0</v>
      </c>
      <c r="I16" s="671" t="str">
        <f>I13</f>
        <v>-</v>
      </c>
      <c r="J16" s="671">
        <f>F16*50%</f>
        <v>0</v>
      </c>
      <c r="K16" s="671">
        <f t="shared" si="23"/>
        <v>0</v>
      </c>
      <c r="L16" s="671">
        <f t="shared" si="23"/>
        <v>0</v>
      </c>
      <c r="M16" s="671">
        <v>0</v>
      </c>
      <c r="N16" s="671">
        <f>N13</f>
        <v>0</v>
      </c>
      <c r="O16" s="671">
        <f>O13</f>
        <v>0</v>
      </c>
      <c r="P16" s="671">
        <f t="shared" si="13"/>
        <v>0</v>
      </c>
      <c r="Q16" s="671"/>
      <c r="R16" s="672">
        <f t="shared" si="14"/>
        <v>0</v>
      </c>
      <c r="S16" s="667">
        <f t="shared" si="15"/>
        <v>0</v>
      </c>
      <c r="T16" s="701"/>
      <c r="U16" s="750">
        <f t="shared" si="16"/>
        <v>0</v>
      </c>
      <c r="V16" s="705">
        <f t="shared" si="17"/>
        <v>0</v>
      </c>
      <c r="W16" s="673">
        <f t="shared" si="18"/>
        <v>0</v>
      </c>
      <c r="X16" s="673">
        <f t="shared" si="19"/>
        <v>0</v>
      </c>
      <c r="Y16" s="673">
        <f t="shared" si="20"/>
        <v>0</v>
      </c>
      <c r="Z16" s="673">
        <f t="shared" si="21"/>
        <v>0</v>
      </c>
      <c r="AA16" s="674">
        <f t="shared" si="22"/>
        <v>0</v>
      </c>
    </row>
    <row r="17" spans="1:27" s="643" customFormat="1" ht="16.5" hidden="1" customHeight="1">
      <c r="A17" s="749"/>
      <c r="B17" s="664"/>
      <c r="C17" s="665"/>
      <c r="D17" s="665"/>
      <c r="E17" s="669"/>
      <c r="F17" s="671">
        <f>F13</f>
        <v>0</v>
      </c>
      <c r="G17" s="671">
        <v>0</v>
      </c>
      <c r="H17" s="671">
        <v>0</v>
      </c>
      <c r="I17" s="671" t="str">
        <f>I13</f>
        <v>-</v>
      </c>
      <c r="J17" s="671">
        <f>F17*50%</f>
        <v>0</v>
      </c>
      <c r="K17" s="671">
        <f t="shared" si="23"/>
        <v>0</v>
      </c>
      <c r="L17" s="671">
        <f t="shared" si="23"/>
        <v>0</v>
      </c>
      <c r="M17" s="671">
        <v>0</v>
      </c>
      <c r="N17" s="671">
        <f>N13</f>
        <v>0</v>
      </c>
      <c r="O17" s="671">
        <f>O13</f>
        <v>0</v>
      </c>
      <c r="P17" s="671">
        <f t="shared" si="13"/>
        <v>0</v>
      </c>
      <c r="Q17" s="671"/>
      <c r="R17" s="672">
        <f t="shared" si="14"/>
        <v>0</v>
      </c>
      <c r="S17" s="667">
        <f t="shared" si="15"/>
        <v>0</v>
      </c>
      <c r="T17" s="701"/>
      <c r="U17" s="750">
        <f t="shared" si="16"/>
        <v>0</v>
      </c>
      <c r="V17" s="705">
        <f t="shared" si="17"/>
        <v>0</v>
      </c>
      <c r="W17" s="673">
        <f t="shared" si="18"/>
        <v>0</v>
      </c>
      <c r="X17" s="673">
        <f t="shared" si="19"/>
        <v>0</v>
      </c>
      <c r="Y17" s="673">
        <f t="shared" si="20"/>
        <v>0</v>
      </c>
      <c r="Z17" s="673">
        <f t="shared" si="21"/>
        <v>0</v>
      </c>
      <c r="AA17" s="674">
        <f t="shared" si="22"/>
        <v>0</v>
      </c>
    </row>
    <row r="18" spans="1:27" s="643" customFormat="1" ht="16.5" hidden="1" customHeight="1">
      <c r="A18" s="751"/>
      <c r="B18" s="675"/>
      <c r="C18" s="676"/>
      <c r="D18" s="676"/>
      <c r="E18" s="707"/>
      <c r="F18" s="708">
        <f>F13</f>
        <v>0</v>
      </c>
      <c r="G18" s="708">
        <f>F18*50%</f>
        <v>0</v>
      </c>
      <c r="H18" s="708">
        <v>0</v>
      </c>
      <c r="I18" s="708" t="str">
        <f>I13</f>
        <v>-</v>
      </c>
      <c r="J18" s="708">
        <v>0</v>
      </c>
      <c r="K18" s="708">
        <f>K17</f>
        <v>0</v>
      </c>
      <c r="L18" s="708">
        <f>L17</f>
        <v>0</v>
      </c>
      <c r="M18" s="708">
        <v>0</v>
      </c>
      <c r="N18" s="708">
        <f>N13</f>
        <v>0</v>
      </c>
      <c r="O18" s="708">
        <f>O13</f>
        <v>0</v>
      </c>
      <c r="P18" s="708">
        <f>ROUND((F18)*1/209*1.5*40*2,-1)</f>
        <v>0</v>
      </c>
      <c r="Q18" s="708"/>
      <c r="R18" s="709">
        <f t="shared" si="14"/>
        <v>0</v>
      </c>
      <c r="S18" s="678">
        <f t="shared" si="15"/>
        <v>0</v>
      </c>
      <c r="T18" s="702"/>
      <c r="U18" s="752">
        <f t="shared" si="16"/>
        <v>0</v>
      </c>
      <c r="V18" s="710">
        <f t="shared" si="17"/>
        <v>0</v>
      </c>
      <c r="W18" s="711">
        <f t="shared" si="18"/>
        <v>0</v>
      </c>
      <c r="X18" s="711">
        <f t="shared" si="19"/>
        <v>0</v>
      </c>
      <c r="Y18" s="711">
        <f t="shared" si="20"/>
        <v>0</v>
      </c>
      <c r="Z18" s="711">
        <f t="shared" si="21"/>
        <v>0</v>
      </c>
      <c r="AA18" s="712">
        <f t="shared" si="22"/>
        <v>0</v>
      </c>
    </row>
    <row r="19" spans="1:27" s="643" customFormat="1" ht="41.25" hidden="1" customHeight="1">
      <c r="A19" s="1171">
        <v>1</v>
      </c>
      <c r="B19" s="664" t="s">
        <v>416</v>
      </c>
      <c r="C19" s="665" t="s">
        <v>333</v>
      </c>
      <c r="D19" s="665">
        <v>1</v>
      </c>
      <c r="E19" s="666" t="s">
        <v>94</v>
      </c>
      <c r="F19" s="667">
        <f t="shared" ref="F19:S19" si="24">SUM(F20:F31)</f>
        <v>0</v>
      </c>
      <c r="G19" s="667">
        <f t="shared" si="24"/>
        <v>0</v>
      </c>
      <c r="H19" s="667">
        <f t="shared" si="24"/>
        <v>0</v>
      </c>
      <c r="I19" s="667">
        <f t="shared" si="24"/>
        <v>0</v>
      </c>
      <c r="J19" s="667">
        <f t="shared" si="24"/>
        <v>0</v>
      </c>
      <c r="K19" s="667">
        <f t="shared" si="24"/>
        <v>0</v>
      </c>
      <c r="L19" s="667">
        <f t="shared" si="24"/>
        <v>0</v>
      </c>
      <c r="M19" s="667">
        <f t="shared" si="24"/>
        <v>0</v>
      </c>
      <c r="N19" s="667">
        <f t="shared" si="24"/>
        <v>0</v>
      </c>
      <c r="O19" s="667">
        <f t="shared" si="24"/>
        <v>0</v>
      </c>
      <c r="P19" s="667">
        <f t="shared" si="24"/>
        <v>0</v>
      </c>
      <c r="Q19" s="667">
        <f t="shared" si="24"/>
        <v>0</v>
      </c>
      <c r="R19" s="667">
        <f t="shared" si="24"/>
        <v>0</v>
      </c>
      <c r="S19" s="667">
        <f t="shared" si="24"/>
        <v>0</v>
      </c>
      <c r="T19" s="701" t="s">
        <v>437</v>
      </c>
      <c r="U19" s="748">
        <f t="shared" ref="U19:AA19" si="25">SUM(U20:U31)</f>
        <v>0</v>
      </c>
      <c r="V19" s="715">
        <f t="shared" si="25"/>
        <v>0</v>
      </c>
      <c r="W19" s="698">
        <f t="shared" si="25"/>
        <v>0</v>
      </c>
      <c r="X19" s="698">
        <f t="shared" si="25"/>
        <v>0</v>
      </c>
      <c r="Y19" s="667">
        <f t="shared" si="25"/>
        <v>0</v>
      </c>
      <c r="Z19" s="698">
        <f t="shared" si="25"/>
        <v>0</v>
      </c>
      <c r="AA19" s="668">
        <f t="shared" si="25"/>
        <v>0</v>
      </c>
    </row>
    <row r="20" spans="1:27" s="643" customFormat="1" ht="16.5" hidden="1" customHeight="1">
      <c r="A20" s="1174"/>
      <c r="B20" s="664"/>
      <c r="C20" s="665">
        <v>3</v>
      </c>
      <c r="D20" s="665"/>
      <c r="E20" s="669" t="s">
        <v>324</v>
      </c>
      <c r="F20" s="670"/>
      <c r="G20" s="671"/>
      <c r="H20" s="670"/>
      <c r="I20" s="672"/>
      <c r="J20" s="671"/>
      <c r="K20" s="671"/>
      <c r="L20" s="671"/>
      <c r="M20" s="671"/>
      <c r="N20" s="671"/>
      <c r="O20" s="671"/>
      <c r="P20" s="671"/>
      <c r="Q20" s="671"/>
      <c r="R20" s="672" t="s">
        <v>68</v>
      </c>
      <c r="S20" s="667">
        <f t="shared" ref="S20:S31" si="26">SUM(F20:R20)</f>
        <v>0</v>
      </c>
      <c r="T20" s="701"/>
      <c r="U20" s="750">
        <f t="shared" ref="U20:U31" si="27">ROUND(S20*1/12,-1)</f>
        <v>0</v>
      </c>
      <c r="V20" s="705">
        <f t="shared" ref="V20:V31" si="28">ROUND(S20*4.5%,-1)</f>
        <v>0</v>
      </c>
      <c r="W20" s="673">
        <f>ROUND(S20*2.665%,-1)</f>
        <v>0</v>
      </c>
      <c r="X20" s="673">
        <f>ROUND(W20*6.55%,-1)</f>
        <v>0</v>
      </c>
      <c r="Y20" s="673">
        <f t="shared" ref="Y20:Y31" si="29">ROUND(S20*0.7%,-1)</f>
        <v>0</v>
      </c>
      <c r="Z20" s="673">
        <f>ROUND(S20*0.7%,-1)</f>
        <v>0</v>
      </c>
      <c r="AA20" s="674">
        <f t="shared" ref="AA20:AA31" si="30">SUM(U20:Z20)</f>
        <v>0</v>
      </c>
    </row>
    <row r="21" spans="1:27" s="643" customFormat="1" ht="16.5" hidden="1" customHeight="1">
      <c r="A21" s="1174"/>
      <c r="B21" s="664"/>
      <c r="C21" s="665"/>
      <c r="D21" s="665"/>
      <c r="E21" s="669" t="s">
        <v>325</v>
      </c>
      <c r="F21" s="671"/>
      <c r="G21" s="671"/>
      <c r="H21" s="671"/>
      <c r="I21" s="671"/>
      <c r="J21" s="671"/>
      <c r="K21" s="671"/>
      <c r="L21" s="671"/>
      <c r="M21" s="671"/>
      <c r="N21" s="671"/>
      <c r="O21" s="671"/>
      <c r="P21" s="671"/>
      <c r="Q21" s="671"/>
      <c r="R21" s="672" t="str">
        <f t="shared" ref="R21:R31" si="31">R20</f>
        <v>-</v>
      </c>
      <c r="S21" s="667">
        <f t="shared" si="26"/>
        <v>0</v>
      </c>
      <c r="T21" s="701"/>
      <c r="U21" s="750">
        <f t="shared" si="27"/>
        <v>0</v>
      </c>
      <c r="V21" s="705">
        <f t="shared" si="28"/>
        <v>0</v>
      </c>
      <c r="W21" s="673">
        <f t="shared" ref="W21:W31" si="32">ROUND(S21*2.665%,-1)</f>
        <v>0</v>
      </c>
      <c r="X21" s="673">
        <f t="shared" ref="X21:X31" si="33">ROUND(W21*6.55%,-1)</f>
        <v>0</v>
      </c>
      <c r="Y21" s="673">
        <f t="shared" si="29"/>
        <v>0</v>
      </c>
      <c r="Z21" s="673">
        <f t="shared" ref="Z21:Z31" si="34">ROUND(S21*0.7%,-1)</f>
        <v>0</v>
      </c>
      <c r="AA21" s="674">
        <f t="shared" si="30"/>
        <v>0</v>
      </c>
    </row>
    <row r="22" spans="1:27" s="643" customFormat="1" ht="16.5" hidden="1" customHeight="1">
      <c r="A22" s="1174"/>
      <c r="B22" s="664"/>
      <c r="C22" s="665"/>
      <c r="D22" s="665"/>
      <c r="E22" s="669" t="s">
        <v>326</v>
      </c>
      <c r="F22" s="671"/>
      <c r="G22" s="671"/>
      <c r="H22" s="671"/>
      <c r="I22" s="671"/>
      <c r="J22" s="671"/>
      <c r="K22" s="671"/>
      <c r="L22" s="671"/>
      <c r="M22" s="671"/>
      <c r="N22" s="671"/>
      <c r="O22" s="671"/>
      <c r="P22" s="671"/>
      <c r="Q22" s="671"/>
      <c r="R22" s="672" t="str">
        <f t="shared" si="31"/>
        <v>-</v>
      </c>
      <c r="S22" s="667">
        <f t="shared" si="26"/>
        <v>0</v>
      </c>
      <c r="T22" s="701"/>
      <c r="U22" s="750">
        <f t="shared" si="27"/>
        <v>0</v>
      </c>
      <c r="V22" s="705">
        <f t="shared" si="28"/>
        <v>0</v>
      </c>
      <c r="W22" s="673">
        <f t="shared" si="32"/>
        <v>0</v>
      </c>
      <c r="X22" s="673">
        <f t="shared" si="33"/>
        <v>0</v>
      </c>
      <c r="Y22" s="673">
        <f t="shared" si="29"/>
        <v>0</v>
      </c>
      <c r="Z22" s="673">
        <f t="shared" si="34"/>
        <v>0</v>
      </c>
      <c r="AA22" s="674">
        <f t="shared" si="30"/>
        <v>0</v>
      </c>
    </row>
    <row r="23" spans="1:27" s="643" customFormat="1" ht="16.5" hidden="1" customHeight="1">
      <c r="A23" s="1174"/>
      <c r="B23" s="664"/>
      <c r="C23" s="665"/>
      <c r="D23" s="665"/>
      <c r="E23" s="669" t="s">
        <v>327</v>
      </c>
      <c r="F23" s="672"/>
      <c r="G23" s="671"/>
      <c r="H23" s="671"/>
      <c r="I23" s="671"/>
      <c r="J23" s="671"/>
      <c r="K23" s="671"/>
      <c r="L23" s="671"/>
      <c r="M23" s="671"/>
      <c r="N23" s="671"/>
      <c r="O23" s="671"/>
      <c r="P23" s="671"/>
      <c r="Q23" s="671"/>
      <c r="R23" s="672" t="str">
        <f t="shared" si="31"/>
        <v>-</v>
      </c>
      <c r="S23" s="667">
        <f t="shared" si="26"/>
        <v>0</v>
      </c>
      <c r="T23" s="701"/>
      <c r="U23" s="750">
        <f t="shared" si="27"/>
        <v>0</v>
      </c>
      <c r="V23" s="705">
        <f t="shared" si="28"/>
        <v>0</v>
      </c>
      <c r="W23" s="673">
        <f t="shared" si="32"/>
        <v>0</v>
      </c>
      <c r="X23" s="673">
        <f t="shared" si="33"/>
        <v>0</v>
      </c>
      <c r="Y23" s="673">
        <f t="shared" si="29"/>
        <v>0</v>
      </c>
      <c r="Z23" s="673">
        <f t="shared" si="34"/>
        <v>0</v>
      </c>
      <c r="AA23" s="674">
        <f t="shared" si="30"/>
        <v>0</v>
      </c>
    </row>
    <row r="24" spans="1:27" s="643" customFormat="1" ht="16.5" hidden="1" customHeight="1">
      <c r="A24" s="1174"/>
      <c r="B24" s="664"/>
      <c r="C24" s="665"/>
      <c r="D24" s="665"/>
      <c r="E24" s="669" t="s">
        <v>328</v>
      </c>
      <c r="F24" s="671"/>
      <c r="G24" s="671"/>
      <c r="H24" s="671"/>
      <c r="I24" s="671"/>
      <c r="J24" s="671"/>
      <c r="K24" s="671"/>
      <c r="L24" s="671"/>
      <c r="M24" s="671"/>
      <c r="N24" s="671"/>
      <c r="O24" s="671"/>
      <c r="P24" s="671"/>
      <c r="Q24" s="671"/>
      <c r="R24" s="672" t="str">
        <f t="shared" si="31"/>
        <v>-</v>
      </c>
      <c r="S24" s="667">
        <f t="shared" si="26"/>
        <v>0</v>
      </c>
      <c r="T24" s="701"/>
      <c r="U24" s="750">
        <f t="shared" si="27"/>
        <v>0</v>
      </c>
      <c r="V24" s="705">
        <f t="shared" si="28"/>
        <v>0</v>
      </c>
      <c r="W24" s="673">
        <f t="shared" si="32"/>
        <v>0</v>
      </c>
      <c r="X24" s="673">
        <f t="shared" si="33"/>
        <v>0</v>
      </c>
      <c r="Y24" s="673">
        <f t="shared" si="29"/>
        <v>0</v>
      </c>
      <c r="Z24" s="673">
        <f t="shared" si="34"/>
        <v>0</v>
      </c>
      <c r="AA24" s="674">
        <f t="shared" si="30"/>
        <v>0</v>
      </c>
    </row>
    <row r="25" spans="1:27" s="643" customFormat="1" ht="16.5" hidden="1" customHeight="1">
      <c r="A25" s="1174"/>
      <c r="B25" s="664"/>
      <c r="C25" s="665"/>
      <c r="D25" s="665"/>
      <c r="E25" s="669" t="s">
        <v>329</v>
      </c>
      <c r="F25" s="671"/>
      <c r="G25" s="671"/>
      <c r="H25" s="671"/>
      <c r="I25" s="671"/>
      <c r="J25" s="671"/>
      <c r="K25" s="671"/>
      <c r="L25" s="671"/>
      <c r="M25" s="671"/>
      <c r="N25" s="671"/>
      <c r="O25" s="671"/>
      <c r="P25" s="671"/>
      <c r="Q25" s="671"/>
      <c r="R25" s="672" t="str">
        <f t="shared" si="31"/>
        <v>-</v>
      </c>
      <c r="S25" s="667">
        <f t="shared" si="26"/>
        <v>0</v>
      </c>
      <c r="T25" s="701"/>
      <c r="U25" s="750">
        <f t="shared" si="27"/>
        <v>0</v>
      </c>
      <c r="V25" s="705">
        <f t="shared" si="28"/>
        <v>0</v>
      </c>
      <c r="W25" s="673">
        <f t="shared" si="32"/>
        <v>0</v>
      </c>
      <c r="X25" s="673">
        <f t="shared" si="33"/>
        <v>0</v>
      </c>
      <c r="Y25" s="673">
        <f t="shared" si="29"/>
        <v>0</v>
      </c>
      <c r="Z25" s="673">
        <f t="shared" si="34"/>
        <v>0</v>
      </c>
      <c r="AA25" s="674">
        <f t="shared" si="30"/>
        <v>0</v>
      </c>
    </row>
    <row r="26" spans="1:27" s="643" customFormat="1" ht="16.5" hidden="1" customHeight="1">
      <c r="A26" s="1174"/>
      <c r="B26" s="664"/>
      <c r="C26" s="665"/>
      <c r="D26" s="665"/>
      <c r="E26" s="669" t="s">
        <v>330</v>
      </c>
      <c r="F26" s="673"/>
      <c r="G26" s="671"/>
      <c r="H26" s="670"/>
      <c r="I26" s="672"/>
      <c r="J26" s="671"/>
      <c r="K26" s="671"/>
      <c r="L26" s="671"/>
      <c r="M26" s="671"/>
      <c r="N26" s="671"/>
      <c r="O26" s="671"/>
      <c r="P26" s="671"/>
      <c r="Q26" s="671"/>
      <c r="R26" s="672" t="str">
        <f t="shared" si="31"/>
        <v>-</v>
      </c>
      <c r="S26" s="667">
        <f t="shared" si="26"/>
        <v>0</v>
      </c>
      <c r="T26" s="701"/>
      <c r="U26" s="750">
        <f t="shared" si="27"/>
        <v>0</v>
      </c>
      <c r="V26" s="705">
        <f t="shared" si="28"/>
        <v>0</v>
      </c>
      <c r="W26" s="673">
        <f t="shared" si="32"/>
        <v>0</v>
      </c>
      <c r="X26" s="673">
        <f t="shared" si="33"/>
        <v>0</v>
      </c>
      <c r="Y26" s="673">
        <f t="shared" si="29"/>
        <v>0</v>
      </c>
      <c r="Z26" s="673">
        <f t="shared" si="34"/>
        <v>0</v>
      </c>
      <c r="AA26" s="674">
        <f t="shared" si="30"/>
        <v>0</v>
      </c>
    </row>
    <row r="27" spans="1:27" s="643" customFormat="1" ht="16.5" hidden="1" customHeight="1">
      <c r="A27" s="1174"/>
      <c r="B27" s="664"/>
      <c r="C27" s="665"/>
      <c r="D27" s="665"/>
      <c r="E27" s="669" t="s">
        <v>331</v>
      </c>
      <c r="F27" s="671"/>
      <c r="G27" s="671"/>
      <c r="H27" s="671"/>
      <c r="I27" s="671"/>
      <c r="J27" s="671"/>
      <c r="K27" s="671"/>
      <c r="L27" s="671"/>
      <c r="M27" s="671"/>
      <c r="N27" s="671"/>
      <c r="O27" s="671"/>
      <c r="P27" s="671"/>
      <c r="Q27" s="671"/>
      <c r="R27" s="672" t="str">
        <f t="shared" si="31"/>
        <v>-</v>
      </c>
      <c r="S27" s="667">
        <f t="shared" si="26"/>
        <v>0</v>
      </c>
      <c r="T27" s="701"/>
      <c r="U27" s="750">
        <f t="shared" si="27"/>
        <v>0</v>
      </c>
      <c r="V27" s="705">
        <f t="shared" si="28"/>
        <v>0</v>
      </c>
      <c r="W27" s="673">
        <f t="shared" si="32"/>
        <v>0</v>
      </c>
      <c r="X27" s="673">
        <f t="shared" si="33"/>
        <v>0</v>
      </c>
      <c r="Y27" s="673">
        <f t="shared" si="29"/>
        <v>0</v>
      </c>
      <c r="Z27" s="673">
        <f t="shared" si="34"/>
        <v>0</v>
      </c>
      <c r="AA27" s="674">
        <f t="shared" si="30"/>
        <v>0</v>
      </c>
    </row>
    <row r="28" spans="1:27" s="643" customFormat="1" ht="16.5" hidden="1" customHeight="1">
      <c r="A28" s="1174"/>
      <c r="B28" s="664"/>
      <c r="C28" s="665"/>
      <c r="D28" s="665"/>
      <c r="E28" s="669" t="s">
        <v>62</v>
      </c>
      <c r="F28" s="671"/>
      <c r="G28" s="671"/>
      <c r="H28" s="671"/>
      <c r="I28" s="671"/>
      <c r="J28" s="671"/>
      <c r="K28" s="671"/>
      <c r="L28" s="671"/>
      <c r="M28" s="671"/>
      <c r="N28" s="671"/>
      <c r="O28" s="671"/>
      <c r="P28" s="671"/>
      <c r="Q28" s="671"/>
      <c r="R28" s="672" t="str">
        <f t="shared" si="31"/>
        <v>-</v>
      </c>
      <c r="S28" s="667">
        <f t="shared" si="26"/>
        <v>0</v>
      </c>
      <c r="T28" s="701"/>
      <c r="U28" s="750">
        <f t="shared" si="27"/>
        <v>0</v>
      </c>
      <c r="V28" s="705">
        <f t="shared" si="28"/>
        <v>0</v>
      </c>
      <c r="W28" s="673">
        <f t="shared" si="32"/>
        <v>0</v>
      </c>
      <c r="X28" s="673">
        <f t="shared" si="33"/>
        <v>0</v>
      </c>
      <c r="Y28" s="673">
        <f t="shared" si="29"/>
        <v>0</v>
      </c>
      <c r="Z28" s="673">
        <f t="shared" si="34"/>
        <v>0</v>
      </c>
      <c r="AA28" s="674">
        <f t="shared" si="30"/>
        <v>0</v>
      </c>
    </row>
    <row r="29" spans="1:27" s="643" customFormat="1" ht="16.5" hidden="1" customHeight="1">
      <c r="A29" s="1174"/>
      <c r="B29" s="664"/>
      <c r="C29" s="665">
        <v>4</v>
      </c>
      <c r="D29" s="665"/>
      <c r="E29" s="669" t="s">
        <v>63</v>
      </c>
      <c r="F29" s="670"/>
      <c r="G29" s="671"/>
      <c r="H29" s="671"/>
      <c r="I29" s="670"/>
      <c r="J29" s="671"/>
      <c r="K29" s="671"/>
      <c r="L29" s="671"/>
      <c r="M29" s="671"/>
      <c r="N29" s="671"/>
      <c r="O29" s="671"/>
      <c r="P29" s="671"/>
      <c r="Q29" s="671"/>
      <c r="R29" s="672" t="str">
        <f t="shared" si="31"/>
        <v>-</v>
      </c>
      <c r="S29" s="667">
        <f t="shared" si="26"/>
        <v>0</v>
      </c>
      <c r="T29" s="701"/>
      <c r="U29" s="750">
        <f t="shared" si="27"/>
        <v>0</v>
      </c>
      <c r="V29" s="705">
        <f t="shared" si="28"/>
        <v>0</v>
      </c>
      <c r="W29" s="673">
        <f t="shared" si="32"/>
        <v>0</v>
      </c>
      <c r="X29" s="673">
        <f t="shared" si="33"/>
        <v>0</v>
      </c>
      <c r="Y29" s="673">
        <f t="shared" si="29"/>
        <v>0</v>
      </c>
      <c r="Z29" s="673">
        <f t="shared" si="34"/>
        <v>0</v>
      </c>
      <c r="AA29" s="674">
        <f t="shared" si="30"/>
        <v>0</v>
      </c>
    </row>
    <row r="30" spans="1:27" s="643" customFormat="1" ht="16.5" hidden="1" customHeight="1">
      <c r="A30" s="1174"/>
      <c r="B30" s="664"/>
      <c r="C30" s="665"/>
      <c r="D30" s="665"/>
      <c r="E30" s="669" t="s">
        <v>64</v>
      </c>
      <c r="F30" s="671"/>
      <c r="G30" s="671"/>
      <c r="H30" s="671"/>
      <c r="I30" s="671"/>
      <c r="J30" s="671"/>
      <c r="K30" s="671"/>
      <c r="L30" s="671"/>
      <c r="M30" s="671"/>
      <c r="N30" s="671"/>
      <c r="O30" s="671"/>
      <c r="P30" s="671"/>
      <c r="Q30" s="671"/>
      <c r="R30" s="672" t="str">
        <f t="shared" si="31"/>
        <v>-</v>
      </c>
      <c r="S30" s="667">
        <f t="shared" si="26"/>
        <v>0</v>
      </c>
      <c r="T30" s="701"/>
      <c r="U30" s="750">
        <f t="shared" si="27"/>
        <v>0</v>
      </c>
      <c r="V30" s="705">
        <f t="shared" si="28"/>
        <v>0</v>
      </c>
      <c r="W30" s="673">
        <f t="shared" si="32"/>
        <v>0</v>
      </c>
      <c r="X30" s="673">
        <f t="shared" si="33"/>
        <v>0</v>
      </c>
      <c r="Y30" s="673">
        <f t="shared" si="29"/>
        <v>0</v>
      </c>
      <c r="Z30" s="673">
        <f t="shared" si="34"/>
        <v>0</v>
      </c>
      <c r="AA30" s="674">
        <f t="shared" si="30"/>
        <v>0</v>
      </c>
    </row>
    <row r="31" spans="1:27" s="643" customFormat="1" ht="16.5" hidden="1" customHeight="1">
      <c r="A31" s="1175"/>
      <c r="B31" s="675"/>
      <c r="C31" s="676"/>
      <c r="D31" s="676"/>
      <c r="E31" s="707" t="s">
        <v>332</v>
      </c>
      <c r="F31" s="708"/>
      <c r="G31" s="708"/>
      <c r="H31" s="708"/>
      <c r="I31" s="708"/>
      <c r="J31" s="708"/>
      <c r="K31" s="708"/>
      <c r="L31" s="708"/>
      <c r="M31" s="708"/>
      <c r="N31" s="708"/>
      <c r="O31" s="708"/>
      <c r="P31" s="708"/>
      <c r="Q31" s="708"/>
      <c r="R31" s="709" t="str">
        <f t="shared" si="31"/>
        <v>-</v>
      </c>
      <c r="S31" s="678">
        <f t="shared" si="26"/>
        <v>0</v>
      </c>
      <c r="T31" s="702"/>
      <c r="U31" s="752">
        <f t="shared" si="27"/>
        <v>0</v>
      </c>
      <c r="V31" s="710">
        <f t="shared" si="28"/>
        <v>0</v>
      </c>
      <c r="W31" s="711">
        <f t="shared" si="32"/>
        <v>0</v>
      </c>
      <c r="X31" s="711">
        <f t="shared" si="33"/>
        <v>0</v>
      </c>
      <c r="Y31" s="711">
        <f t="shared" si="29"/>
        <v>0</v>
      </c>
      <c r="Z31" s="711">
        <f t="shared" si="34"/>
        <v>0</v>
      </c>
      <c r="AA31" s="712">
        <f t="shared" si="30"/>
        <v>0</v>
      </c>
    </row>
    <row r="32" spans="1:27" s="643" customFormat="1" ht="41.25" hidden="1" customHeight="1">
      <c r="A32" s="1171">
        <v>1</v>
      </c>
      <c r="B32" s="664" t="s">
        <v>428</v>
      </c>
      <c r="C32" s="665"/>
      <c r="D32" s="665">
        <v>9</v>
      </c>
      <c r="E32" s="666" t="s">
        <v>94</v>
      </c>
      <c r="F32" s="667">
        <f t="shared" ref="F32:S32" si="35">SUM(F33:F44)</f>
        <v>0</v>
      </c>
      <c r="G32" s="667">
        <f t="shared" si="35"/>
        <v>0</v>
      </c>
      <c r="H32" s="667">
        <f t="shared" si="35"/>
        <v>0</v>
      </c>
      <c r="I32" s="667">
        <f t="shared" si="35"/>
        <v>0</v>
      </c>
      <c r="J32" s="667">
        <f t="shared" si="35"/>
        <v>0</v>
      </c>
      <c r="K32" s="667">
        <f t="shared" si="35"/>
        <v>0</v>
      </c>
      <c r="L32" s="667">
        <f t="shared" si="35"/>
        <v>0</v>
      </c>
      <c r="M32" s="667">
        <f t="shared" si="35"/>
        <v>0</v>
      </c>
      <c r="N32" s="667">
        <f t="shared" si="35"/>
        <v>0</v>
      </c>
      <c r="O32" s="667">
        <f t="shared" si="35"/>
        <v>0</v>
      </c>
      <c r="P32" s="667">
        <f t="shared" si="35"/>
        <v>0</v>
      </c>
      <c r="Q32" s="667">
        <f t="shared" si="35"/>
        <v>0</v>
      </c>
      <c r="R32" s="667">
        <f t="shared" si="35"/>
        <v>0</v>
      </c>
      <c r="S32" s="667">
        <f t="shared" si="35"/>
        <v>0</v>
      </c>
      <c r="T32" s="701" t="s">
        <v>436</v>
      </c>
      <c r="U32" s="748">
        <f t="shared" ref="U32:AA32" si="36">SUM(U33:U44)</f>
        <v>0</v>
      </c>
      <c r="V32" s="715">
        <f t="shared" si="36"/>
        <v>0</v>
      </c>
      <c r="W32" s="698">
        <f t="shared" si="36"/>
        <v>0</v>
      </c>
      <c r="X32" s="698">
        <f t="shared" si="36"/>
        <v>0</v>
      </c>
      <c r="Y32" s="667">
        <f t="shared" si="36"/>
        <v>0</v>
      </c>
      <c r="Z32" s="698">
        <f t="shared" si="36"/>
        <v>0</v>
      </c>
      <c r="AA32" s="668">
        <f t="shared" si="36"/>
        <v>0</v>
      </c>
    </row>
    <row r="33" spans="1:28" s="643" customFormat="1" ht="16.5" hidden="1" customHeight="1">
      <c r="A33" s="1174"/>
      <c r="B33" s="664"/>
      <c r="C33" s="665"/>
      <c r="D33" s="665"/>
      <c r="E33" s="669" t="s">
        <v>429</v>
      </c>
      <c r="F33" s="670"/>
      <c r="G33" s="671"/>
      <c r="H33" s="670"/>
      <c r="I33" s="672"/>
      <c r="J33" s="671"/>
      <c r="K33" s="671"/>
      <c r="L33" s="671"/>
      <c r="M33" s="671"/>
      <c r="N33" s="671"/>
      <c r="O33" s="671"/>
      <c r="P33" s="671"/>
      <c r="Q33" s="671"/>
      <c r="R33" s="672" t="s">
        <v>68</v>
      </c>
      <c r="S33" s="667">
        <f t="shared" ref="S33:S44" si="37">SUM(F33:R33)</f>
        <v>0</v>
      </c>
      <c r="T33" s="701"/>
      <c r="U33" s="750">
        <f t="shared" ref="U33:U44" si="38">ROUND(S33*1/12,-1)</f>
        <v>0</v>
      </c>
      <c r="V33" s="705">
        <f t="shared" ref="V33:V44" si="39">ROUND(S33*4.5%,-1)</f>
        <v>0</v>
      </c>
      <c r="W33" s="673">
        <f>ROUND(S33*2.665%,-1)</f>
        <v>0</v>
      </c>
      <c r="X33" s="673">
        <f>ROUND(W33*6.55%,-1)</f>
        <v>0</v>
      </c>
      <c r="Y33" s="673">
        <f t="shared" ref="Y33:Y44" si="40">ROUND(S33*0.7%,-1)</f>
        <v>0</v>
      </c>
      <c r="Z33" s="673">
        <f>ROUND(S33*0.7%,-1)</f>
        <v>0</v>
      </c>
      <c r="AA33" s="674">
        <f t="shared" ref="AA33:AA44" si="41">SUM(U33:Z33)</f>
        <v>0</v>
      </c>
    </row>
    <row r="34" spans="1:28" s="643" customFormat="1" ht="16.5" hidden="1" customHeight="1">
      <c r="A34" s="1174"/>
      <c r="B34" s="664"/>
      <c r="C34" s="665"/>
      <c r="D34" s="665"/>
      <c r="E34" s="669" t="s">
        <v>430</v>
      </c>
      <c r="F34" s="671"/>
      <c r="G34" s="671"/>
      <c r="H34" s="671"/>
      <c r="I34" s="671"/>
      <c r="J34" s="671"/>
      <c r="K34" s="671"/>
      <c r="L34" s="671"/>
      <c r="M34" s="671"/>
      <c r="N34" s="671"/>
      <c r="O34" s="671"/>
      <c r="P34" s="671"/>
      <c r="Q34" s="671"/>
      <c r="R34" s="672" t="str">
        <f t="shared" ref="R34:R44" si="42">R33</f>
        <v>-</v>
      </c>
      <c r="S34" s="667">
        <f t="shared" si="37"/>
        <v>0</v>
      </c>
      <c r="T34" s="701"/>
      <c r="U34" s="750">
        <f t="shared" si="38"/>
        <v>0</v>
      </c>
      <c r="V34" s="705">
        <f t="shared" si="39"/>
        <v>0</v>
      </c>
      <c r="W34" s="673">
        <f t="shared" ref="W34:W44" si="43">ROUND(S34*2.665%,-1)</f>
        <v>0</v>
      </c>
      <c r="X34" s="673">
        <f t="shared" ref="X34:X44" si="44">ROUND(W34*6.55%,-1)</f>
        <v>0</v>
      </c>
      <c r="Y34" s="673">
        <f t="shared" si="40"/>
        <v>0</v>
      </c>
      <c r="Z34" s="673">
        <f t="shared" ref="Z34:Z44" si="45">ROUND(S34*0.7%,-1)</f>
        <v>0</v>
      </c>
      <c r="AA34" s="674">
        <f t="shared" si="41"/>
        <v>0</v>
      </c>
    </row>
    <row r="35" spans="1:28" s="643" customFormat="1" ht="16.5" hidden="1" customHeight="1">
      <c r="A35" s="1174"/>
      <c r="B35" s="664"/>
      <c r="C35" s="665"/>
      <c r="D35" s="665"/>
      <c r="E35" s="669" t="s">
        <v>431</v>
      </c>
      <c r="F35" s="671"/>
      <c r="G35" s="671"/>
      <c r="H35" s="671"/>
      <c r="I35" s="671"/>
      <c r="J35" s="671"/>
      <c r="K35" s="671"/>
      <c r="L35" s="671"/>
      <c r="M35" s="671"/>
      <c r="N35" s="671"/>
      <c r="O35" s="671"/>
      <c r="P35" s="671"/>
      <c r="Q35" s="671"/>
      <c r="R35" s="672" t="str">
        <f t="shared" si="42"/>
        <v>-</v>
      </c>
      <c r="S35" s="667">
        <f t="shared" si="37"/>
        <v>0</v>
      </c>
      <c r="T35" s="701"/>
      <c r="U35" s="750">
        <f t="shared" si="38"/>
        <v>0</v>
      </c>
      <c r="V35" s="705">
        <f t="shared" si="39"/>
        <v>0</v>
      </c>
      <c r="W35" s="673">
        <f t="shared" si="43"/>
        <v>0</v>
      </c>
      <c r="X35" s="673">
        <f t="shared" si="44"/>
        <v>0</v>
      </c>
      <c r="Y35" s="673">
        <f t="shared" si="40"/>
        <v>0</v>
      </c>
      <c r="Z35" s="673">
        <f t="shared" si="45"/>
        <v>0</v>
      </c>
      <c r="AA35" s="674">
        <f t="shared" si="41"/>
        <v>0</v>
      </c>
    </row>
    <row r="36" spans="1:28" s="643" customFormat="1" ht="16.5" hidden="1" customHeight="1">
      <c r="A36" s="1174"/>
      <c r="B36" s="664"/>
      <c r="C36" s="665"/>
      <c r="D36" s="665"/>
      <c r="E36" s="669" t="s">
        <v>432</v>
      </c>
      <c r="F36" s="672"/>
      <c r="G36" s="671"/>
      <c r="H36" s="671"/>
      <c r="I36" s="671"/>
      <c r="J36" s="671"/>
      <c r="K36" s="671"/>
      <c r="L36" s="671"/>
      <c r="M36" s="671"/>
      <c r="N36" s="671"/>
      <c r="O36" s="671"/>
      <c r="P36" s="671"/>
      <c r="Q36" s="671"/>
      <c r="R36" s="672" t="str">
        <f t="shared" si="42"/>
        <v>-</v>
      </c>
      <c r="S36" s="667">
        <f t="shared" si="37"/>
        <v>0</v>
      </c>
      <c r="T36" s="701"/>
      <c r="U36" s="750">
        <f t="shared" si="38"/>
        <v>0</v>
      </c>
      <c r="V36" s="705">
        <f t="shared" si="39"/>
        <v>0</v>
      </c>
      <c r="W36" s="673">
        <f t="shared" si="43"/>
        <v>0</v>
      </c>
      <c r="X36" s="673">
        <f t="shared" si="44"/>
        <v>0</v>
      </c>
      <c r="Y36" s="673">
        <f t="shared" si="40"/>
        <v>0</v>
      </c>
      <c r="Z36" s="673">
        <f t="shared" si="45"/>
        <v>0</v>
      </c>
      <c r="AA36" s="674">
        <f t="shared" si="41"/>
        <v>0</v>
      </c>
    </row>
    <row r="37" spans="1:28" s="643" customFormat="1" ht="16.5" hidden="1" customHeight="1">
      <c r="A37" s="1174"/>
      <c r="B37" s="664"/>
      <c r="C37" s="665"/>
      <c r="D37" s="665"/>
      <c r="E37" s="669" t="s">
        <v>433</v>
      </c>
      <c r="F37" s="671"/>
      <c r="G37" s="671"/>
      <c r="H37" s="671"/>
      <c r="I37" s="671"/>
      <c r="J37" s="671"/>
      <c r="K37" s="671"/>
      <c r="L37" s="671"/>
      <c r="M37" s="671"/>
      <c r="N37" s="671"/>
      <c r="O37" s="671"/>
      <c r="P37" s="671"/>
      <c r="Q37" s="671"/>
      <c r="R37" s="672" t="str">
        <f t="shared" si="42"/>
        <v>-</v>
      </c>
      <c r="S37" s="667">
        <f t="shared" si="37"/>
        <v>0</v>
      </c>
      <c r="T37" s="701" t="s">
        <v>435</v>
      </c>
      <c r="U37" s="750">
        <f t="shared" si="38"/>
        <v>0</v>
      </c>
      <c r="V37" s="705">
        <f t="shared" si="39"/>
        <v>0</v>
      </c>
      <c r="W37" s="673">
        <f t="shared" si="43"/>
        <v>0</v>
      </c>
      <c r="X37" s="673">
        <f t="shared" si="44"/>
        <v>0</v>
      </c>
      <c r="Y37" s="673">
        <f t="shared" si="40"/>
        <v>0</v>
      </c>
      <c r="Z37" s="673">
        <f t="shared" si="45"/>
        <v>0</v>
      </c>
      <c r="AA37" s="674">
        <f t="shared" si="41"/>
        <v>0</v>
      </c>
    </row>
    <row r="38" spans="1:28" s="643" customFormat="1" ht="16.5" hidden="1" customHeight="1">
      <c r="A38" s="1174"/>
      <c r="B38" s="664"/>
      <c r="C38" s="665"/>
      <c r="D38" s="665"/>
      <c r="E38" s="669"/>
      <c r="F38" s="671"/>
      <c r="G38" s="671"/>
      <c r="H38" s="671"/>
      <c r="I38" s="671"/>
      <c r="J38" s="671"/>
      <c r="K38" s="671"/>
      <c r="L38" s="671"/>
      <c r="M38" s="671"/>
      <c r="N38" s="671"/>
      <c r="O38" s="671"/>
      <c r="P38" s="671"/>
      <c r="Q38" s="671"/>
      <c r="R38" s="672" t="str">
        <f t="shared" si="42"/>
        <v>-</v>
      </c>
      <c r="S38" s="667">
        <f t="shared" si="37"/>
        <v>0</v>
      </c>
      <c r="T38" s="701"/>
      <c r="U38" s="750">
        <f t="shared" si="38"/>
        <v>0</v>
      </c>
      <c r="V38" s="705">
        <f t="shared" si="39"/>
        <v>0</v>
      </c>
      <c r="W38" s="673">
        <f t="shared" si="43"/>
        <v>0</v>
      </c>
      <c r="X38" s="673">
        <f t="shared" si="44"/>
        <v>0</v>
      </c>
      <c r="Y38" s="673">
        <f t="shared" si="40"/>
        <v>0</v>
      </c>
      <c r="Z38" s="673">
        <f t="shared" si="45"/>
        <v>0</v>
      </c>
      <c r="AA38" s="674">
        <f t="shared" si="41"/>
        <v>0</v>
      </c>
    </row>
    <row r="39" spans="1:28" s="643" customFormat="1" ht="16.5" hidden="1" customHeight="1">
      <c r="A39" s="1174"/>
      <c r="B39" s="664"/>
      <c r="C39" s="665"/>
      <c r="D39" s="665"/>
      <c r="E39" s="669"/>
      <c r="F39" s="673"/>
      <c r="G39" s="671"/>
      <c r="H39" s="670"/>
      <c r="I39" s="672"/>
      <c r="J39" s="671"/>
      <c r="K39" s="671"/>
      <c r="L39" s="671"/>
      <c r="M39" s="671"/>
      <c r="N39" s="671"/>
      <c r="O39" s="671"/>
      <c r="P39" s="671"/>
      <c r="Q39" s="671"/>
      <c r="R39" s="672" t="str">
        <f t="shared" si="42"/>
        <v>-</v>
      </c>
      <c r="S39" s="667">
        <f t="shared" si="37"/>
        <v>0</v>
      </c>
      <c r="T39" s="701"/>
      <c r="U39" s="750">
        <f t="shared" si="38"/>
        <v>0</v>
      </c>
      <c r="V39" s="705">
        <f t="shared" si="39"/>
        <v>0</v>
      </c>
      <c r="W39" s="673">
        <f t="shared" si="43"/>
        <v>0</v>
      </c>
      <c r="X39" s="673">
        <f t="shared" si="44"/>
        <v>0</v>
      </c>
      <c r="Y39" s="673">
        <f t="shared" si="40"/>
        <v>0</v>
      </c>
      <c r="Z39" s="673">
        <f t="shared" si="45"/>
        <v>0</v>
      </c>
      <c r="AA39" s="674">
        <f t="shared" si="41"/>
        <v>0</v>
      </c>
    </row>
    <row r="40" spans="1:28" s="643" customFormat="1" ht="16.5" hidden="1" customHeight="1">
      <c r="A40" s="1174"/>
      <c r="B40" s="664"/>
      <c r="C40" s="665"/>
      <c r="D40" s="665"/>
      <c r="E40" s="669"/>
      <c r="F40" s="671"/>
      <c r="G40" s="671"/>
      <c r="H40" s="671"/>
      <c r="I40" s="671"/>
      <c r="J40" s="671"/>
      <c r="K40" s="671"/>
      <c r="L40" s="671"/>
      <c r="M40" s="671"/>
      <c r="N40" s="671"/>
      <c r="O40" s="671"/>
      <c r="P40" s="671"/>
      <c r="Q40" s="671"/>
      <c r="R40" s="672" t="str">
        <f t="shared" si="42"/>
        <v>-</v>
      </c>
      <c r="S40" s="667">
        <f t="shared" si="37"/>
        <v>0</v>
      </c>
      <c r="T40" s="701"/>
      <c r="U40" s="750">
        <f t="shared" si="38"/>
        <v>0</v>
      </c>
      <c r="V40" s="705">
        <f t="shared" si="39"/>
        <v>0</v>
      </c>
      <c r="W40" s="673">
        <f t="shared" si="43"/>
        <v>0</v>
      </c>
      <c r="X40" s="673">
        <f t="shared" si="44"/>
        <v>0</v>
      </c>
      <c r="Y40" s="673">
        <f t="shared" si="40"/>
        <v>0</v>
      </c>
      <c r="Z40" s="673">
        <f t="shared" si="45"/>
        <v>0</v>
      </c>
      <c r="AA40" s="674">
        <f t="shared" si="41"/>
        <v>0</v>
      </c>
    </row>
    <row r="41" spans="1:28" s="643" customFormat="1" ht="16.5" hidden="1" customHeight="1">
      <c r="A41" s="1174"/>
      <c r="B41" s="664"/>
      <c r="C41" s="665"/>
      <c r="D41" s="665"/>
      <c r="E41" s="669"/>
      <c r="F41" s="671"/>
      <c r="G41" s="671"/>
      <c r="H41" s="671"/>
      <c r="I41" s="671"/>
      <c r="J41" s="671"/>
      <c r="K41" s="671"/>
      <c r="L41" s="671"/>
      <c r="M41" s="671"/>
      <c r="N41" s="671"/>
      <c r="O41" s="671"/>
      <c r="P41" s="671"/>
      <c r="Q41" s="671"/>
      <c r="R41" s="672" t="str">
        <f t="shared" si="42"/>
        <v>-</v>
      </c>
      <c r="S41" s="667">
        <f t="shared" si="37"/>
        <v>0</v>
      </c>
      <c r="T41" s="701"/>
      <c r="U41" s="750">
        <f t="shared" si="38"/>
        <v>0</v>
      </c>
      <c r="V41" s="705">
        <f t="shared" si="39"/>
        <v>0</v>
      </c>
      <c r="W41" s="673">
        <f t="shared" si="43"/>
        <v>0</v>
      </c>
      <c r="X41" s="673">
        <f t="shared" si="44"/>
        <v>0</v>
      </c>
      <c r="Y41" s="673">
        <f t="shared" si="40"/>
        <v>0</v>
      </c>
      <c r="Z41" s="673">
        <f t="shared" si="45"/>
        <v>0</v>
      </c>
      <c r="AA41" s="674">
        <f t="shared" si="41"/>
        <v>0</v>
      </c>
    </row>
    <row r="42" spans="1:28" s="643" customFormat="1" ht="16.5" hidden="1" customHeight="1">
      <c r="A42" s="1174"/>
      <c r="B42" s="664"/>
      <c r="C42" s="665"/>
      <c r="D42" s="665"/>
      <c r="E42" s="669"/>
      <c r="F42" s="670"/>
      <c r="G42" s="671"/>
      <c r="H42" s="671"/>
      <c r="I42" s="670"/>
      <c r="J42" s="671"/>
      <c r="K42" s="671"/>
      <c r="L42" s="671"/>
      <c r="M42" s="671"/>
      <c r="N42" s="671"/>
      <c r="O42" s="671"/>
      <c r="P42" s="671"/>
      <c r="Q42" s="671"/>
      <c r="R42" s="672" t="str">
        <f t="shared" si="42"/>
        <v>-</v>
      </c>
      <c r="S42" s="667">
        <f t="shared" si="37"/>
        <v>0</v>
      </c>
      <c r="T42" s="701"/>
      <c r="U42" s="750">
        <f t="shared" si="38"/>
        <v>0</v>
      </c>
      <c r="V42" s="705">
        <f t="shared" si="39"/>
        <v>0</v>
      </c>
      <c r="W42" s="673">
        <f t="shared" si="43"/>
        <v>0</v>
      </c>
      <c r="X42" s="673">
        <f t="shared" si="44"/>
        <v>0</v>
      </c>
      <c r="Y42" s="673">
        <f t="shared" si="40"/>
        <v>0</v>
      </c>
      <c r="Z42" s="673">
        <f t="shared" si="45"/>
        <v>0</v>
      </c>
      <c r="AA42" s="674">
        <f t="shared" si="41"/>
        <v>0</v>
      </c>
    </row>
    <row r="43" spans="1:28" s="643" customFormat="1" ht="16.5" hidden="1" customHeight="1">
      <c r="A43" s="1174"/>
      <c r="B43" s="664"/>
      <c r="C43" s="665"/>
      <c r="D43" s="665"/>
      <c r="E43" s="669"/>
      <c r="F43" s="671"/>
      <c r="G43" s="671"/>
      <c r="H43" s="671"/>
      <c r="I43" s="671"/>
      <c r="J43" s="671"/>
      <c r="K43" s="671"/>
      <c r="L43" s="671"/>
      <c r="M43" s="671"/>
      <c r="N43" s="671"/>
      <c r="O43" s="671"/>
      <c r="P43" s="671"/>
      <c r="Q43" s="671"/>
      <c r="R43" s="672" t="str">
        <f t="shared" si="42"/>
        <v>-</v>
      </c>
      <c r="S43" s="667">
        <f t="shared" si="37"/>
        <v>0</v>
      </c>
      <c r="T43" s="701"/>
      <c r="U43" s="750">
        <f t="shared" si="38"/>
        <v>0</v>
      </c>
      <c r="V43" s="705">
        <f t="shared" si="39"/>
        <v>0</v>
      </c>
      <c r="W43" s="673">
        <f t="shared" si="43"/>
        <v>0</v>
      </c>
      <c r="X43" s="673">
        <f t="shared" si="44"/>
        <v>0</v>
      </c>
      <c r="Y43" s="673">
        <f t="shared" si="40"/>
        <v>0</v>
      </c>
      <c r="Z43" s="673">
        <f t="shared" si="45"/>
        <v>0</v>
      </c>
      <c r="AA43" s="674">
        <f t="shared" si="41"/>
        <v>0</v>
      </c>
    </row>
    <row r="44" spans="1:28" s="643" customFormat="1" ht="16.5" hidden="1" customHeight="1">
      <c r="A44" s="1175"/>
      <c r="B44" s="675"/>
      <c r="C44" s="676"/>
      <c r="D44" s="676"/>
      <c r="E44" s="707"/>
      <c r="F44" s="708"/>
      <c r="G44" s="708"/>
      <c r="H44" s="708"/>
      <c r="I44" s="708"/>
      <c r="J44" s="708"/>
      <c r="K44" s="708"/>
      <c r="L44" s="708"/>
      <c r="M44" s="708"/>
      <c r="N44" s="708"/>
      <c r="O44" s="708"/>
      <c r="P44" s="708"/>
      <c r="Q44" s="708"/>
      <c r="R44" s="709" t="str">
        <f t="shared" si="42"/>
        <v>-</v>
      </c>
      <c r="S44" s="678">
        <f t="shared" si="37"/>
        <v>0</v>
      </c>
      <c r="T44" s="702"/>
      <c r="U44" s="752">
        <f t="shared" si="38"/>
        <v>0</v>
      </c>
      <c r="V44" s="710">
        <f t="shared" si="39"/>
        <v>0</v>
      </c>
      <c r="W44" s="711">
        <f t="shared" si="43"/>
        <v>0</v>
      </c>
      <c r="X44" s="711">
        <f t="shared" si="44"/>
        <v>0</v>
      </c>
      <c r="Y44" s="711">
        <f t="shared" si="40"/>
        <v>0</v>
      </c>
      <c r="Z44" s="673">
        <f t="shared" si="45"/>
        <v>0</v>
      </c>
      <c r="AA44" s="712">
        <f t="shared" si="41"/>
        <v>0</v>
      </c>
    </row>
    <row r="45" spans="1:28" hidden="1">
      <c r="A45" s="753"/>
      <c r="B45" s="719"/>
      <c r="C45" s="719"/>
      <c r="D45" s="719"/>
      <c r="E45" s="719"/>
      <c r="F45" s="719"/>
      <c r="G45" s="719"/>
      <c r="H45" s="719"/>
      <c r="I45" s="719"/>
      <c r="J45" s="719"/>
      <c r="K45" s="719"/>
      <c r="L45" s="719"/>
      <c r="M45" s="719"/>
      <c r="N45" s="719"/>
      <c r="O45" s="719"/>
      <c r="P45" s="719"/>
      <c r="Q45" s="719"/>
      <c r="R45" s="719"/>
      <c r="S45" s="719"/>
      <c r="T45" s="720"/>
      <c r="U45" s="754"/>
      <c r="V45" s="719"/>
      <c r="W45" s="719"/>
      <c r="X45" s="719"/>
      <c r="Y45" s="719"/>
      <c r="Z45" s="719"/>
      <c r="AA45" s="719"/>
    </row>
    <row r="46" spans="1:28" hidden="1">
      <c r="A46" s="755"/>
      <c r="B46" s="721"/>
      <c r="C46" s="721"/>
      <c r="D46" s="721"/>
      <c r="E46" s="721"/>
      <c r="F46" s="721"/>
      <c r="G46" s="721"/>
      <c r="H46" s="721"/>
      <c r="I46" s="721"/>
      <c r="J46" s="721"/>
      <c r="K46" s="721"/>
      <c r="L46" s="721"/>
      <c r="M46" s="721"/>
      <c r="N46" s="721"/>
      <c r="O46" s="721"/>
      <c r="P46" s="721"/>
      <c r="Q46" s="721"/>
      <c r="R46" s="721"/>
      <c r="S46" s="721"/>
      <c r="T46" s="722"/>
      <c r="U46" s="756"/>
    </row>
    <row r="47" spans="1:28" ht="14.25" hidden="1">
      <c r="A47" s="1169" t="s">
        <v>476</v>
      </c>
      <c r="B47" s="1147"/>
      <c r="C47" s="1147"/>
      <c r="D47" s="1147"/>
      <c r="E47" s="1147"/>
      <c r="F47" s="757"/>
      <c r="G47" s="757"/>
      <c r="H47" s="757"/>
      <c r="I47" s="757"/>
      <c r="J47" s="757"/>
      <c r="K47" s="758"/>
      <c r="L47" s="758"/>
      <c r="M47" s="758"/>
      <c r="N47" s="759"/>
      <c r="O47" s="660"/>
      <c r="P47" s="660"/>
      <c r="Q47" s="660"/>
      <c r="R47" s="660"/>
      <c r="S47" s="757"/>
      <c r="T47" s="757"/>
      <c r="U47" s="760"/>
      <c r="V47" s="657"/>
      <c r="W47" s="657"/>
      <c r="X47" s="657"/>
      <c r="Y47" s="657"/>
      <c r="Z47" s="657"/>
      <c r="AA47" s="660"/>
      <c r="AB47" s="662" t="s">
        <v>73</v>
      </c>
    </row>
    <row r="48" spans="1:28" ht="36.75" hidden="1" thickBot="1">
      <c r="A48" s="761" t="s">
        <v>74</v>
      </c>
      <c r="B48" s="682" t="s">
        <v>75</v>
      </c>
      <c r="C48" s="682" t="s">
        <v>76</v>
      </c>
      <c r="D48" s="682" t="s">
        <v>77</v>
      </c>
      <c r="E48" s="682" t="s">
        <v>78</v>
      </c>
      <c r="F48" s="683" t="s">
        <v>79</v>
      </c>
      <c r="G48" s="684" t="s">
        <v>80</v>
      </c>
      <c r="H48" s="684" t="s">
        <v>81</v>
      </c>
      <c r="I48" s="684" t="s">
        <v>82</v>
      </c>
      <c r="J48" s="682" t="s">
        <v>83</v>
      </c>
      <c r="K48" s="684" t="s">
        <v>470</v>
      </c>
      <c r="L48" s="684" t="s">
        <v>427</v>
      </c>
      <c r="M48" s="684" t="s">
        <v>84</v>
      </c>
      <c r="N48" s="684" t="s">
        <v>456</v>
      </c>
      <c r="O48" s="684" t="s">
        <v>85</v>
      </c>
      <c r="P48" s="684" t="s">
        <v>43</v>
      </c>
      <c r="Q48" s="684" t="s">
        <v>383</v>
      </c>
      <c r="R48" s="684" t="s">
        <v>16</v>
      </c>
      <c r="S48" s="684" t="s">
        <v>61</v>
      </c>
      <c r="T48" s="700" t="s">
        <v>86</v>
      </c>
      <c r="U48" s="762" t="s">
        <v>87</v>
      </c>
      <c r="V48" s="706" t="s">
        <v>41</v>
      </c>
      <c r="W48" s="687" t="s">
        <v>88</v>
      </c>
      <c r="X48" s="687" t="s">
        <v>89</v>
      </c>
      <c r="Y48" s="686" t="s">
        <v>307</v>
      </c>
      <c r="Z48" s="687" t="s">
        <v>90</v>
      </c>
      <c r="AA48" s="686" t="s">
        <v>91</v>
      </c>
      <c r="AB48" s="688" t="s">
        <v>92</v>
      </c>
    </row>
    <row r="49" spans="1:28" hidden="1">
      <c r="A49" s="1163"/>
      <c r="B49" s="1149"/>
      <c r="C49" s="1149"/>
      <c r="D49" s="1149"/>
      <c r="E49" s="1149"/>
      <c r="F49" s="663"/>
      <c r="G49" s="663"/>
      <c r="H49" s="663"/>
      <c r="I49" s="663"/>
      <c r="J49" s="663"/>
      <c r="K49" s="663"/>
      <c r="L49" s="663"/>
      <c r="M49" s="663"/>
      <c r="N49" s="663"/>
      <c r="O49" s="663"/>
      <c r="P49" s="663"/>
      <c r="Q49" s="663"/>
      <c r="R49" s="663"/>
      <c r="S49" s="663"/>
      <c r="T49" s="663"/>
      <c r="U49" s="763"/>
      <c r="V49" s="714"/>
      <c r="W49" s="714"/>
      <c r="X49" s="714"/>
      <c r="Y49" s="714"/>
      <c r="Z49" s="714"/>
      <c r="AA49" s="714"/>
      <c r="AB49" s="714"/>
    </row>
    <row r="50" spans="1:28" ht="18" hidden="1" customHeight="1">
      <c r="A50" s="1164">
        <v>1</v>
      </c>
      <c r="B50" s="675" t="s">
        <v>95</v>
      </c>
      <c r="C50" s="676">
        <v>1</v>
      </c>
      <c r="D50" s="676">
        <v>1</v>
      </c>
      <c r="E50" s="677" t="s">
        <v>94</v>
      </c>
      <c r="F50" s="678">
        <f t="shared" ref="F50:S50" si="46">SUM(F51:F62)</f>
        <v>0</v>
      </c>
      <c r="G50" s="678">
        <f t="shared" si="46"/>
        <v>0</v>
      </c>
      <c r="H50" s="678">
        <f>SUM(H51:H62)</f>
        <v>0</v>
      </c>
      <c r="I50" s="678">
        <f t="shared" si="46"/>
        <v>0</v>
      </c>
      <c r="J50" s="678">
        <f t="shared" si="46"/>
        <v>0</v>
      </c>
      <c r="K50" s="678">
        <f t="shared" si="46"/>
        <v>0</v>
      </c>
      <c r="L50" s="678">
        <f t="shared" si="46"/>
        <v>0</v>
      </c>
      <c r="M50" s="678">
        <f t="shared" si="46"/>
        <v>0</v>
      </c>
      <c r="N50" s="678">
        <f t="shared" si="46"/>
        <v>0</v>
      </c>
      <c r="O50" s="678">
        <f t="shared" si="46"/>
        <v>0</v>
      </c>
      <c r="P50" s="678"/>
      <c r="Q50" s="678">
        <f t="shared" si="46"/>
        <v>0</v>
      </c>
      <c r="R50" s="678">
        <f t="shared" si="46"/>
        <v>0</v>
      </c>
      <c r="S50" s="678">
        <f t="shared" si="46"/>
        <v>0</v>
      </c>
      <c r="T50" s="679">
        <f>SUM(T51:T62)</f>
        <v>0</v>
      </c>
      <c r="U50" s="764"/>
      <c r="V50" s="715">
        <f>SUM(V51:V62)</f>
        <v>0</v>
      </c>
      <c r="W50" s="667">
        <f t="shared" ref="W50:AB50" si="47">SUM(W51:W62)</f>
        <v>0</v>
      </c>
      <c r="X50" s="667">
        <f t="shared" si="47"/>
        <v>0</v>
      </c>
      <c r="Y50" s="667">
        <f t="shared" si="47"/>
        <v>0</v>
      </c>
      <c r="Z50" s="667">
        <f>SUM(Z51:Z62)</f>
        <v>0</v>
      </c>
      <c r="AA50" s="667">
        <f t="shared" si="47"/>
        <v>0</v>
      </c>
      <c r="AB50" s="668">
        <f t="shared" si="47"/>
        <v>0</v>
      </c>
    </row>
    <row r="51" spans="1:28" hidden="1">
      <c r="A51" s="1164"/>
      <c r="B51" s="693" t="s">
        <v>466</v>
      </c>
      <c r="C51" s="694"/>
      <c r="D51" s="694"/>
      <c r="E51" s="703" t="s">
        <v>324</v>
      </c>
      <c r="F51" s="695"/>
      <c r="G51" s="696"/>
      <c r="H51" s="695"/>
      <c r="I51" s="695"/>
      <c r="J51" s="696"/>
      <c r="K51" s="696"/>
      <c r="L51" s="696"/>
      <c r="M51" s="671"/>
      <c r="N51" s="696"/>
      <c r="O51" s="696"/>
      <c r="P51" s="696"/>
      <c r="Q51" s="696"/>
      <c r="R51" s="696"/>
      <c r="S51" s="697"/>
      <c r="T51" s="736"/>
      <c r="U51" s="765"/>
      <c r="V51" s="705">
        <f>ROUNDUP(T51*1/12,-1)</f>
        <v>0</v>
      </c>
      <c r="W51" s="673">
        <f t="shared" ref="W51:W62" si="48">ROUND(T51*4.5%,-1)</f>
        <v>0</v>
      </c>
      <c r="X51" s="673">
        <f>ROUNDUP((T51-L51)*2.82%,-1)</f>
        <v>0</v>
      </c>
      <c r="Y51" s="673">
        <f>ROUNDUP(X51*6.55%,-1)</f>
        <v>0</v>
      </c>
      <c r="Z51" s="673">
        <f>ROUND(T51*0.8%,-1)</f>
        <v>0</v>
      </c>
      <c r="AA51" s="673">
        <f>ROUND(T51*0.785%,-1)</f>
        <v>0</v>
      </c>
      <c r="AB51" s="674">
        <f t="shared" ref="AB51:AB62" si="49">SUM(V51:AA51)</f>
        <v>0</v>
      </c>
    </row>
    <row r="52" spans="1:28" hidden="1">
      <c r="A52" s="1164"/>
      <c r="B52" s="664"/>
      <c r="C52" s="665"/>
      <c r="D52" s="665"/>
      <c r="E52" s="669" t="s">
        <v>325</v>
      </c>
      <c r="F52" s="671"/>
      <c r="G52" s="671"/>
      <c r="H52" s="671"/>
      <c r="I52" s="671"/>
      <c r="J52" s="671"/>
      <c r="K52" s="671"/>
      <c r="L52" s="671"/>
      <c r="M52" s="671"/>
      <c r="N52" s="671"/>
      <c r="O52" s="671"/>
      <c r="P52" s="671"/>
      <c r="Q52" s="671"/>
      <c r="R52" s="671"/>
      <c r="S52" s="672"/>
      <c r="T52" s="736"/>
      <c r="U52" s="766"/>
      <c r="V52" s="705">
        <f t="shared" ref="V52:V62" si="50">ROUNDUP(T52*1/12,-1)</f>
        <v>0</v>
      </c>
      <c r="W52" s="673">
        <f t="shared" si="48"/>
        <v>0</v>
      </c>
      <c r="X52" s="673">
        <f t="shared" ref="X52:X62" si="51">ROUNDUP((T52-L52)*2.82%,-1)</f>
        <v>0</v>
      </c>
      <c r="Y52" s="673">
        <f t="shared" ref="Y52:Y62" si="52">ROUNDUP(X52*6.55%,-1)</f>
        <v>0</v>
      </c>
      <c r="Z52" s="673">
        <f t="shared" ref="Z52:Z62" si="53">ROUND(T52*0.8%,-1)</f>
        <v>0</v>
      </c>
      <c r="AA52" s="673">
        <f t="shared" ref="AA52:AA62" si="54">ROUND(T52*0.785%,-1)</f>
        <v>0</v>
      </c>
      <c r="AB52" s="674">
        <f t="shared" si="49"/>
        <v>0</v>
      </c>
    </row>
    <row r="53" spans="1:28" hidden="1">
      <c r="A53" s="1164"/>
      <c r="B53" s="664"/>
      <c r="C53" s="665"/>
      <c r="D53" s="665"/>
      <c r="E53" s="669" t="s">
        <v>326</v>
      </c>
      <c r="F53" s="671"/>
      <c r="G53" s="671"/>
      <c r="H53" s="671"/>
      <c r="I53" s="671"/>
      <c r="J53" s="671"/>
      <c r="K53" s="671"/>
      <c r="L53" s="671"/>
      <c r="M53" s="671"/>
      <c r="N53" s="671"/>
      <c r="O53" s="671"/>
      <c r="P53" s="671"/>
      <c r="Q53" s="671"/>
      <c r="R53" s="671"/>
      <c r="S53" s="672"/>
      <c r="T53" s="736"/>
      <c r="U53" s="766"/>
      <c r="V53" s="705">
        <f t="shared" si="50"/>
        <v>0</v>
      </c>
      <c r="W53" s="673">
        <f t="shared" si="48"/>
        <v>0</v>
      </c>
      <c r="X53" s="673">
        <f t="shared" si="51"/>
        <v>0</v>
      </c>
      <c r="Y53" s="673">
        <f t="shared" si="52"/>
        <v>0</v>
      </c>
      <c r="Z53" s="673">
        <f t="shared" si="53"/>
        <v>0</v>
      </c>
      <c r="AA53" s="673">
        <f t="shared" si="54"/>
        <v>0</v>
      </c>
      <c r="AB53" s="674">
        <f t="shared" si="49"/>
        <v>0</v>
      </c>
    </row>
    <row r="54" spans="1:28" hidden="1">
      <c r="A54" s="1164"/>
      <c r="B54" s="664"/>
      <c r="C54" s="665"/>
      <c r="D54" s="665"/>
      <c r="E54" s="669" t="s">
        <v>327</v>
      </c>
      <c r="F54" s="671"/>
      <c r="G54" s="671"/>
      <c r="H54" s="671"/>
      <c r="I54" s="671"/>
      <c r="J54" s="671"/>
      <c r="K54" s="671"/>
      <c r="L54" s="671"/>
      <c r="M54" s="671"/>
      <c r="N54" s="671"/>
      <c r="O54" s="671"/>
      <c r="P54" s="671"/>
      <c r="Q54" s="671"/>
      <c r="R54" s="671"/>
      <c r="S54" s="672"/>
      <c r="T54" s="736"/>
      <c r="U54" s="766"/>
      <c r="V54" s="705">
        <f t="shared" si="50"/>
        <v>0</v>
      </c>
      <c r="W54" s="673">
        <f t="shared" si="48"/>
        <v>0</v>
      </c>
      <c r="X54" s="673">
        <f t="shared" si="51"/>
        <v>0</v>
      </c>
      <c r="Y54" s="673">
        <f t="shared" si="52"/>
        <v>0</v>
      </c>
      <c r="Z54" s="673">
        <f t="shared" si="53"/>
        <v>0</v>
      </c>
      <c r="AA54" s="673">
        <f t="shared" si="54"/>
        <v>0</v>
      </c>
      <c r="AB54" s="674">
        <f t="shared" si="49"/>
        <v>0</v>
      </c>
    </row>
    <row r="55" spans="1:28" hidden="1">
      <c r="A55" s="1164"/>
      <c r="B55" s="664"/>
      <c r="C55" s="665"/>
      <c r="D55" s="665"/>
      <c r="E55" s="669" t="s">
        <v>328</v>
      </c>
      <c r="F55" s="671"/>
      <c r="G55" s="671"/>
      <c r="H55" s="671"/>
      <c r="I55" s="671"/>
      <c r="J55" s="671"/>
      <c r="K55" s="671"/>
      <c r="L55" s="671"/>
      <c r="M55" s="671"/>
      <c r="N55" s="671"/>
      <c r="O55" s="671"/>
      <c r="P55" s="671"/>
      <c r="Q55" s="671"/>
      <c r="R55" s="671"/>
      <c r="S55" s="672"/>
      <c r="T55" s="736"/>
      <c r="U55" s="766"/>
      <c r="V55" s="705">
        <f t="shared" si="50"/>
        <v>0</v>
      </c>
      <c r="W55" s="673">
        <f t="shared" si="48"/>
        <v>0</v>
      </c>
      <c r="X55" s="673">
        <f t="shared" si="51"/>
        <v>0</v>
      </c>
      <c r="Y55" s="673">
        <f t="shared" si="52"/>
        <v>0</v>
      </c>
      <c r="Z55" s="673">
        <f t="shared" si="53"/>
        <v>0</v>
      </c>
      <c r="AA55" s="673">
        <f>ROUND(T55*0.785%,-1)</f>
        <v>0</v>
      </c>
      <c r="AB55" s="674">
        <f t="shared" si="49"/>
        <v>0</v>
      </c>
    </row>
    <row r="56" spans="1:28" hidden="1">
      <c r="A56" s="1164"/>
      <c r="B56" s="664"/>
      <c r="C56" s="665"/>
      <c r="D56" s="665"/>
      <c r="E56" s="669" t="s">
        <v>329</v>
      </c>
      <c r="F56" s="671"/>
      <c r="G56" s="671"/>
      <c r="H56" s="671"/>
      <c r="I56" s="671"/>
      <c r="J56" s="671"/>
      <c r="K56" s="671"/>
      <c r="L56" s="671"/>
      <c r="M56" s="671"/>
      <c r="N56" s="671"/>
      <c r="O56" s="671"/>
      <c r="P56" s="671"/>
      <c r="Q56" s="671"/>
      <c r="R56" s="671"/>
      <c r="S56" s="672"/>
      <c r="T56" s="736"/>
      <c r="U56" s="766"/>
      <c r="V56" s="705">
        <f t="shared" si="50"/>
        <v>0</v>
      </c>
      <c r="W56" s="673">
        <f t="shared" si="48"/>
        <v>0</v>
      </c>
      <c r="X56" s="673">
        <f t="shared" si="51"/>
        <v>0</v>
      </c>
      <c r="Y56" s="673">
        <f t="shared" si="52"/>
        <v>0</v>
      </c>
      <c r="Z56" s="673">
        <f t="shared" si="53"/>
        <v>0</v>
      </c>
      <c r="AA56" s="673">
        <f t="shared" si="54"/>
        <v>0</v>
      </c>
      <c r="AB56" s="674">
        <f t="shared" si="49"/>
        <v>0</v>
      </c>
    </row>
    <row r="57" spans="1:28" hidden="1">
      <c r="A57" s="1164"/>
      <c r="B57" s="664"/>
      <c r="C57" s="665">
        <v>1</v>
      </c>
      <c r="D57" s="665"/>
      <c r="E57" s="669" t="s">
        <v>330</v>
      </c>
      <c r="F57" s="670"/>
      <c r="G57" s="671"/>
      <c r="H57" s="670"/>
      <c r="I57" s="672"/>
      <c r="J57" s="671"/>
      <c r="K57" s="671"/>
      <c r="L57" s="671"/>
      <c r="M57" s="671"/>
      <c r="N57" s="671"/>
      <c r="O57" s="671"/>
      <c r="P57" s="671"/>
      <c r="Q57" s="671"/>
      <c r="R57" s="671"/>
      <c r="S57" s="672"/>
      <c r="T57" s="736"/>
      <c r="U57" s="766"/>
      <c r="V57" s="705">
        <f t="shared" si="50"/>
        <v>0</v>
      </c>
      <c r="W57" s="673">
        <f t="shared" si="48"/>
        <v>0</v>
      </c>
      <c r="X57" s="673">
        <f t="shared" si="51"/>
        <v>0</v>
      </c>
      <c r="Y57" s="673">
        <f t="shared" si="52"/>
        <v>0</v>
      </c>
      <c r="Z57" s="673">
        <f t="shared" si="53"/>
        <v>0</v>
      </c>
      <c r="AA57" s="673">
        <f t="shared" si="54"/>
        <v>0</v>
      </c>
      <c r="AB57" s="674">
        <f t="shared" si="49"/>
        <v>0</v>
      </c>
    </row>
    <row r="58" spans="1:28" hidden="1">
      <c r="A58" s="1164"/>
      <c r="B58" s="664"/>
      <c r="C58" s="665"/>
      <c r="D58" s="665"/>
      <c r="E58" s="669" t="s">
        <v>331</v>
      </c>
      <c r="F58" s="671"/>
      <c r="G58" s="671"/>
      <c r="H58" s="671"/>
      <c r="I58" s="671"/>
      <c r="J58" s="671"/>
      <c r="K58" s="671"/>
      <c r="L58" s="671"/>
      <c r="M58" s="671"/>
      <c r="N58" s="671"/>
      <c r="O58" s="671"/>
      <c r="P58" s="671"/>
      <c r="Q58" s="671"/>
      <c r="R58" s="671"/>
      <c r="S58" s="672"/>
      <c r="T58" s="736"/>
      <c r="U58" s="766"/>
      <c r="V58" s="705">
        <f t="shared" si="50"/>
        <v>0</v>
      </c>
      <c r="W58" s="673">
        <f t="shared" si="48"/>
        <v>0</v>
      </c>
      <c r="X58" s="673">
        <f t="shared" si="51"/>
        <v>0</v>
      </c>
      <c r="Y58" s="673">
        <f t="shared" si="52"/>
        <v>0</v>
      </c>
      <c r="Z58" s="673">
        <f t="shared" si="53"/>
        <v>0</v>
      </c>
      <c r="AA58" s="673">
        <f t="shared" si="54"/>
        <v>0</v>
      </c>
      <c r="AB58" s="674">
        <f t="shared" si="49"/>
        <v>0</v>
      </c>
    </row>
    <row r="59" spans="1:28" hidden="1">
      <c r="A59" s="1164"/>
      <c r="B59" s="664"/>
      <c r="C59" s="665"/>
      <c r="D59" s="665"/>
      <c r="E59" s="669" t="s">
        <v>62</v>
      </c>
      <c r="F59" s="671"/>
      <c r="G59" s="671"/>
      <c r="H59" s="671"/>
      <c r="I59" s="671"/>
      <c r="J59" s="671"/>
      <c r="K59" s="671"/>
      <c r="L59" s="671"/>
      <c r="M59" s="671"/>
      <c r="N59" s="671"/>
      <c r="O59" s="671"/>
      <c r="P59" s="671"/>
      <c r="Q59" s="671"/>
      <c r="R59" s="671"/>
      <c r="S59" s="672"/>
      <c r="T59" s="736"/>
      <c r="U59" s="766"/>
      <c r="V59" s="705">
        <f t="shared" si="50"/>
        <v>0</v>
      </c>
      <c r="W59" s="673">
        <f t="shared" si="48"/>
        <v>0</v>
      </c>
      <c r="X59" s="673">
        <f t="shared" si="51"/>
        <v>0</v>
      </c>
      <c r="Y59" s="673">
        <f t="shared" si="52"/>
        <v>0</v>
      </c>
      <c r="Z59" s="673">
        <f t="shared" si="53"/>
        <v>0</v>
      </c>
      <c r="AA59" s="673">
        <f t="shared" si="54"/>
        <v>0</v>
      </c>
      <c r="AB59" s="674">
        <f t="shared" si="49"/>
        <v>0</v>
      </c>
    </row>
    <row r="60" spans="1:28" hidden="1">
      <c r="A60" s="1164"/>
      <c r="B60" s="664"/>
      <c r="C60" s="665"/>
      <c r="D60" s="665"/>
      <c r="E60" s="669" t="s">
        <v>63</v>
      </c>
      <c r="F60" s="671"/>
      <c r="G60" s="671"/>
      <c r="H60" s="671"/>
      <c r="I60" s="671"/>
      <c r="J60" s="671"/>
      <c r="K60" s="671"/>
      <c r="L60" s="671"/>
      <c r="M60" s="671"/>
      <c r="N60" s="671"/>
      <c r="O60" s="671"/>
      <c r="P60" s="671"/>
      <c r="Q60" s="671"/>
      <c r="R60" s="671"/>
      <c r="S60" s="672"/>
      <c r="T60" s="736"/>
      <c r="U60" s="766"/>
      <c r="V60" s="705">
        <f t="shared" si="50"/>
        <v>0</v>
      </c>
      <c r="W60" s="673">
        <f t="shared" si="48"/>
        <v>0</v>
      </c>
      <c r="X60" s="673">
        <f t="shared" si="51"/>
        <v>0</v>
      </c>
      <c r="Y60" s="673">
        <f t="shared" si="52"/>
        <v>0</v>
      </c>
      <c r="Z60" s="673">
        <f t="shared" si="53"/>
        <v>0</v>
      </c>
      <c r="AA60" s="673">
        <f t="shared" si="54"/>
        <v>0</v>
      </c>
      <c r="AB60" s="674">
        <f t="shared" si="49"/>
        <v>0</v>
      </c>
    </row>
    <row r="61" spans="1:28" hidden="1">
      <c r="A61" s="1164"/>
      <c r="B61" s="664"/>
      <c r="C61" s="665"/>
      <c r="D61" s="665"/>
      <c r="E61" s="669" t="s">
        <v>64</v>
      </c>
      <c r="F61" s="671"/>
      <c r="G61" s="671"/>
      <c r="H61" s="671"/>
      <c r="I61" s="671"/>
      <c r="J61" s="671"/>
      <c r="K61" s="671"/>
      <c r="L61" s="671"/>
      <c r="M61" s="671"/>
      <c r="N61" s="671"/>
      <c r="O61" s="671"/>
      <c r="P61" s="671"/>
      <c r="Q61" s="671"/>
      <c r="R61" s="671"/>
      <c r="S61" s="672"/>
      <c r="T61" s="736"/>
      <c r="U61" s="766"/>
      <c r="V61" s="705">
        <f t="shared" si="50"/>
        <v>0</v>
      </c>
      <c r="W61" s="673">
        <f t="shared" si="48"/>
        <v>0</v>
      </c>
      <c r="X61" s="673">
        <f t="shared" si="51"/>
        <v>0</v>
      </c>
      <c r="Y61" s="673">
        <f t="shared" si="52"/>
        <v>0</v>
      </c>
      <c r="Z61" s="673">
        <f t="shared" si="53"/>
        <v>0</v>
      </c>
      <c r="AA61" s="673">
        <f t="shared" si="54"/>
        <v>0</v>
      </c>
      <c r="AB61" s="674">
        <f t="shared" si="49"/>
        <v>0</v>
      </c>
    </row>
    <row r="62" spans="1:28" hidden="1">
      <c r="A62" s="1165"/>
      <c r="B62" s="675"/>
      <c r="C62" s="676"/>
      <c r="D62" s="676"/>
      <c r="E62" s="707" t="s">
        <v>332</v>
      </c>
      <c r="F62" s="708"/>
      <c r="G62" s="708"/>
      <c r="H62" s="708"/>
      <c r="I62" s="708"/>
      <c r="J62" s="708"/>
      <c r="K62" s="708"/>
      <c r="L62" s="708"/>
      <c r="M62" s="708"/>
      <c r="N62" s="708"/>
      <c r="O62" s="708"/>
      <c r="P62" s="708"/>
      <c r="Q62" s="708"/>
      <c r="R62" s="708"/>
      <c r="S62" s="709"/>
      <c r="T62" s="736"/>
      <c r="U62" s="764"/>
      <c r="V62" s="710">
        <f t="shared" si="50"/>
        <v>0</v>
      </c>
      <c r="W62" s="711">
        <f t="shared" si="48"/>
        <v>0</v>
      </c>
      <c r="X62" s="711">
        <f t="shared" si="51"/>
        <v>0</v>
      </c>
      <c r="Y62" s="711">
        <f t="shared" si="52"/>
        <v>0</v>
      </c>
      <c r="Z62" s="673">
        <f t="shared" si="53"/>
        <v>0</v>
      </c>
      <c r="AA62" s="673">
        <f t="shared" si="54"/>
        <v>0</v>
      </c>
      <c r="AB62" s="712">
        <f t="shared" si="49"/>
        <v>0</v>
      </c>
    </row>
    <row r="63" spans="1:28" ht="18" hidden="1" customHeight="1">
      <c r="A63" s="1166"/>
      <c r="B63" s="675"/>
      <c r="C63" s="676"/>
      <c r="D63" s="676"/>
      <c r="E63" s="677"/>
      <c r="F63" s="678"/>
      <c r="G63" s="678"/>
      <c r="H63" s="678"/>
      <c r="I63" s="678"/>
      <c r="J63" s="678"/>
      <c r="K63" s="678"/>
      <c r="L63" s="678"/>
      <c r="M63" s="678"/>
      <c r="N63" s="678"/>
      <c r="O63" s="678"/>
      <c r="P63" s="678"/>
      <c r="Q63" s="678"/>
      <c r="R63" s="678"/>
      <c r="S63" s="678"/>
      <c r="T63" s="679"/>
      <c r="U63" s="764"/>
      <c r="V63" s="715"/>
      <c r="W63" s="667"/>
      <c r="X63" s="667"/>
      <c r="Y63" s="667"/>
      <c r="Z63" s="667"/>
      <c r="AA63" s="667"/>
      <c r="AB63" s="668"/>
    </row>
    <row r="64" spans="1:28" hidden="1">
      <c r="A64" s="1164"/>
      <c r="B64" s="693"/>
      <c r="C64" s="694"/>
      <c r="D64" s="694"/>
      <c r="E64" s="703"/>
      <c r="F64" s="695"/>
      <c r="G64" s="696"/>
      <c r="H64" s="695"/>
      <c r="I64" s="695"/>
      <c r="J64" s="696"/>
      <c r="K64" s="696"/>
      <c r="L64" s="696"/>
      <c r="M64" s="696"/>
      <c r="N64" s="671"/>
      <c r="O64" s="696"/>
      <c r="P64" s="671"/>
      <c r="Q64" s="696"/>
      <c r="R64" s="696"/>
      <c r="S64" s="697"/>
      <c r="T64" s="736"/>
      <c r="U64" s="765"/>
      <c r="V64" s="705"/>
      <c r="W64" s="673"/>
      <c r="X64" s="673"/>
      <c r="Y64" s="673"/>
      <c r="Z64" s="673"/>
      <c r="AA64" s="673"/>
      <c r="AB64" s="674"/>
    </row>
    <row r="65" spans="1:28" hidden="1">
      <c r="A65" s="1164"/>
      <c r="B65" s="664"/>
      <c r="C65" s="665"/>
      <c r="D65" s="665"/>
      <c r="E65" s="669"/>
      <c r="F65" s="671"/>
      <c r="G65" s="671"/>
      <c r="H65" s="671"/>
      <c r="I65" s="671"/>
      <c r="J65" s="671"/>
      <c r="K65" s="671"/>
      <c r="L65" s="671"/>
      <c r="M65" s="671"/>
      <c r="N65" s="671"/>
      <c r="O65" s="671"/>
      <c r="P65" s="671"/>
      <c r="Q65" s="671"/>
      <c r="R65" s="671"/>
      <c r="S65" s="672"/>
      <c r="T65" s="736"/>
      <c r="U65" s="766"/>
      <c r="V65" s="705"/>
      <c r="W65" s="673"/>
      <c r="X65" s="673"/>
      <c r="Y65" s="673"/>
      <c r="Z65" s="673"/>
      <c r="AA65" s="673"/>
      <c r="AB65" s="674"/>
    </row>
    <row r="66" spans="1:28" hidden="1">
      <c r="A66" s="1164"/>
      <c r="B66" s="664"/>
      <c r="C66" s="665"/>
      <c r="D66" s="665"/>
      <c r="E66" s="669"/>
      <c r="F66" s="671"/>
      <c r="G66" s="671"/>
      <c r="H66" s="671"/>
      <c r="I66" s="671"/>
      <c r="J66" s="671"/>
      <c r="K66" s="671"/>
      <c r="L66" s="671"/>
      <c r="M66" s="671"/>
      <c r="N66" s="671"/>
      <c r="O66" s="671"/>
      <c r="P66" s="671"/>
      <c r="Q66" s="671"/>
      <c r="R66" s="671"/>
      <c r="S66" s="672"/>
      <c r="T66" s="736"/>
      <c r="U66" s="766"/>
      <c r="V66" s="705"/>
      <c r="W66" s="673"/>
      <c r="X66" s="673"/>
      <c r="Y66" s="673"/>
      <c r="Z66" s="673"/>
      <c r="AA66" s="673"/>
      <c r="AB66" s="674"/>
    </row>
    <row r="67" spans="1:28" hidden="1">
      <c r="A67" s="1164"/>
      <c r="B67" s="664"/>
      <c r="C67" s="665"/>
      <c r="D67" s="665"/>
      <c r="E67" s="669">
        <v>0</v>
      </c>
      <c r="F67" s="671"/>
      <c r="G67" s="671"/>
      <c r="H67" s="671"/>
      <c r="I67" s="671"/>
      <c r="J67" s="671"/>
      <c r="K67" s="671"/>
      <c r="L67" s="671"/>
      <c r="M67" s="671"/>
      <c r="N67" s="671"/>
      <c r="O67" s="671"/>
      <c r="P67" s="671"/>
      <c r="Q67" s="671"/>
      <c r="R67" s="671"/>
      <c r="S67" s="672"/>
      <c r="T67" s="736"/>
      <c r="U67" s="766"/>
      <c r="V67" s="705"/>
      <c r="W67" s="673"/>
      <c r="X67" s="673"/>
      <c r="Y67" s="673"/>
      <c r="Z67" s="673"/>
      <c r="AA67" s="673"/>
      <c r="AB67" s="674"/>
    </row>
    <row r="68" spans="1:28" hidden="1">
      <c r="A68" s="1164"/>
      <c r="B68" s="664"/>
      <c r="C68" s="665"/>
      <c r="D68" s="665"/>
      <c r="E68" s="669"/>
      <c r="F68" s="671"/>
      <c r="G68" s="671"/>
      <c r="H68" s="671"/>
      <c r="I68" s="671"/>
      <c r="J68" s="671"/>
      <c r="K68" s="671"/>
      <c r="L68" s="671"/>
      <c r="M68" s="671"/>
      <c r="N68" s="671"/>
      <c r="O68" s="671"/>
      <c r="P68" s="671"/>
      <c r="Q68" s="671"/>
      <c r="R68" s="671"/>
      <c r="S68" s="672"/>
      <c r="T68" s="736"/>
      <c r="U68" s="766"/>
      <c r="V68" s="705"/>
      <c r="W68" s="673"/>
      <c r="X68" s="673"/>
      <c r="Y68" s="673"/>
      <c r="Z68" s="673"/>
      <c r="AA68" s="673"/>
      <c r="AB68" s="674"/>
    </row>
    <row r="69" spans="1:28" hidden="1">
      <c r="A69" s="1164"/>
      <c r="B69" s="664"/>
      <c r="C69" s="665"/>
      <c r="D69" s="665"/>
      <c r="E69" s="669"/>
      <c r="F69" s="671"/>
      <c r="G69" s="671"/>
      <c r="H69" s="671"/>
      <c r="I69" s="671"/>
      <c r="J69" s="671"/>
      <c r="K69" s="671"/>
      <c r="L69" s="671"/>
      <c r="M69" s="671"/>
      <c r="N69" s="671"/>
      <c r="O69" s="671"/>
      <c r="P69" s="671"/>
      <c r="Q69" s="671"/>
      <c r="R69" s="671"/>
      <c r="S69" s="672"/>
      <c r="T69" s="736"/>
      <c r="U69" s="766"/>
      <c r="V69" s="705"/>
      <c r="W69" s="673"/>
      <c r="X69" s="673"/>
      <c r="Y69" s="673"/>
      <c r="Z69" s="673"/>
      <c r="AA69" s="673"/>
      <c r="AB69" s="674"/>
    </row>
    <row r="70" spans="1:28" hidden="1">
      <c r="A70" s="1164"/>
      <c r="B70" s="664"/>
      <c r="C70" s="665"/>
      <c r="D70" s="665"/>
      <c r="E70" s="669"/>
      <c r="F70" s="671"/>
      <c r="G70" s="671"/>
      <c r="H70" s="670"/>
      <c r="I70" s="672"/>
      <c r="J70" s="671"/>
      <c r="K70" s="671"/>
      <c r="L70" s="671"/>
      <c r="M70" s="671"/>
      <c r="N70" s="671"/>
      <c r="O70" s="671"/>
      <c r="P70" s="671"/>
      <c r="Q70" s="671"/>
      <c r="R70" s="671"/>
      <c r="S70" s="672"/>
      <c r="T70" s="736"/>
      <c r="U70" s="766"/>
      <c r="V70" s="705"/>
      <c r="W70" s="673"/>
      <c r="X70" s="673"/>
      <c r="Y70" s="673"/>
      <c r="Z70" s="673"/>
      <c r="AA70" s="673"/>
      <c r="AB70" s="674"/>
    </row>
    <row r="71" spans="1:28" hidden="1">
      <c r="A71" s="1164"/>
      <c r="B71" s="664"/>
      <c r="C71" s="665"/>
      <c r="D71" s="665"/>
      <c r="E71" s="669"/>
      <c r="F71" s="671"/>
      <c r="G71" s="671"/>
      <c r="H71" s="671"/>
      <c r="I71" s="671"/>
      <c r="J71" s="671"/>
      <c r="K71" s="671"/>
      <c r="L71" s="671"/>
      <c r="M71" s="671"/>
      <c r="N71" s="671"/>
      <c r="O71" s="671"/>
      <c r="P71" s="671"/>
      <c r="Q71" s="671"/>
      <c r="R71" s="671"/>
      <c r="S71" s="672"/>
      <c r="T71" s="736"/>
      <c r="U71" s="766"/>
      <c r="V71" s="705"/>
      <c r="W71" s="673"/>
      <c r="X71" s="673"/>
      <c r="Y71" s="673"/>
      <c r="Z71" s="673"/>
      <c r="AA71" s="673"/>
      <c r="AB71" s="674"/>
    </row>
    <row r="72" spans="1:28" hidden="1">
      <c r="A72" s="1164"/>
      <c r="B72" s="664"/>
      <c r="C72" s="665"/>
      <c r="D72" s="665"/>
      <c r="E72" s="669"/>
      <c r="F72" s="671"/>
      <c r="G72" s="671"/>
      <c r="H72" s="671"/>
      <c r="I72" s="671"/>
      <c r="J72" s="671"/>
      <c r="K72" s="671"/>
      <c r="L72" s="671"/>
      <c r="M72" s="671"/>
      <c r="N72" s="671"/>
      <c r="O72" s="671"/>
      <c r="P72" s="671"/>
      <c r="Q72" s="671"/>
      <c r="R72" s="671"/>
      <c r="S72" s="672"/>
      <c r="T72" s="736"/>
      <c r="U72" s="766"/>
      <c r="V72" s="705"/>
      <c r="W72" s="673"/>
      <c r="X72" s="673"/>
      <c r="Y72" s="673"/>
      <c r="Z72" s="673"/>
      <c r="AA72" s="673"/>
      <c r="AB72" s="674"/>
    </row>
    <row r="73" spans="1:28" hidden="1">
      <c r="A73" s="1164"/>
      <c r="B73" s="664"/>
      <c r="C73" s="665"/>
      <c r="D73" s="665"/>
      <c r="E73" s="669"/>
      <c r="F73" s="671"/>
      <c r="G73" s="671"/>
      <c r="H73" s="671"/>
      <c r="I73" s="671"/>
      <c r="J73" s="671"/>
      <c r="K73" s="671"/>
      <c r="L73" s="671"/>
      <c r="M73" s="671"/>
      <c r="N73" s="671"/>
      <c r="O73" s="671"/>
      <c r="P73" s="671"/>
      <c r="Q73" s="671"/>
      <c r="R73" s="671"/>
      <c r="S73" s="672"/>
      <c r="T73" s="736"/>
      <c r="U73" s="766"/>
      <c r="V73" s="705"/>
      <c r="W73" s="673"/>
      <c r="X73" s="673"/>
      <c r="Y73" s="673"/>
      <c r="Z73" s="673"/>
      <c r="AA73" s="673"/>
      <c r="AB73" s="674"/>
    </row>
    <row r="74" spans="1:28" hidden="1">
      <c r="A74" s="1164"/>
      <c r="B74" s="664"/>
      <c r="C74" s="665"/>
      <c r="D74" s="665"/>
      <c r="E74" s="669"/>
      <c r="F74" s="671"/>
      <c r="G74" s="671"/>
      <c r="H74" s="671"/>
      <c r="I74" s="671"/>
      <c r="J74" s="671"/>
      <c r="K74" s="671"/>
      <c r="L74" s="671"/>
      <c r="M74" s="671"/>
      <c r="N74" s="671"/>
      <c r="O74" s="671"/>
      <c r="P74" s="671"/>
      <c r="Q74" s="671"/>
      <c r="R74" s="671"/>
      <c r="S74" s="672"/>
      <c r="T74" s="736"/>
      <c r="U74" s="766"/>
      <c r="V74" s="705"/>
      <c r="W74" s="673"/>
      <c r="X74" s="673"/>
      <c r="Y74" s="673"/>
      <c r="Z74" s="673"/>
      <c r="AA74" s="673"/>
      <c r="AB74" s="674"/>
    </row>
    <row r="75" spans="1:28" hidden="1">
      <c r="A75" s="1165"/>
      <c r="B75" s="675"/>
      <c r="C75" s="676"/>
      <c r="D75" s="676"/>
      <c r="E75" s="707"/>
      <c r="F75" s="671"/>
      <c r="G75" s="708"/>
      <c r="H75" s="708"/>
      <c r="I75" s="708"/>
      <c r="J75" s="708"/>
      <c r="K75" s="671"/>
      <c r="L75" s="708"/>
      <c r="M75" s="708"/>
      <c r="N75" s="671"/>
      <c r="O75" s="671"/>
      <c r="P75" s="671"/>
      <c r="Q75" s="708"/>
      <c r="R75" s="708"/>
      <c r="S75" s="709"/>
      <c r="T75" s="736"/>
      <c r="U75" s="764"/>
      <c r="V75" s="710"/>
      <c r="W75" s="711"/>
      <c r="X75" s="711"/>
      <c r="Y75" s="711"/>
      <c r="Z75" s="673"/>
      <c r="AA75" s="673"/>
      <c r="AB75" s="712"/>
    </row>
    <row r="76" spans="1:28" ht="18" hidden="1" customHeight="1">
      <c r="A76" s="1166"/>
      <c r="B76" s="675"/>
      <c r="C76" s="676"/>
      <c r="D76" s="676"/>
      <c r="E76" s="677"/>
      <c r="F76" s="678"/>
      <c r="G76" s="678"/>
      <c r="H76" s="678"/>
      <c r="I76" s="678"/>
      <c r="J76" s="678"/>
      <c r="K76" s="678"/>
      <c r="L76" s="678"/>
      <c r="M76" s="678"/>
      <c r="N76" s="678"/>
      <c r="O76" s="678"/>
      <c r="P76" s="678"/>
      <c r="Q76" s="678"/>
      <c r="R76" s="678"/>
      <c r="S76" s="678"/>
      <c r="T76" s="679"/>
      <c r="U76" s="764"/>
      <c r="V76" s="715"/>
      <c r="W76" s="667"/>
      <c r="X76" s="667"/>
      <c r="Y76" s="667"/>
      <c r="Z76" s="667"/>
      <c r="AA76" s="667"/>
      <c r="AB76" s="668"/>
    </row>
    <row r="77" spans="1:28" hidden="1">
      <c r="A77" s="1164"/>
      <c r="B77" s="693"/>
      <c r="C77" s="694"/>
      <c r="D77" s="694"/>
      <c r="E77" s="703"/>
      <c r="F77" s="695"/>
      <c r="G77" s="696"/>
      <c r="H77" s="695"/>
      <c r="I77" s="695"/>
      <c r="J77" s="696"/>
      <c r="K77" s="696"/>
      <c r="L77" s="696"/>
      <c r="M77" s="696"/>
      <c r="N77" s="696"/>
      <c r="O77" s="696"/>
      <c r="P77" s="696"/>
      <c r="Q77" s="696"/>
      <c r="R77" s="696"/>
      <c r="S77" s="697"/>
      <c r="T77" s="736"/>
      <c r="U77" s="765"/>
      <c r="V77" s="705"/>
      <c r="W77" s="673"/>
      <c r="X77" s="673"/>
      <c r="Y77" s="673"/>
      <c r="Z77" s="673"/>
      <c r="AA77" s="673"/>
      <c r="AB77" s="674"/>
    </row>
    <row r="78" spans="1:28" hidden="1">
      <c r="A78" s="1164"/>
      <c r="B78" s="664"/>
      <c r="C78" s="665"/>
      <c r="D78" s="665"/>
      <c r="E78" s="669"/>
      <c r="F78" s="671"/>
      <c r="G78" s="671"/>
      <c r="H78" s="671"/>
      <c r="I78" s="671"/>
      <c r="J78" s="671"/>
      <c r="K78" s="671"/>
      <c r="L78" s="671"/>
      <c r="M78" s="671"/>
      <c r="N78" s="671"/>
      <c r="O78" s="671"/>
      <c r="P78" s="671"/>
      <c r="Q78" s="671"/>
      <c r="R78" s="671"/>
      <c r="S78" s="672"/>
      <c r="T78" s="736"/>
      <c r="U78" s="766"/>
      <c r="V78" s="705"/>
      <c r="W78" s="673"/>
      <c r="X78" s="673"/>
      <c r="Y78" s="673"/>
      <c r="Z78" s="673"/>
      <c r="AA78" s="673"/>
      <c r="AB78" s="674"/>
    </row>
    <row r="79" spans="1:28" hidden="1">
      <c r="A79" s="1164"/>
      <c r="B79" s="664"/>
      <c r="C79" s="665"/>
      <c r="D79" s="665"/>
      <c r="E79" s="669"/>
      <c r="F79" s="671"/>
      <c r="G79" s="671"/>
      <c r="H79" s="671"/>
      <c r="I79" s="671"/>
      <c r="J79" s="671"/>
      <c r="K79" s="671"/>
      <c r="L79" s="671"/>
      <c r="M79" s="671"/>
      <c r="N79" s="671"/>
      <c r="O79" s="671"/>
      <c r="P79" s="671"/>
      <c r="Q79" s="671"/>
      <c r="R79" s="671"/>
      <c r="S79" s="672"/>
      <c r="T79" s="736"/>
      <c r="U79" s="766"/>
      <c r="V79" s="705"/>
      <c r="W79" s="673"/>
      <c r="X79" s="673"/>
      <c r="Y79" s="673"/>
      <c r="Z79" s="673"/>
      <c r="AA79" s="673"/>
      <c r="AB79" s="674"/>
    </row>
    <row r="80" spans="1:28" hidden="1">
      <c r="A80" s="1164"/>
      <c r="B80" s="664"/>
      <c r="C80" s="665"/>
      <c r="D80" s="665"/>
      <c r="E80" s="669"/>
      <c r="F80" s="671"/>
      <c r="G80" s="671"/>
      <c r="H80" s="671"/>
      <c r="I80" s="671"/>
      <c r="J80" s="671"/>
      <c r="K80" s="671"/>
      <c r="L80" s="671"/>
      <c r="M80" s="671"/>
      <c r="N80" s="671"/>
      <c r="O80" s="671"/>
      <c r="P80" s="671"/>
      <c r="Q80" s="671"/>
      <c r="R80" s="671"/>
      <c r="S80" s="672"/>
      <c r="T80" s="736"/>
      <c r="U80" s="766"/>
      <c r="V80" s="705"/>
      <c r="W80" s="673"/>
      <c r="X80" s="673"/>
      <c r="Y80" s="673"/>
      <c r="Z80" s="673"/>
      <c r="AA80" s="673"/>
      <c r="AB80" s="674"/>
    </row>
    <row r="81" spans="1:28" hidden="1">
      <c r="A81" s="1164"/>
      <c r="B81" s="664"/>
      <c r="C81" s="665"/>
      <c r="D81" s="665"/>
      <c r="E81" s="669"/>
      <c r="F81" s="671"/>
      <c r="G81" s="671"/>
      <c r="H81" s="671"/>
      <c r="I81" s="671"/>
      <c r="J81" s="671"/>
      <c r="K81" s="671"/>
      <c r="L81" s="671"/>
      <c r="M81" s="671"/>
      <c r="N81" s="671"/>
      <c r="O81" s="671"/>
      <c r="P81" s="671"/>
      <c r="Q81" s="671"/>
      <c r="R81" s="671"/>
      <c r="S81" s="672"/>
      <c r="T81" s="736"/>
      <c r="U81" s="766"/>
      <c r="V81" s="705"/>
      <c r="W81" s="673"/>
      <c r="X81" s="673"/>
      <c r="Y81" s="673"/>
      <c r="Z81" s="673"/>
      <c r="AA81" s="673"/>
      <c r="AB81" s="674"/>
    </row>
    <row r="82" spans="1:28" hidden="1">
      <c r="A82" s="1164"/>
      <c r="B82" s="664"/>
      <c r="C82" s="665"/>
      <c r="D82" s="665"/>
      <c r="E82" s="669"/>
      <c r="F82" s="671"/>
      <c r="G82" s="671"/>
      <c r="H82" s="671"/>
      <c r="I82" s="671"/>
      <c r="J82" s="671"/>
      <c r="K82" s="671"/>
      <c r="L82" s="671"/>
      <c r="M82" s="671"/>
      <c r="N82" s="671"/>
      <c r="O82" s="671"/>
      <c r="P82" s="671"/>
      <c r="Q82" s="671"/>
      <c r="R82" s="671"/>
      <c r="S82" s="672"/>
      <c r="T82" s="736"/>
      <c r="U82" s="766"/>
      <c r="V82" s="705"/>
      <c r="W82" s="673"/>
      <c r="X82" s="673"/>
      <c r="Y82" s="673"/>
      <c r="Z82" s="673"/>
      <c r="AA82" s="673"/>
      <c r="AB82" s="674"/>
    </row>
    <row r="83" spans="1:28" hidden="1">
      <c r="A83" s="1164"/>
      <c r="B83" s="664"/>
      <c r="C83" s="665"/>
      <c r="D83" s="665"/>
      <c r="E83" s="669"/>
      <c r="F83" s="671"/>
      <c r="G83" s="671"/>
      <c r="H83" s="670"/>
      <c r="I83" s="672"/>
      <c r="J83" s="671"/>
      <c r="K83" s="671"/>
      <c r="L83" s="671"/>
      <c r="M83" s="671"/>
      <c r="N83" s="671"/>
      <c r="O83" s="671"/>
      <c r="P83" s="671"/>
      <c r="Q83" s="671"/>
      <c r="R83" s="671"/>
      <c r="S83" s="672"/>
      <c r="T83" s="736"/>
      <c r="U83" s="766"/>
      <c r="V83" s="705"/>
      <c r="W83" s="673"/>
      <c r="X83" s="673"/>
      <c r="Y83" s="673"/>
      <c r="Z83" s="673"/>
      <c r="AA83" s="673"/>
      <c r="AB83" s="674"/>
    </row>
    <row r="84" spans="1:28" hidden="1">
      <c r="A84" s="1164"/>
      <c r="B84" s="664"/>
      <c r="C84" s="665"/>
      <c r="D84" s="665"/>
      <c r="E84" s="669"/>
      <c r="F84" s="671"/>
      <c r="G84" s="671"/>
      <c r="H84" s="671"/>
      <c r="I84" s="671"/>
      <c r="J84" s="671"/>
      <c r="K84" s="671"/>
      <c r="L84" s="671"/>
      <c r="M84" s="671"/>
      <c r="N84" s="671"/>
      <c r="O84" s="671"/>
      <c r="P84" s="671"/>
      <c r="Q84" s="671"/>
      <c r="R84" s="671"/>
      <c r="S84" s="672"/>
      <c r="T84" s="736"/>
      <c r="U84" s="766"/>
      <c r="V84" s="705"/>
      <c r="W84" s="673"/>
      <c r="X84" s="673"/>
      <c r="Y84" s="673"/>
      <c r="Z84" s="673"/>
      <c r="AA84" s="673"/>
      <c r="AB84" s="674"/>
    </row>
    <row r="85" spans="1:28" hidden="1">
      <c r="A85" s="1164"/>
      <c r="B85" s="664"/>
      <c r="C85" s="665"/>
      <c r="D85" s="665"/>
      <c r="E85" s="669"/>
      <c r="F85" s="671"/>
      <c r="G85" s="671"/>
      <c r="H85" s="671"/>
      <c r="I85" s="671"/>
      <c r="J85" s="671"/>
      <c r="K85" s="671"/>
      <c r="L85" s="671"/>
      <c r="M85" s="671"/>
      <c r="N85" s="671"/>
      <c r="O85" s="671"/>
      <c r="P85" s="671"/>
      <c r="Q85" s="671"/>
      <c r="R85" s="671"/>
      <c r="S85" s="672"/>
      <c r="T85" s="736"/>
      <c r="U85" s="766"/>
      <c r="V85" s="705"/>
      <c r="W85" s="673"/>
      <c r="X85" s="673"/>
      <c r="Y85" s="673"/>
      <c r="Z85" s="673"/>
      <c r="AA85" s="673"/>
      <c r="AB85" s="674"/>
    </row>
    <row r="86" spans="1:28" hidden="1">
      <c r="A86" s="1164"/>
      <c r="B86" s="664"/>
      <c r="C86" s="665"/>
      <c r="D86" s="665"/>
      <c r="E86" s="669"/>
      <c r="F86" s="671"/>
      <c r="G86" s="671"/>
      <c r="H86" s="671"/>
      <c r="I86" s="671"/>
      <c r="J86" s="671"/>
      <c r="K86" s="671"/>
      <c r="L86" s="671"/>
      <c r="M86" s="671"/>
      <c r="N86" s="671"/>
      <c r="O86" s="671"/>
      <c r="P86" s="671"/>
      <c r="Q86" s="671"/>
      <c r="R86" s="671"/>
      <c r="S86" s="672"/>
      <c r="T86" s="736"/>
      <c r="U86" s="766"/>
      <c r="V86" s="705"/>
      <c r="W86" s="673"/>
      <c r="X86" s="673"/>
      <c r="Y86" s="673"/>
      <c r="Z86" s="673"/>
      <c r="AA86" s="673"/>
      <c r="AB86" s="674"/>
    </row>
    <row r="87" spans="1:28" hidden="1">
      <c r="A87" s="1164"/>
      <c r="B87" s="664"/>
      <c r="C87" s="665"/>
      <c r="D87" s="665"/>
      <c r="E87" s="669"/>
      <c r="F87" s="671"/>
      <c r="G87" s="671"/>
      <c r="H87" s="671"/>
      <c r="I87" s="671"/>
      <c r="J87" s="671"/>
      <c r="K87" s="671"/>
      <c r="L87" s="671"/>
      <c r="M87" s="671"/>
      <c r="N87" s="671"/>
      <c r="O87" s="671"/>
      <c r="P87" s="671"/>
      <c r="Q87" s="671"/>
      <c r="R87" s="671"/>
      <c r="S87" s="672"/>
      <c r="T87" s="736"/>
      <c r="U87" s="766"/>
      <c r="V87" s="705"/>
      <c r="W87" s="673"/>
      <c r="X87" s="673"/>
      <c r="Y87" s="673"/>
      <c r="Z87" s="673"/>
      <c r="AA87" s="673"/>
      <c r="AB87" s="674"/>
    </row>
    <row r="88" spans="1:28" hidden="1">
      <c r="A88" s="1165"/>
      <c r="B88" s="675"/>
      <c r="C88" s="676"/>
      <c r="D88" s="676"/>
      <c r="E88" s="707"/>
      <c r="F88" s="671"/>
      <c r="G88" s="708"/>
      <c r="H88" s="708"/>
      <c r="I88" s="708"/>
      <c r="J88" s="708"/>
      <c r="K88" s="708"/>
      <c r="L88" s="708"/>
      <c r="M88" s="708"/>
      <c r="N88" s="708"/>
      <c r="O88" s="708"/>
      <c r="P88" s="708"/>
      <c r="Q88" s="708"/>
      <c r="R88" s="708"/>
      <c r="S88" s="709"/>
      <c r="T88" s="736"/>
      <c r="U88" s="764"/>
      <c r="V88" s="710"/>
      <c r="W88" s="711"/>
      <c r="X88" s="711"/>
      <c r="Y88" s="711"/>
      <c r="Z88" s="673"/>
      <c r="AA88" s="673"/>
      <c r="AB88" s="712"/>
    </row>
    <row r="89" spans="1:28" ht="18" hidden="1" customHeight="1">
      <c r="A89" s="1167">
        <v>1</v>
      </c>
      <c r="B89" s="737" t="s">
        <v>95</v>
      </c>
      <c r="C89" s="676">
        <v>1</v>
      </c>
      <c r="D89" s="676">
        <v>1</v>
      </c>
      <c r="E89" s="677" t="s">
        <v>94</v>
      </c>
      <c r="F89" s="678">
        <f t="shared" ref="F89:O89" si="55">SUM(F90:F101)</f>
        <v>0</v>
      </c>
      <c r="G89" s="678">
        <f t="shared" si="55"/>
        <v>0</v>
      </c>
      <c r="H89" s="678">
        <f t="shared" si="55"/>
        <v>0</v>
      </c>
      <c r="I89" s="678">
        <f t="shared" si="55"/>
        <v>0</v>
      </c>
      <c r="J89" s="678">
        <f t="shared" si="55"/>
        <v>0</v>
      </c>
      <c r="K89" s="678">
        <f t="shared" si="55"/>
        <v>0</v>
      </c>
      <c r="L89" s="678">
        <f t="shared" si="55"/>
        <v>0</v>
      </c>
      <c r="M89" s="678">
        <f t="shared" si="55"/>
        <v>0</v>
      </c>
      <c r="N89" s="678">
        <f t="shared" si="55"/>
        <v>0</v>
      </c>
      <c r="O89" s="678">
        <f t="shared" si="55"/>
        <v>0</v>
      </c>
      <c r="P89" s="678"/>
      <c r="Q89" s="678">
        <f>SUM(Q90:Q101)</f>
        <v>0</v>
      </c>
      <c r="R89" s="678">
        <f>SUM(R90:R101)</f>
        <v>0</v>
      </c>
      <c r="S89" s="678">
        <f>SUM(S90:S101)</f>
        <v>0</v>
      </c>
      <c r="T89" s="679">
        <f>SUM(T90:T101)</f>
        <v>0</v>
      </c>
      <c r="U89" s="764"/>
      <c r="V89" s="715">
        <f>SUM(V90:V101)</f>
        <v>0</v>
      </c>
      <c r="W89" s="667">
        <f t="shared" ref="W89:AB89" si="56">SUM(W90:W101)</f>
        <v>0</v>
      </c>
      <c r="X89" s="667">
        <f t="shared" si="56"/>
        <v>0</v>
      </c>
      <c r="Y89" s="667">
        <f t="shared" si="56"/>
        <v>0</v>
      </c>
      <c r="Z89" s="667">
        <f t="shared" si="56"/>
        <v>0</v>
      </c>
      <c r="AA89" s="667">
        <f t="shared" si="56"/>
        <v>0</v>
      </c>
      <c r="AB89" s="668">
        <f t="shared" si="56"/>
        <v>0</v>
      </c>
    </row>
    <row r="90" spans="1:28" hidden="1">
      <c r="A90" s="1167"/>
      <c r="B90" s="738" t="s">
        <v>467</v>
      </c>
      <c r="C90" s="694"/>
      <c r="D90" s="694"/>
      <c r="E90" s="703" t="s">
        <v>324</v>
      </c>
      <c r="F90" s="695"/>
      <c r="G90" s="696"/>
      <c r="H90" s="695"/>
      <c r="I90" s="695"/>
      <c r="J90" s="696"/>
      <c r="K90" s="696"/>
      <c r="L90" s="696"/>
      <c r="M90" s="671"/>
      <c r="N90" s="696"/>
      <c r="O90" s="696"/>
      <c r="P90" s="696"/>
      <c r="Q90" s="696"/>
      <c r="R90" s="696"/>
      <c r="S90" s="697"/>
      <c r="T90" s="736"/>
      <c r="U90" s="765"/>
      <c r="V90" s="705"/>
      <c r="W90" s="673"/>
      <c r="X90" s="673"/>
      <c r="Y90" s="673"/>
      <c r="Z90" s="673"/>
      <c r="AA90" s="673"/>
      <c r="AB90" s="674"/>
    </row>
    <row r="91" spans="1:28" hidden="1">
      <c r="A91" s="1167"/>
      <c r="B91" s="739"/>
      <c r="C91" s="665"/>
      <c r="D91" s="665"/>
      <c r="E91" s="669" t="s">
        <v>325</v>
      </c>
      <c r="F91" s="671"/>
      <c r="G91" s="671"/>
      <c r="H91" s="671"/>
      <c r="I91" s="671"/>
      <c r="J91" s="671"/>
      <c r="K91" s="671"/>
      <c r="L91" s="671"/>
      <c r="M91" s="671"/>
      <c r="N91" s="671"/>
      <c r="O91" s="671"/>
      <c r="P91" s="671"/>
      <c r="Q91" s="671"/>
      <c r="R91" s="671"/>
      <c r="S91" s="672"/>
      <c r="T91" s="736"/>
      <c r="U91" s="766"/>
      <c r="V91" s="705"/>
      <c r="W91" s="673"/>
      <c r="X91" s="673"/>
      <c r="Y91" s="673"/>
      <c r="Z91" s="673"/>
      <c r="AA91" s="673"/>
      <c r="AB91" s="674"/>
    </row>
    <row r="92" spans="1:28" hidden="1">
      <c r="A92" s="1167"/>
      <c r="B92" s="739"/>
      <c r="C92" s="665"/>
      <c r="D92" s="665"/>
      <c r="E92" s="669" t="s">
        <v>326</v>
      </c>
      <c r="F92" s="671"/>
      <c r="G92" s="671"/>
      <c r="H92" s="671"/>
      <c r="I92" s="671"/>
      <c r="J92" s="671"/>
      <c r="K92" s="671"/>
      <c r="L92" s="671"/>
      <c r="M92" s="671"/>
      <c r="N92" s="671"/>
      <c r="O92" s="671"/>
      <c r="P92" s="671"/>
      <c r="Q92" s="671"/>
      <c r="R92" s="671"/>
      <c r="S92" s="672"/>
      <c r="T92" s="736">
        <f t="shared" ref="T92:T101" si="57">SUM(S92,P92,O92,M92,L92,F92)</f>
        <v>0</v>
      </c>
      <c r="U92" s="766"/>
      <c r="V92" s="705"/>
      <c r="W92" s="673"/>
      <c r="X92" s="673"/>
      <c r="Y92" s="673"/>
      <c r="Z92" s="673"/>
      <c r="AA92" s="673"/>
      <c r="AB92" s="674"/>
    </row>
    <row r="93" spans="1:28" hidden="1">
      <c r="A93" s="1167"/>
      <c r="B93" s="739"/>
      <c r="C93" s="665"/>
      <c r="D93" s="665"/>
      <c r="E93" s="669" t="s">
        <v>327</v>
      </c>
      <c r="F93" s="671"/>
      <c r="G93" s="671"/>
      <c r="H93" s="671"/>
      <c r="I93" s="671"/>
      <c r="J93" s="671"/>
      <c r="K93" s="671"/>
      <c r="L93" s="671"/>
      <c r="M93" s="671"/>
      <c r="N93" s="671"/>
      <c r="O93" s="671"/>
      <c r="P93" s="671"/>
      <c r="Q93" s="671"/>
      <c r="R93" s="671"/>
      <c r="S93" s="672"/>
      <c r="T93" s="736">
        <f t="shared" si="57"/>
        <v>0</v>
      </c>
      <c r="U93" s="766"/>
      <c r="V93" s="705"/>
      <c r="W93" s="673"/>
      <c r="X93" s="673"/>
      <c r="Y93" s="673"/>
      <c r="Z93" s="673"/>
      <c r="AA93" s="673"/>
      <c r="AB93" s="674"/>
    </row>
    <row r="94" spans="1:28" hidden="1">
      <c r="A94" s="1167"/>
      <c r="B94" s="739"/>
      <c r="C94" s="665"/>
      <c r="D94" s="665"/>
      <c r="E94" s="669" t="s">
        <v>328</v>
      </c>
      <c r="F94" s="671"/>
      <c r="G94" s="671"/>
      <c r="H94" s="671"/>
      <c r="I94" s="671"/>
      <c r="J94" s="671"/>
      <c r="K94" s="671"/>
      <c r="L94" s="671"/>
      <c r="M94" s="671"/>
      <c r="N94" s="671"/>
      <c r="O94" s="671"/>
      <c r="P94" s="671"/>
      <c r="Q94" s="671"/>
      <c r="R94" s="671"/>
      <c r="S94" s="672"/>
      <c r="T94" s="736">
        <f t="shared" si="57"/>
        <v>0</v>
      </c>
      <c r="U94" s="766"/>
      <c r="V94" s="705">
        <f t="shared" ref="V94:V101" si="58">ROUNDUP(T94*1/12,-1)</f>
        <v>0</v>
      </c>
      <c r="W94" s="673">
        <f t="shared" ref="W94:W101" si="59">ROUND(T94*4.5%,-1)</f>
        <v>0</v>
      </c>
      <c r="X94" s="673">
        <f t="shared" ref="X94:X101" si="60">ROUNDUP((T94-L94)*2.82%,-1)</f>
        <v>0</v>
      </c>
      <c r="Y94" s="673">
        <f t="shared" ref="Y94:Y101" si="61">ROUNDUP(X94*6.55%,-1)</f>
        <v>0</v>
      </c>
      <c r="Z94" s="673">
        <f t="shared" ref="Z94:Z101" si="62">ROUND(T94*0.8%,-1)</f>
        <v>0</v>
      </c>
      <c r="AA94" s="673">
        <f t="shared" ref="AA94:AA101" si="63">ROUND(T94*0.785%,-1)</f>
        <v>0</v>
      </c>
      <c r="AB94" s="674">
        <f t="shared" ref="AB94:AB101" si="64">SUM(V94:AA94)</f>
        <v>0</v>
      </c>
    </row>
    <row r="95" spans="1:28" hidden="1">
      <c r="A95" s="1167"/>
      <c r="B95" s="739"/>
      <c r="C95" s="665"/>
      <c r="D95" s="665"/>
      <c r="E95" s="669" t="s">
        <v>329</v>
      </c>
      <c r="F95" s="671"/>
      <c r="G95" s="671"/>
      <c r="H95" s="671"/>
      <c r="I95" s="671"/>
      <c r="J95" s="671"/>
      <c r="K95" s="671"/>
      <c r="L95" s="671"/>
      <c r="M95" s="671"/>
      <c r="N95" s="671"/>
      <c r="O95" s="671"/>
      <c r="P95" s="671"/>
      <c r="Q95" s="671"/>
      <c r="R95" s="671"/>
      <c r="S95" s="672"/>
      <c r="T95" s="736">
        <f t="shared" si="57"/>
        <v>0</v>
      </c>
      <c r="U95" s="766"/>
      <c r="V95" s="705">
        <f t="shared" si="58"/>
        <v>0</v>
      </c>
      <c r="W95" s="673">
        <f t="shared" si="59"/>
        <v>0</v>
      </c>
      <c r="X95" s="673">
        <f t="shared" si="60"/>
        <v>0</v>
      </c>
      <c r="Y95" s="673">
        <f t="shared" si="61"/>
        <v>0</v>
      </c>
      <c r="Z95" s="673">
        <f t="shared" si="62"/>
        <v>0</v>
      </c>
      <c r="AA95" s="673">
        <f t="shared" si="63"/>
        <v>0</v>
      </c>
      <c r="AB95" s="674">
        <f t="shared" si="64"/>
        <v>0</v>
      </c>
    </row>
    <row r="96" spans="1:28" hidden="1">
      <c r="A96" s="1167"/>
      <c r="B96" s="739"/>
      <c r="C96" s="665"/>
      <c r="D96" s="665"/>
      <c r="E96" s="669" t="s">
        <v>330</v>
      </c>
      <c r="F96" s="671"/>
      <c r="G96" s="671"/>
      <c r="H96" s="670"/>
      <c r="I96" s="672"/>
      <c r="J96" s="671"/>
      <c r="K96" s="671"/>
      <c r="L96" s="671"/>
      <c r="M96" s="671"/>
      <c r="N96" s="671"/>
      <c r="O96" s="671"/>
      <c r="P96" s="671"/>
      <c r="Q96" s="671"/>
      <c r="R96" s="671"/>
      <c r="S96" s="672"/>
      <c r="T96" s="736">
        <f t="shared" si="57"/>
        <v>0</v>
      </c>
      <c r="U96" s="766"/>
      <c r="V96" s="705">
        <f t="shared" si="58"/>
        <v>0</v>
      </c>
      <c r="W96" s="673">
        <f t="shared" si="59"/>
        <v>0</v>
      </c>
      <c r="X96" s="673">
        <f t="shared" si="60"/>
        <v>0</v>
      </c>
      <c r="Y96" s="673">
        <f t="shared" si="61"/>
        <v>0</v>
      </c>
      <c r="Z96" s="673">
        <f t="shared" si="62"/>
        <v>0</v>
      </c>
      <c r="AA96" s="673">
        <f t="shared" si="63"/>
        <v>0</v>
      </c>
      <c r="AB96" s="674">
        <f t="shared" si="64"/>
        <v>0</v>
      </c>
    </row>
    <row r="97" spans="1:28" hidden="1">
      <c r="A97" s="1167"/>
      <c r="B97" s="739"/>
      <c r="C97" s="665"/>
      <c r="D97" s="665"/>
      <c r="E97" s="669" t="s">
        <v>331</v>
      </c>
      <c r="F97" s="671"/>
      <c r="G97" s="671"/>
      <c r="H97" s="671"/>
      <c r="I97" s="671"/>
      <c r="J97" s="671"/>
      <c r="K97" s="671"/>
      <c r="L97" s="671"/>
      <c r="M97" s="671"/>
      <c r="N97" s="671"/>
      <c r="O97" s="671"/>
      <c r="P97" s="671"/>
      <c r="Q97" s="671"/>
      <c r="R97" s="671"/>
      <c r="S97" s="672"/>
      <c r="T97" s="736">
        <f t="shared" si="57"/>
        <v>0</v>
      </c>
      <c r="U97" s="766"/>
      <c r="V97" s="705">
        <f t="shared" si="58"/>
        <v>0</v>
      </c>
      <c r="W97" s="673">
        <f t="shared" si="59"/>
        <v>0</v>
      </c>
      <c r="X97" s="673">
        <f t="shared" si="60"/>
        <v>0</v>
      </c>
      <c r="Y97" s="673">
        <f t="shared" si="61"/>
        <v>0</v>
      </c>
      <c r="Z97" s="673">
        <f t="shared" si="62"/>
        <v>0</v>
      </c>
      <c r="AA97" s="673">
        <f t="shared" si="63"/>
        <v>0</v>
      </c>
      <c r="AB97" s="674">
        <f t="shared" si="64"/>
        <v>0</v>
      </c>
    </row>
    <row r="98" spans="1:28" hidden="1">
      <c r="A98" s="1167"/>
      <c r="B98" s="739"/>
      <c r="C98" s="665"/>
      <c r="D98" s="665"/>
      <c r="E98" s="669" t="s">
        <v>62</v>
      </c>
      <c r="F98" s="671"/>
      <c r="G98" s="671"/>
      <c r="H98" s="671"/>
      <c r="I98" s="671"/>
      <c r="J98" s="671"/>
      <c r="K98" s="671"/>
      <c r="L98" s="671"/>
      <c r="M98" s="671"/>
      <c r="N98" s="671"/>
      <c r="O98" s="671"/>
      <c r="P98" s="671"/>
      <c r="Q98" s="671"/>
      <c r="R98" s="671"/>
      <c r="S98" s="672"/>
      <c r="T98" s="736">
        <f t="shared" si="57"/>
        <v>0</v>
      </c>
      <c r="U98" s="766"/>
      <c r="V98" s="705">
        <f t="shared" si="58"/>
        <v>0</v>
      </c>
      <c r="W98" s="673">
        <f t="shared" si="59"/>
        <v>0</v>
      </c>
      <c r="X98" s="673">
        <f t="shared" si="60"/>
        <v>0</v>
      </c>
      <c r="Y98" s="673">
        <f t="shared" si="61"/>
        <v>0</v>
      </c>
      <c r="Z98" s="673">
        <f t="shared" si="62"/>
        <v>0</v>
      </c>
      <c r="AA98" s="673">
        <f t="shared" si="63"/>
        <v>0</v>
      </c>
      <c r="AB98" s="674">
        <f t="shared" si="64"/>
        <v>0</v>
      </c>
    </row>
    <row r="99" spans="1:28" hidden="1">
      <c r="A99" s="1167"/>
      <c r="B99" s="739"/>
      <c r="C99" s="665"/>
      <c r="D99" s="665"/>
      <c r="E99" s="669" t="s">
        <v>63</v>
      </c>
      <c r="F99" s="671"/>
      <c r="G99" s="671"/>
      <c r="H99" s="671"/>
      <c r="I99" s="671"/>
      <c r="J99" s="671"/>
      <c r="K99" s="671"/>
      <c r="L99" s="671"/>
      <c r="M99" s="671"/>
      <c r="N99" s="671"/>
      <c r="O99" s="671"/>
      <c r="P99" s="671"/>
      <c r="Q99" s="671"/>
      <c r="R99" s="671"/>
      <c r="S99" s="672"/>
      <c r="T99" s="736">
        <f t="shared" si="57"/>
        <v>0</v>
      </c>
      <c r="U99" s="766"/>
      <c r="V99" s="705">
        <f t="shared" si="58"/>
        <v>0</v>
      </c>
      <c r="W99" s="673">
        <f t="shared" si="59"/>
        <v>0</v>
      </c>
      <c r="X99" s="673">
        <f t="shared" si="60"/>
        <v>0</v>
      </c>
      <c r="Y99" s="673">
        <f t="shared" si="61"/>
        <v>0</v>
      </c>
      <c r="Z99" s="673">
        <f t="shared" si="62"/>
        <v>0</v>
      </c>
      <c r="AA99" s="673">
        <f t="shared" si="63"/>
        <v>0</v>
      </c>
      <c r="AB99" s="674">
        <f t="shared" si="64"/>
        <v>0</v>
      </c>
    </row>
    <row r="100" spans="1:28" hidden="1">
      <c r="A100" s="1167"/>
      <c r="B100" s="739"/>
      <c r="C100" s="665"/>
      <c r="D100" s="665"/>
      <c r="E100" s="669" t="s">
        <v>64</v>
      </c>
      <c r="F100" s="671"/>
      <c r="G100" s="671"/>
      <c r="H100" s="671"/>
      <c r="I100" s="671"/>
      <c r="J100" s="671"/>
      <c r="K100" s="671"/>
      <c r="L100" s="671"/>
      <c r="M100" s="671"/>
      <c r="N100" s="671"/>
      <c r="O100" s="671"/>
      <c r="P100" s="671"/>
      <c r="Q100" s="671"/>
      <c r="R100" s="671"/>
      <c r="S100" s="672"/>
      <c r="T100" s="736">
        <f t="shared" si="57"/>
        <v>0</v>
      </c>
      <c r="U100" s="766"/>
      <c r="V100" s="705">
        <f t="shared" si="58"/>
        <v>0</v>
      </c>
      <c r="W100" s="673">
        <f t="shared" si="59"/>
        <v>0</v>
      </c>
      <c r="X100" s="673">
        <f t="shared" si="60"/>
        <v>0</v>
      </c>
      <c r="Y100" s="673">
        <f t="shared" si="61"/>
        <v>0</v>
      </c>
      <c r="Z100" s="673">
        <f t="shared" si="62"/>
        <v>0</v>
      </c>
      <c r="AA100" s="673">
        <f t="shared" si="63"/>
        <v>0</v>
      </c>
      <c r="AB100" s="674">
        <f t="shared" si="64"/>
        <v>0</v>
      </c>
    </row>
    <row r="101" spans="1:28" hidden="1">
      <c r="A101" s="1167"/>
      <c r="B101" s="737"/>
      <c r="C101" s="676"/>
      <c r="D101" s="676"/>
      <c r="E101" s="707" t="s">
        <v>332</v>
      </c>
      <c r="F101" s="671"/>
      <c r="G101" s="708"/>
      <c r="H101" s="708"/>
      <c r="I101" s="708"/>
      <c r="J101" s="708"/>
      <c r="K101" s="708"/>
      <c r="L101" s="671"/>
      <c r="M101" s="708"/>
      <c r="N101" s="708"/>
      <c r="O101" s="708"/>
      <c r="P101" s="708"/>
      <c r="Q101" s="708"/>
      <c r="R101" s="708"/>
      <c r="S101" s="709"/>
      <c r="T101" s="736">
        <f t="shared" si="57"/>
        <v>0</v>
      </c>
      <c r="U101" s="764"/>
      <c r="V101" s="710">
        <f t="shared" si="58"/>
        <v>0</v>
      </c>
      <c r="W101" s="711">
        <f t="shared" si="59"/>
        <v>0</v>
      </c>
      <c r="X101" s="711">
        <f t="shared" si="60"/>
        <v>0</v>
      </c>
      <c r="Y101" s="711">
        <f t="shared" si="61"/>
        <v>0</v>
      </c>
      <c r="Z101" s="711">
        <f t="shared" si="62"/>
        <v>0</v>
      </c>
      <c r="AA101" s="711">
        <f t="shared" si="63"/>
        <v>0</v>
      </c>
      <c r="AB101" s="712">
        <f t="shared" si="64"/>
        <v>0</v>
      </c>
    </row>
    <row r="102" spans="1:28" ht="18" hidden="1" customHeight="1">
      <c r="A102" s="1167">
        <v>2</v>
      </c>
      <c r="B102" s="737" t="s">
        <v>95</v>
      </c>
      <c r="C102" s="676">
        <v>1</v>
      </c>
      <c r="D102" s="676">
        <v>1</v>
      </c>
      <c r="E102" s="677" t="s">
        <v>94</v>
      </c>
      <c r="F102" s="678">
        <f t="shared" ref="F102:O102" si="65">SUM(F103:F114)</f>
        <v>0</v>
      </c>
      <c r="G102" s="678">
        <f t="shared" si="65"/>
        <v>0</v>
      </c>
      <c r="H102" s="678">
        <f t="shared" si="65"/>
        <v>0</v>
      </c>
      <c r="I102" s="678">
        <f t="shared" si="65"/>
        <v>0</v>
      </c>
      <c r="J102" s="678">
        <f t="shared" si="65"/>
        <v>0</v>
      </c>
      <c r="K102" s="678">
        <f t="shared" si="65"/>
        <v>0</v>
      </c>
      <c r="L102" s="678">
        <f t="shared" si="65"/>
        <v>0</v>
      </c>
      <c r="M102" s="678">
        <f t="shared" si="65"/>
        <v>0</v>
      </c>
      <c r="N102" s="678">
        <f t="shared" si="65"/>
        <v>0</v>
      </c>
      <c r="O102" s="678">
        <f t="shared" si="65"/>
        <v>0</v>
      </c>
      <c r="P102" s="678"/>
      <c r="Q102" s="678">
        <f>SUM(Q103:Q114)</f>
        <v>0</v>
      </c>
      <c r="R102" s="678">
        <f>SUM(R103:R114)</f>
        <v>0</v>
      </c>
      <c r="S102" s="678">
        <f>SUM(S103:S114)</f>
        <v>0</v>
      </c>
      <c r="T102" s="679">
        <f>SUM(T103:T114)</f>
        <v>0</v>
      </c>
      <c r="U102" s="764"/>
      <c r="V102" s="715">
        <f>SUM(V103:V114)</f>
        <v>0</v>
      </c>
      <c r="W102" s="667">
        <f t="shared" ref="W102:AB102" si="66">SUM(W103:W114)</f>
        <v>0</v>
      </c>
      <c r="X102" s="667">
        <f t="shared" si="66"/>
        <v>0</v>
      </c>
      <c r="Y102" s="667">
        <f t="shared" si="66"/>
        <v>0</v>
      </c>
      <c r="Z102" s="698">
        <f t="shared" si="66"/>
        <v>0</v>
      </c>
      <c r="AA102" s="698">
        <f t="shared" si="66"/>
        <v>0</v>
      </c>
      <c r="AB102" s="668">
        <f t="shared" si="66"/>
        <v>0</v>
      </c>
    </row>
    <row r="103" spans="1:28" hidden="1">
      <c r="A103" s="1167"/>
      <c r="B103" s="738" t="s">
        <v>468</v>
      </c>
      <c r="C103" s="694"/>
      <c r="D103" s="694"/>
      <c r="E103" s="703" t="s">
        <v>324</v>
      </c>
      <c r="F103" s="695"/>
      <c r="G103" s="696"/>
      <c r="H103" s="695"/>
      <c r="I103" s="695"/>
      <c r="J103" s="696"/>
      <c r="K103" s="696"/>
      <c r="L103" s="696"/>
      <c r="M103" s="696"/>
      <c r="N103" s="696"/>
      <c r="O103" s="696"/>
      <c r="P103" s="696"/>
      <c r="Q103" s="696"/>
      <c r="R103" s="696"/>
      <c r="S103" s="697"/>
      <c r="T103" s="736"/>
      <c r="U103" s="765"/>
      <c r="V103" s="705"/>
      <c r="W103" s="673"/>
      <c r="X103" s="673"/>
      <c r="Y103" s="673"/>
      <c r="Z103" s="673"/>
      <c r="AA103" s="673"/>
      <c r="AB103" s="674"/>
    </row>
    <row r="104" spans="1:28" hidden="1">
      <c r="A104" s="1167"/>
      <c r="B104" s="739"/>
      <c r="C104" s="665"/>
      <c r="D104" s="665"/>
      <c r="E104" s="669" t="s">
        <v>325</v>
      </c>
      <c r="F104" s="671"/>
      <c r="G104" s="671"/>
      <c r="H104" s="671"/>
      <c r="I104" s="671"/>
      <c r="J104" s="671"/>
      <c r="K104" s="671"/>
      <c r="L104" s="671"/>
      <c r="M104" s="671"/>
      <c r="N104" s="671"/>
      <c r="O104" s="671"/>
      <c r="P104" s="671"/>
      <c r="Q104" s="671"/>
      <c r="R104" s="671"/>
      <c r="S104" s="672"/>
      <c r="T104" s="736"/>
      <c r="U104" s="766"/>
      <c r="V104" s="705"/>
      <c r="W104" s="673"/>
      <c r="X104" s="673"/>
      <c r="Y104" s="673"/>
      <c r="Z104" s="673"/>
      <c r="AA104" s="673"/>
      <c r="AB104" s="674"/>
    </row>
    <row r="105" spans="1:28" hidden="1">
      <c r="A105" s="1167"/>
      <c r="B105" s="739"/>
      <c r="C105" s="665"/>
      <c r="D105" s="665"/>
      <c r="E105" s="669" t="s">
        <v>326</v>
      </c>
      <c r="F105" s="671"/>
      <c r="G105" s="671"/>
      <c r="H105" s="671"/>
      <c r="I105" s="671"/>
      <c r="J105" s="671"/>
      <c r="K105" s="671"/>
      <c r="L105" s="671"/>
      <c r="M105" s="671"/>
      <c r="N105" s="671"/>
      <c r="O105" s="671"/>
      <c r="P105" s="671"/>
      <c r="Q105" s="671"/>
      <c r="R105" s="671"/>
      <c r="S105" s="672"/>
      <c r="T105" s="736"/>
      <c r="U105" s="766"/>
      <c r="V105" s="705"/>
      <c r="W105" s="673"/>
      <c r="X105" s="673"/>
      <c r="Y105" s="673"/>
      <c r="Z105" s="673"/>
      <c r="AA105" s="673"/>
      <c r="AB105" s="674"/>
    </row>
    <row r="106" spans="1:28" hidden="1">
      <c r="A106" s="1167"/>
      <c r="B106" s="739"/>
      <c r="C106" s="665"/>
      <c r="D106" s="665"/>
      <c r="E106" s="669" t="s">
        <v>327</v>
      </c>
      <c r="F106" s="671"/>
      <c r="G106" s="671"/>
      <c r="H106" s="671"/>
      <c r="I106" s="671"/>
      <c r="J106" s="671"/>
      <c r="K106" s="671"/>
      <c r="L106" s="671"/>
      <c r="M106" s="671"/>
      <c r="N106" s="671"/>
      <c r="O106" s="671"/>
      <c r="P106" s="671"/>
      <c r="Q106" s="671"/>
      <c r="R106" s="671"/>
      <c r="S106" s="672"/>
      <c r="T106" s="736"/>
      <c r="U106" s="766"/>
      <c r="V106" s="705"/>
      <c r="W106" s="673"/>
      <c r="X106" s="673"/>
      <c r="Y106" s="673"/>
      <c r="Z106" s="673"/>
      <c r="AA106" s="673"/>
      <c r="AB106" s="674"/>
    </row>
    <row r="107" spans="1:28" hidden="1">
      <c r="A107" s="1167"/>
      <c r="B107" s="739"/>
      <c r="C107" s="665"/>
      <c r="D107" s="665"/>
      <c r="E107" s="669" t="s">
        <v>328</v>
      </c>
      <c r="F107" s="671"/>
      <c r="G107" s="671"/>
      <c r="H107" s="671"/>
      <c r="I107" s="671"/>
      <c r="J107" s="671"/>
      <c r="K107" s="671"/>
      <c r="L107" s="671"/>
      <c r="M107" s="671"/>
      <c r="N107" s="671"/>
      <c r="O107" s="671"/>
      <c r="P107" s="671"/>
      <c r="Q107" s="671"/>
      <c r="R107" s="671"/>
      <c r="S107" s="672"/>
      <c r="T107" s="736"/>
      <c r="U107" s="766"/>
      <c r="V107" s="705"/>
      <c r="W107" s="673"/>
      <c r="X107" s="673"/>
      <c r="Y107" s="673"/>
      <c r="Z107" s="673"/>
      <c r="AA107" s="673"/>
      <c r="AB107" s="674"/>
    </row>
    <row r="108" spans="1:28" hidden="1">
      <c r="A108" s="1167"/>
      <c r="B108" s="739"/>
      <c r="C108" s="665"/>
      <c r="D108" s="665"/>
      <c r="E108" s="669" t="s">
        <v>329</v>
      </c>
      <c r="F108" s="671"/>
      <c r="G108" s="671"/>
      <c r="H108" s="671"/>
      <c r="I108" s="671"/>
      <c r="J108" s="671"/>
      <c r="K108" s="671"/>
      <c r="L108" s="671"/>
      <c r="M108" s="671"/>
      <c r="N108" s="671"/>
      <c r="O108" s="671"/>
      <c r="P108" s="671"/>
      <c r="Q108" s="671"/>
      <c r="R108" s="671"/>
      <c r="S108" s="672"/>
      <c r="T108" s="736">
        <f t="shared" ref="T108:T114" si="67">SUM(S108,P108,O108,M108,L108,F108)</f>
        <v>0</v>
      </c>
      <c r="U108" s="766"/>
      <c r="V108" s="705">
        <f t="shared" ref="V108:V114" si="68">ROUNDUP(T108*1/12,-1)</f>
        <v>0</v>
      </c>
      <c r="W108" s="673">
        <f t="shared" ref="W108:W114" si="69">ROUND(T108*4.5%,-1)</f>
        <v>0</v>
      </c>
      <c r="X108" s="673">
        <f t="shared" ref="X108:X114" si="70">ROUNDUP((T108-L108)*2.82%,-1)</f>
        <v>0</v>
      </c>
      <c r="Y108" s="673">
        <f t="shared" ref="Y108:Y114" si="71">ROUNDUP(X108*6.55%,-1)</f>
        <v>0</v>
      </c>
      <c r="Z108" s="673">
        <f t="shared" ref="Z108:Z114" si="72">ROUND(T108*0.8%,-1)</f>
        <v>0</v>
      </c>
      <c r="AA108" s="673">
        <f t="shared" ref="AA108:AA114" si="73">ROUND(T108*0.785%,-1)</f>
        <v>0</v>
      </c>
      <c r="AB108" s="674">
        <f t="shared" ref="AB108:AB114" si="74">SUM(V108:AA108)</f>
        <v>0</v>
      </c>
    </row>
    <row r="109" spans="1:28" hidden="1">
      <c r="A109" s="1167"/>
      <c r="B109" s="739"/>
      <c r="C109" s="665"/>
      <c r="D109" s="665"/>
      <c r="E109" s="669" t="s">
        <v>330</v>
      </c>
      <c r="F109" s="671"/>
      <c r="G109" s="671"/>
      <c r="H109" s="670"/>
      <c r="I109" s="672"/>
      <c r="J109" s="671"/>
      <c r="K109" s="671"/>
      <c r="L109" s="671"/>
      <c r="M109" s="671"/>
      <c r="N109" s="671"/>
      <c r="O109" s="671"/>
      <c r="P109" s="671"/>
      <c r="Q109" s="671"/>
      <c r="R109" s="671"/>
      <c r="S109" s="672"/>
      <c r="T109" s="736">
        <f t="shared" si="67"/>
        <v>0</v>
      </c>
      <c r="U109" s="766"/>
      <c r="V109" s="705">
        <f t="shared" si="68"/>
        <v>0</v>
      </c>
      <c r="W109" s="673">
        <f t="shared" si="69"/>
        <v>0</v>
      </c>
      <c r="X109" s="673">
        <f t="shared" si="70"/>
        <v>0</v>
      </c>
      <c r="Y109" s="673">
        <f t="shared" si="71"/>
        <v>0</v>
      </c>
      <c r="Z109" s="673">
        <f t="shared" si="72"/>
        <v>0</v>
      </c>
      <c r="AA109" s="673">
        <f t="shared" si="73"/>
        <v>0</v>
      </c>
      <c r="AB109" s="674">
        <f t="shared" si="74"/>
        <v>0</v>
      </c>
    </row>
    <row r="110" spans="1:28" hidden="1">
      <c r="A110" s="1167"/>
      <c r="B110" s="739"/>
      <c r="C110" s="665"/>
      <c r="D110" s="665"/>
      <c r="E110" s="669" t="s">
        <v>331</v>
      </c>
      <c r="F110" s="671"/>
      <c r="G110" s="671"/>
      <c r="H110" s="671"/>
      <c r="I110" s="671"/>
      <c r="J110" s="671"/>
      <c r="K110" s="671"/>
      <c r="L110" s="671"/>
      <c r="M110" s="671"/>
      <c r="N110" s="671"/>
      <c r="O110" s="671"/>
      <c r="P110" s="671"/>
      <c r="Q110" s="671"/>
      <c r="R110" s="671"/>
      <c r="S110" s="672"/>
      <c r="T110" s="736">
        <f t="shared" si="67"/>
        <v>0</v>
      </c>
      <c r="U110" s="766"/>
      <c r="V110" s="705">
        <f t="shared" si="68"/>
        <v>0</v>
      </c>
      <c r="W110" s="673">
        <f t="shared" si="69"/>
        <v>0</v>
      </c>
      <c r="X110" s="673">
        <f t="shared" si="70"/>
        <v>0</v>
      </c>
      <c r="Y110" s="673">
        <f t="shared" si="71"/>
        <v>0</v>
      </c>
      <c r="Z110" s="673">
        <f t="shared" si="72"/>
        <v>0</v>
      </c>
      <c r="AA110" s="673">
        <f t="shared" si="73"/>
        <v>0</v>
      </c>
      <c r="AB110" s="674">
        <f t="shared" si="74"/>
        <v>0</v>
      </c>
    </row>
    <row r="111" spans="1:28" hidden="1">
      <c r="A111" s="1167"/>
      <c r="B111" s="739"/>
      <c r="C111" s="665"/>
      <c r="D111" s="665"/>
      <c r="E111" s="669" t="s">
        <v>62</v>
      </c>
      <c r="F111" s="671"/>
      <c r="G111" s="671"/>
      <c r="H111" s="671"/>
      <c r="I111" s="671"/>
      <c r="J111" s="671"/>
      <c r="K111" s="671"/>
      <c r="L111" s="671"/>
      <c r="M111" s="671"/>
      <c r="N111" s="671"/>
      <c r="O111" s="671"/>
      <c r="P111" s="671"/>
      <c r="Q111" s="671"/>
      <c r="R111" s="671"/>
      <c r="S111" s="672"/>
      <c r="T111" s="736">
        <f t="shared" si="67"/>
        <v>0</v>
      </c>
      <c r="U111" s="766"/>
      <c r="V111" s="705">
        <f t="shared" si="68"/>
        <v>0</v>
      </c>
      <c r="W111" s="673">
        <f t="shared" si="69"/>
        <v>0</v>
      </c>
      <c r="X111" s="673">
        <f t="shared" si="70"/>
        <v>0</v>
      </c>
      <c r="Y111" s="673">
        <f t="shared" si="71"/>
        <v>0</v>
      </c>
      <c r="Z111" s="673">
        <f t="shared" si="72"/>
        <v>0</v>
      </c>
      <c r="AA111" s="673">
        <f t="shared" si="73"/>
        <v>0</v>
      </c>
      <c r="AB111" s="674">
        <f t="shared" si="74"/>
        <v>0</v>
      </c>
    </row>
    <row r="112" spans="1:28" hidden="1">
      <c r="A112" s="1167"/>
      <c r="B112" s="739"/>
      <c r="C112" s="665"/>
      <c r="D112" s="665"/>
      <c r="E112" s="669" t="s">
        <v>63</v>
      </c>
      <c r="F112" s="671"/>
      <c r="G112" s="671"/>
      <c r="H112" s="671"/>
      <c r="I112" s="671"/>
      <c r="J112" s="671"/>
      <c r="K112" s="671"/>
      <c r="L112" s="671"/>
      <c r="M112" s="671"/>
      <c r="N112" s="671"/>
      <c r="O112" s="671"/>
      <c r="P112" s="671"/>
      <c r="Q112" s="671"/>
      <c r="R112" s="671"/>
      <c r="S112" s="672"/>
      <c r="T112" s="736">
        <f t="shared" si="67"/>
        <v>0</v>
      </c>
      <c r="U112" s="766"/>
      <c r="V112" s="705">
        <f t="shared" si="68"/>
        <v>0</v>
      </c>
      <c r="W112" s="673">
        <f t="shared" si="69"/>
        <v>0</v>
      </c>
      <c r="X112" s="673">
        <f t="shared" si="70"/>
        <v>0</v>
      </c>
      <c r="Y112" s="673">
        <f t="shared" si="71"/>
        <v>0</v>
      </c>
      <c r="Z112" s="673">
        <f t="shared" si="72"/>
        <v>0</v>
      </c>
      <c r="AA112" s="673">
        <f t="shared" si="73"/>
        <v>0</v>
      </c>
      <c r="AB112" s="674">
        <f t="shared" si="74"/>
        <v>0</v>
      </c>
    </row>
    <row r="113" spans="1:28" hidden="1">
      <c r="A113" s="1167"/>
      <c r="B113" s="739"/>
      <c r="C113" s="665"/>
      <c r="D113" s="665"/>
      <c r="E113" s="669" t="s">
        <v>64</v>
      </c>
      <c r="F113" s="671"/>
      <c r="G113" s="671"/>
      <c r="H113" s="671"/>
      <c r="I113" s="671"/>
      <c r="J113" s="671"/>
      <c r="K113" s="671"/>
      <c r="L113" s="671"/>
      <c r="M113" s="671"/>
      <c r="N113" s="671"/>
      <c r="O113" s="671"/>
      <c r="P113" s="671"/>
      <c r="Q113" s="671"/>
      <c r="R113" s="671"/>
      <c r="S113" s="672"/>
      <c r="T113" s="736">
        <f t="shared" si="67"/>
        <v>0</v>
      </c>
      <c r="U113" s="766"/>
      <c r="V113" s="705">
        <f t="shared" si="68"/>
        <v>0</v>
      </c>
      <c r="W113" s="673">
        <f t="shared" si="69"/>
        <v>0</v>
      </c>
      <c r="X113" s="673">
        <f t="shared" si="70"/>
        <v>0</v>
      </c>
      <c r="Y113" s="673">
        <f t="shared" si="71"/>
        <v>0</v>
      </c>
      <c r="Z113" s="673">
        <f t="shared" si="72"/>
        <v>0</v>
      </c>
      <c r="AA113" s="673">
        <f t="shared" si="73"/>
        <v>0</v>
      </c>
      <c r="AB113" s="674">
        <f t="shared" si="74"/>
        <v>0</v>
      </c>
    </row>
    <row r="114" spans="1:28" hidden="1">
      <c r="A114" s="1168"/>
      <c r="B114" s="737"/>
      <c r="C114" s="676"/>
      <c r="D114" s="676"/>
      <c r="E114" s="707" t="s">
        <v>332</v>
      </c>
      <c r="F114" s="671"/>
      <c r="G114" s="708"/>
      <c r="H114" s="708"/>
      <c r="I114" s="708"/>
      <c r="J114" s="708"/>
      <c r="K114" s="708"/>
      <c r="L114" s="671"/>
      <c r="M114" s="708"/>
      <c r="N114" s="708"/>
      <c r="O114" s="708"/>
      <c r="P114" s="708"/>
      <c r="Q114" s="708"/>
      <c r="R114" s="708"/>
      <c r="S114" s="709"/>
      <c r="T114" s="736">
        <f t="shared" si="67"/>
        <v>0</v>
      </c>
      <c r="U114" s="764"/>
      <c r="V114" s="710">
        <f t="shared" si="68"/>
        <v>0</v>
      </c>
      <c r="W114" s="711">
        <f t="shared" si="69"/>
        <v>0</v>
      </c>
      <c r="X114" s="711">
        <f t="shared" si="70"/>
        <v>0</v>
      </c>
      <c r="Y114" s="711">
        <f t="shared" si="71"/>
        <v>0</v>
      </c>
      <c r="Z114" s="711">
        <f t="shared" si="72"/>
        <v>0</v>
      </c>
      <c r="AA114" s="711">
        <f t="shared" si="73"/>
        <v>0</v>
      </c>
      <c r="AB114" s="712">
        <f t="shared" si="74"/>
        <v>0</v>
      </c>
    </row>
    <row r="115" spans="1:28" hidden="1">
      <c r="A115" s="1161"/>
      <c r="B115" s="738"/>
      <c r="C115" s="694"/>
      <c r="D115" s="694"/>
      <c r="E115" s="703"/>
      <c r="F115" s="695"/>
      <c r="G115" s="696"/>
      <c r="H115" s="695"/>
      <c r="I115" s="695"/>
      <c r="J115" s="696"/>
      <c r="K115" s="696"/>
      <c r="L115" s="696"/>
      <c r="M115" s="696"/>
      <c r="N115" s="696"/>
      <c r="O115" s="696"/>
      <c r="P115" s="696"/>
      <c r="Q115" s="696"/>
      <c r="R115" s="696"/>
      <c r="S115" s="697"/>
      <c r="T115" s="736"/>
      <c r="U115" s="765"/>
      <c r="V115" s="705"/>
      <c r="W115" s="673"/>
      <c r="X115" s="673"/>
      <c r="Y115" s="673"/>
      <c r="Z115" s="673"/>
      <c r="AA115" s="673"/>
      <c r="AB115" s="674"/>
    </row>
    <row r="116" spans="1:28" hidden="1">
      <c r="A116" s="1161"/>
      <c r="B116" s="739"/>
      <c r="C116" s="665"/>
      <c r="D116" s="665"/>
      <c r="E116" s="669"/>
      <c r="F116" s="671"/>
      <c r="G116" s="671"/>
      <c r="H116" s="671"/>
      <c r="I116" s="671"/>
      <c r="J116" s="671"/>
      <c r="K116" s="671"/>
      <c r="L116" s="671"/>
      <c r="M116" s="671"/>
      <c r="N116" s="671"/>
      <c r="O116" s="671"/>
      <c r="P116" s="671"/>
      <c r="Q116" s="671"/>
      <c r="R116" s="671"/>
      <c r="S116" s="672"/>
      <c r="T116" s="736"/>
      <c r="U116" s="766"/>
      <c r="V116" s="705"/>
      <c r="W116" s="673"/>
      <c r="X116" s="673"/>
      <c r="Y116" s="673"/>
      <c r="Z116" s="673"/>
      <c r="AA116" s="673"/>
      <c r="AB116" s="674"/>
    </row>
    <row r="117" spans="1:28" hidden="1">
      <c r="A117" s="1161"/>
      <c r="B117" s="739"/>
      <c r="C117" s="665"/>
      <c r="D117" s="665"/>
      <c r="E117" s="669"/>
      <c r="F117" s="671"/>
      <c r="G117" s="671"/>
      <c r="H117" s="671"/>
      <c r="I117" s="671"/>
      <c r="J117" s="671"/>
      <c r="K117" s="671"/>
      <c r="L117" s="671"/>
      <c r="M117" s="671"/>
      <c r="N117" s="671"/>
      <c r="O117" s="671"/>
      <c r="P117" s="671"/>
      <c r="Q117" s="671"/>
      <c r="R117" s="671"/>
      <c r="S117" s="672"/>
      <c r="T117" s="736"/>
      <c r="U117" s="766"/>
      <c r="V117" s="705"/>
      <c r="W117" s="673"/>
      <c r="X117" s="673"/>
      <c r="Y117" s="673"/>
      <c r="Z117" s="673"/>
      <c r="AA117" s="673"/>
      <c r="AB117" s="674"/>
    </row>
    <row r="118" spans="1:28" hidden="1">
      <c r="A118" s="1161"/>
      <c r="B118" s="739"/>
      <c r="C118" s="665"/>
      <c r="D118" s="665"/>
      <c r="E118" s="669"/>
      <c r="F118" s="671"/>
      <c r="G118" s="671"/>
      <c r="H118" s="671"/>
      <c r="I118" s="671"/>
      <c r="J118" s="671"/>
      <c r="K118" s="671"/>
      <c r="L118" s="671"/>
      <c r="M118" s="671"/>
      <c r="N118" s="671"/>
      <c r="O118" s="671"/>
      <c r="P118" s="671"/>
      <c r="Q118" s="671"/>
      <c r="R118" s="671"/>
      <c r="S118" s="672"/>
      <c r="T118" s="736"/>
      <c r="U118" s="766"/>
      <c r="V118" s="705"/>
      <c r="W118" s="673"/>
      <c r="X118" s="673"/>
      <c r="Y118" s="673"/>
      <c r="Z118" s="673"/>
      <c r="AA118" s="673"/>
      <c r="AB118" s="674"/>
    </row>
    <row r="119" spans="1:28" hidden="1">
      <c r="A119" s="1161"/>
      <c r="B119" s="739"/>
      <c r="C119" s="665"/>
      <c r="D119" s="665"/>
      <c r="E119" s="669"/>
      <c r="F119" s="671"/>
      <c r="G119" s="671"/>
      <c r="H119" s="671"/>
      <c r="I119" s="671"/>
      <c r="J119" s="671"/>
      <c r="K119" s="671"/>
      <c r="L119" s="671"/>
      <c r="M119" s="671"/>
      <c r="N119" s="671"/>
      <c r="O119" s="671"/>
      <c r="P119" s="671"/>
      <c r="Q119" s="671"/>
      <c r="R119" s="671"/>
      <c r="S119" s="672"/>
      <c r="T119" s="736"/>
      <c r="U119" s="766"/>
      <c r="V119" s="705"/>
      <c r="W119" s="673"/>
      <c r="X119" s="673"/>
      <c r="Y119" s="673"/>
      <c r="Z119" s="673"/>
      <c r="AA119" s="673"/>
      <c r="AB119" s="674"/>
    </row>
    <row r="120" spans="1:28" hidden="1">
      <c r="A120" s="1161"/>
      <c r="B120" s="739"/>
      <c r="C120" s="665"/>
      <c r="D120" s="665"/>
      <c r="E120" s="669"/>
      <c r="F120" s="671"/>
      <c r="G120" s="671"/>
      <c r="H120" s="671"/>
      <c r="I120" s="671"/>
      <c r="J120" s="671"/>
      <c r="K120" s="671"/>
      <c r="L120" s="671"/>
      <c r="M120" s="671"/>
      <c r="N120" s="671"/>
      <c r="O120" s="671"/>
      <c r="P120" s="671"/>
      <c r="Q120" s="671"/>
      <c r="R120" s="671"/>
      <c r="S120" s="672"/>
      <c r="T120" s="736"/>
      <c r="U120" s="766"/>
      <c r="V120" s="705"/>
      <c r="W120" s="673"/>
      <c r="X120" s="673"/>
      <c r="Y120" s="673"/>
      <c r="Z120" s="673"/>
      <c r="AA120" s="673"/>
      <c r="AB120" s="674"/>
    </row>
    <row r="121" spans="1:28" hidden="1">
      <c r="A121" s="1161"/>
      <c r="B121" s="739"/>
      <c r="C121" s="665"/>
      <c r="D121" s="665"/>
      <c r="E121" s="669"/>
      <c r="F121" s="671"/>
      <c r="G121" s="671"/>
      <c r="H121" s="670"/>
      <c r="I121" s="672"/>
      <c r="J121" s="671"/>
      <c r="K121" s="671"/>
      <c r="L121" s="671"/>
      <c r="M121" s="671"/>
      <c r="N121" s="671"/>
      <c r="O121" s="671"/>
      <c r="P121" s="671"/>
      <c r="Q121" s="671"/>
      <c r="R121" s="671"/>
      <c r="S121" s="672"/>
      <c r="T121" s="736"/>
      <c r="U121" s="766"/>
      <c r="V121" s="705"/>
      <c r="W121" s="673"/>
      <c r="X121" s="673"/>
      <c r="Y121" s="673"/>
      <c r="Z121" s="673"/>
      <c r="AA121" s="673"/>
      <c r="AB121" s="674"/>
    </row>
    <row r="122" spans="1:28" hidden="1">
      <c r="A122" s="1161"/>
      <c r="B122" s="739"/>
      <c r="C122" s="665"/>
      <c r="D122" s="665"/>
      <c r="E122" s="669"/>
      <c r="F122" s="671"/>
      <c r="G122" s="671"/>
      <c r="H122" s="671"/>
      <c r="I122" s="671"/>
      <c r="J122" s="671"/>
      <c r="K122" s="671"/>
      <c r="L122" s="671"/>
      <c r="M122" s="671"/>
      <c r="N122" s="671"/>
      <c r="O122" s="671"/>
      <c r="P122" s="671"/>
      <c r="Q122" s="671"/>
      <c r="R122" s="671"/>
      <c r="S122" s="672"/>
      <c r="T122" s="736"/>
      <c r="U122" s="766"/>
      <c r="V122" s="705"/>
      <c r="W122" s="673"/>
      <c r="X122" s="673"/>
      <c r="Y122" s="673"/>
      <c r="Z122" s="673"/>
      <c r="AA122" s="673"/>
      <c r="AB122" s="674"/>
    </row>
    <row r="123" spans="1:28" hidden="1">
      <c r="A123" s="1161"/>
      <c r="B123" s="739"/>
      <c r="C123" s="665"/>
      <c r="D123" s="665"/>
      <c r="E123" s="669"/>
      <c r="F123" s="671"/>
      <c r="G123" s="671"/>
      <c r="H123" s="671"/>
      <c r="I123" s="671"/>
      <c r="J123" s="671"/>
      <c r="K123" s="671"/>
      <c r="L123" s="671"/>
      <c r="M123" s="671"/>
      <c r="N123" s="671"/>
      <c r="O123" s="671"/>
      <c r="P123" s="671"/>
      <c r="Q123" s="671"/>
      <c r="R123" s="671"/>
      <c r="S123" s="672"/>
      <c r="T123" s="736"/>
      <c r="U123" s="766"/>
      <c r="V123" s="705"/>
      <c r="W123" s="673"/>
      <c r="X123" s="673"/>
      <c r="Y123" s="673"/>
      <c r="Z123" s="673"/>
      <c r="AA123" s="673"/>
      <c r="AB123" s="674"/>
    </row>
    <row r="124" spans="1:28" hidden="1">
      <c r="A124" s="1161"/>
      <c r="B124" s="739"/>
      <c r="C124" s="665"/>
      <c r="D124" s="665"/>
      <c r="E124" s="669"/>
      <c r="F124" s="671"/>
      <c r="G124" s="671"/>
      <c r="H124" s="671"/>
      <c r="I124" s="671"/>
      <c r="J124" s="671"/>
      <c r="K124" s="671"/>
      <c r="L124" s="671"/>
      <c r="M124" s="671"/>
      <c r="N124" s="671"/>
      <c r="O124" s="671"/>
      <c r="P124" s="671"/>
      <c r="Q124" s="671"/>
      <c r="R124" s="671"/>
      <c r="S124" s="672"/>
      <c r="T124" s="736"/>
      <c r="U124" s="766"/>
      <c r="V124" s="705"/>
      <c r="W124" s="673"/>
      <c r="X124" s="673"/>
      <c r="Y124" s="673"/>
      <c r="Z124" s="673"/>
      <c r="AA124" s="673"/>
      <c r="AB124" s="674"/>
    </row>
    <row r="125" spans="1:28" hidden="1">
      <c r="A125" s="1161"/>
      <c r="B125" s="739"/>
      <c r="C125" s="665"/>
      <c r="D125" s="665"/>
      <c r="E125" s="669"/>
      <c r="F125" s="671"/>
      <c r="G125" s="671"/>
      <c r="H125" s="671"/>
      <c r="I125" s="671"/>
      <c r="J125" s="671"/>
      <c r="K125" s="671"/>
      <c r="L125" s="671"/>
      <c r="M125" s="671"/>
      <c r="N125" s="671"/>
      <c r="O125" s="671"/>
      <c r="P125" s="671"/>
      <c r="Q125" s="671"/>
      <c r="R125" s="671"/>
      <c r="S125" s="672"/>
      <c r="T125" s="736"/>
      <c r="U125" s="766"/>
      <c r="V125" s="705"/>
      <c r="W125" s="673"/>
      <c r="X125" s="673"/>
      <c r="Y125" s="673"/>
      <c r="Z125" s="673"/>
      <c r="AA125" s="673"/>
      <c r="AB125" s="674"/>
    </row>
    <row r="126" spans="1:28" ht="14.25" hidden="1" thickBot="1">
      <c r="A126" s="1162"/>
      <c r="B126" s="767"/>
      <c r="C126" s="768"/>
      <c r="D126" s="768"/>
      <c r="E126" s="769"/>
      <c r="F126" s="770"/>
      <c r="G126" s="770"/>
      <c r="H126" s="770"/>
      <c r="I126" s="770"/>
      <c r="J126" s="770"/>
      <c r="K126" s="770"/>
      <c r="L126" s="770"/>
      <c r="M126" s="770"/>
      <c r="N126" s="770"/>
      <c r="O126" s="770"/>
      <c r="P126" s="770"/>
      <c r="Q126" s="770"/>
      <c r="R126" s="770"/>
      <c r="S126" s="771"/>
      <c r="T126" s="772"/>
      <c r="U126" s="773"/>
      <c r="V126" s="710"/>
      <c r="W126" s="711"/>
      <c r="X126" s="711"/>
      <c r="Y126" s="711"/>
      <c r="Z126" s="711"/>
      <c r="AA126" s="711"/>
      <c r="AB126" s="712"/>
    </row>
  </sheetData>
  <mergeCells count="13">
    <mergeCell ref="A47:E47"/>
    <mergeCell ref="A3:E3"/>
    <mergeCell ref="A5:E5"/>
    <mergeCell ref="A6:A11"/>
    <mergeCell ref="A19:A31"/>
    <mergeCell ref="A32:A44"/>
    <mergeCell ref="A115:A126"/>
    <mergeCell ref="A49:E49"/>
    <mergeCell ref="A50:A62"/>
    <mergeCell ref="A63:A75"/>
    <mergeCell ref="A76:A88"/>
    <mergeCell ref="A89:A101"/>
    <mergeCell ref="A102:A11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B127"/>
  <sheetViews>
    <sheetView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L131" sqref="L131"/>
    </sheetView>
  </sheetViews>
  <sheetFormatPr defaultRowHeight="13.5"/>
  <cols>
    <col min="1" max="1" width="3.6640625" style="27" customWidth="1"/>
    <col min="2" max="2" width="10.33203125" style="27" hidden="1" customWidth="1"/>
    <col min="3" max="3" width="5.109375" style="27" hidden="1" customWidth="1"/>
    <col min="4" max="4" width="3" style="27" customWidth="1"/>
    <col min="5" max="5" width="8.88671875" style="27"/>
    <col min="6" max="6" width="15.77734375" style="27" customWidth="1"/>
    <col min="7" max="11" width="15.77734375" style="27" hidden="1" customWidth="1"/>
    <col min="12" max="12" width="15.77734375" style="27" customWidth="1"/>
    <col min="13" max="18" width="15.77734375" style="27" hidden="1" customWidth="1"/>
    <col min="19" max="19" width="15.77734375" style="27" customWidth="1"/>
    <col min="20" max="20" width="15.77734375" style="31" customWidth="1"/>
    <col min="21" max="21" width="12.33203125" style="27" customWidth="1"/>
    <col min="22" max="27" width="13" style="27" hidden="1" customWidth="1"/>
    <col min="28" max="28" width="13.21875" customWidth="1"/>
  </cols>
  <sheetData>
    <row r="1" spans="1:27" s="26" customFormat="1" ht="36" customHeight="1">
      <c r="A1" s="574" t="s">
        <v>731</v>
      </c>
      <c r="B1" s="574"/>
      <c r="C1" s="574"/>
      <c r="D1" s="574"/>
      <c r="E1" s="574"/>
      <c r="F1" s="574"/>
      <c r="G1" s="574"/>
      <c r="H1" s="574"/>
      <c r="I1" s="574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10"/>
      <c r="U1" s="109"/>
      <c r="V1" s="109"/>
      <c r="W1" s="109"/>
      <c r="X1" s="109"/>
      <c r="Y1" s="109"/>
      <c r="Z1" s="109"/>
      <c r="AA1" s="109"/>
    </row>
    <row r="2" spans="1:27" s="26" customFormat="1" ht="14.25" customHeight="1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10"/>
      <c r="U2" s="109"/>
      <c r="V2" s="109"/>
      <c r="W2" s="109"/>
      <c r="X2" s="109"/>
      <c r="Y2" s="109"/>
      <c r="Z2" s="109"/>
      <c r="AA2" s="109"/>
    </row>
    <row r="3" spans="1:27" s="26" customFormat="1" ht="27.75" customHeight="1" thickBot="1">
      <c r="A3" s="1160" t="s">
        <v>475</v>
      </c>
      <c r="B3" s="1160"/>
      <c r="C3" s="1160"/>
      <c r="D3" s="1160"/>
      <c r="E3" s="1160"/>
      <c r="F3" s="112"/>
      <c r="G3" s="112"/>
      <c r="H3" s="112"/>
      <c r="I3" s="112"/>
      <c r="J3" s="112"/>
      <c r="K3" s="113"/>
      <c r="L3" s="113"/>
      <c r="M3" s="113"/>
      <c r="N3" s="114"/>
      <c r="O3" s="115"/>
      <c r="P3" s="115"/>
      <c r="Q3" s="115"/>
      <c r="R3" s="112"/>
      <c r="S3" s="112"/>
      <c r="T3" s="116"/>
      <c r="U3" s="112"/>
      <c r="V3" s="112"/>
      <c r="W3" s="112"/>
      <c r="X3" s="112"/>
      <c r="Y3" s="112"/>
      <c r="Z3" s="115"/>
      <c r="AA3" s="117" t="s">
        <v>73</v>
      </c>
    </row>
    <row r="4" spans="1:27" s="24" customFormat="1" ht="44.25" customHeight="1" thickBot="1">
      <c r="A4" s="740" t="s">
        <v>74</v>
      </c>
      <c r="B4" s="741" t="s">
        <v>75</v>
      </c>
      <c r="C4" s="741" t="s">
        <v>76</v>
      </c>
      <c r="D4" s="741" t="s">
        <v>77</v>
      </c>
      <c r="E4" s="741" t="s">
        <v>78</v>
      </c>
      <c r="F4" s="742" t="s">
        <v>79</v>
      </c>
      <c r="G4" s="743" t="s">
        <v>80</v>
      </c>
      <c r="H4" s="743" t="s">
        <v>81</v>
      </c>
      <c r="I4" s="743" t="s">
        <v>82</v>
      </c>
      <c r="J4" s="741" t="s">
        <v>83</v>
      </c>
      <c r="K4" s="743" t="s">
        <v>470</v>
      </c>
      <c r="L4" s="743" t="s">
        <v>464</v>
      </c>
      <c r="M4" s="743" t="s">
        <v>84</v>
      </c>
      <c r="N4" s="743" t="s">
        <v>456</v>
      </c>
      <c r="O4" s="743" t="s">
        <v>85</v>
      </c>
      <c r="P4" s="743" t="s">
        <v>471</v>
      </c>
      <c r="Q4" s="743" t="s">
        <v>383</v>
      </c>
      <c r="R4" s="743" t="s">
        <v>61</v>
      </c>
      <c r="S4" s="744" t="s">
        <v>86</v>
      </c>
      <c r="T4" s="745" t="s">
        <v>87</v>
      </c>
      <c r="U4" s="746" t="s">
        <v>41</v>
      </c>
      <c r="V4" s="339" t="s">
        <v>88</v>
      </c>
      <c r="W4" s="189" t="s">
        <v>89</v>
      </c>
      <c r="X4" s="188" t="s">
        <v>307</v>
      </c>
      <c r="Y4" s="189" t="s">
        <v>90</v>
      </c>
      <c r="Z4" s="188" t="s">
        <v>91</v>
      </c>
      <c r="AA4" s="190" t="s">
        <v>92</v>
      </c>
    </row>
    <row r="5" spans="1:27" s="25" customFormat="1" ht="41.25" customHeight="1" thickTop="1">
      <c r="A5" s="1170" t="s">
        <v>93</v>
      </c>
      <c r="B5" s="1149"/>
      <c r="C5" s="1149"/>
      <c r="D5" s="1149"/>
      <c r="E5" s="1149"/>
      <c r="F5" s="663">
        <f>SUM(F115)</f>
        <v>2000000</v>
      </c>
      <c r="G5" s="663">
        <f t="shared" ref="G5:R5" si="0">G6+G19+G32</f>
        <v>0</v>
      </c>
      <c r="H5" s="663">
        <f t="shared" si="0"/>
        <v>0</v>
      </c>
      <c r="I5" s="663">
        <f t="shared" si="0"/>
        <v>0</v>
      </c>
      <c r="J5" s="663">
        <f t="shared" si="0"/>
        <v>0</v>
      </c>
      <c r="K5" s="663">
        <f t="shared" si="0"/>
        <v>0</v>
      </c>
      <c r="L5" s="663">
        <f t="shared" si="0"/>
        <v>980000</v>
      </c>
      <c r="M5" s="663">
        <f t="shared" si="0"/>
        <v>0</v>
      </c>
      <c r="N5" s="663">
        <f t="shared" si="0"/>
        <v>0</v>
      </c>
      <c r="O5" s="663">
        <f t="shared" si="0"/>
        <v>0</v>
      </c>
      <c r="P5" s="663">
        <f t="shared" si="0"/>
        <v>0</v>
      </c>
      <c r="Q5" s="663">
        <f t="shared" si="0"/>
        <v>0</v>
      </c>
      <c r="R5" s="663">
        <f t="shared" si="0"/>
        <v>0</v>
      </c>
      <c r="S5" s="663">
        <f>SUM(S6,S115)</f>
        <v>2980000</v>
      </c>
      <c r="T5" s="713"/>
      <c r="U5" s="747">
        <f t="shared" ref="U5:AA5" si="1">U6+U19+U32</f>
        <v>81660</v>
      </c>
      <c r="V5" s="349">
        <f t="shared" si="1"/>
        <v>0</v>
      </c>
      <c r="W5" s="118">
        <f t="shared" si="1"/>
        <v>0</v>
      </c>
      <c r="X5" s="118">
        <f t="shared" si="1"/>
        <v>0</v>
      </c>
      <c r="Y5" s="118">
        <f t="shared" si="1"/>
        <v>0</v>
      </c>
      <c r="Z5" s="118">
        <f t="shared" si="1"/>
        <v>0</v>
      </c>
      <c r="AA5" s="340">
        <f t="shared" si="1"/>
        <v>81660</v>
      </c>
    </row>
    <row r="6" spans="1:27" s="24" customFormat="1" ht="41.25" customHeight="1">
      <c r="A6" s="1171">
        <v>1</v>
      </c>
      <c r="B6" s="664" t="s">
        <v>455</v>
      </c>
      <c r="C6" s="665"/>
      <c r="D6" s="665">
        <v>11</v>
      </c>
      <c r="E6" s="666" t="s">
        <v>334</v>
      </c>
      <c r="F6" s="667">
        <f t="shared" ref="F6:S6" si="2">SUM(F7:F18)</f>
        <v>0</v>
      </c>
      <c r="G6" s="667">
        <f t="shared" si="2"/>
        <v>0</v>
      </c>
      <c r="H6" s="667">
        <f t="shared" si="2"/>
        <v>0</v>
      </c>
      <c r="I6" s="667">
        <f t="shared" si="2"/>
        <v>0</v>
      </c>
      <c r="J6" s="667">
        <f t="shared" si="2"/>
        <v>0</v>
      </c>
      <c r="K6" s="667">
        <f t="shared" si="2"/>
        <v>0</v>
      </c>
      <c r="L6" s="667">
        <f t="shared" si="2"/>
        <v>980000</v>
      </c>
      <c r="M6" s="667">
        <f t="shared" si="2"/>
        <v>0</v>
      </c>
      <c r="N6" s="667">
        <f t="shared" si="2"/>
        <v>0</v>
      </c>
      <c r="O6" s="667">
        <f t="shared" si="2"/>
        <v>0</v>
      </c>
      <c r="P6" s="667">
        <f t="shared" si="2"/>
        <v>0</v>
      </c>
      <c r="Q6" s="667">
        <f t="shared" si="2"/>
        <v>0</v>
      </c>
      <c r="R6" s="667">
        <f t="shared" si="2"/>
        <v>0</v>
      </c>
      <c r="S6" s="667">
        <f t="shared" si="2"/>
        <v>980000</v>
      </c>
      <c r="T6" s="701"/>
      <c r="U6" s="748">
        <f t="shared" ref="U6:AA6" si="3">SUM(U7:U18)</f>
        <v>81660</v>
      </c>
      <c r="V6" s="350">
        <f t="shared" si="3"/>
        <v>0</v>
      </c>
      <c r="W6" s="122">
        <f t="shared" si="3"/>
        <v>0</v>
      </c>
      <c r="X6" s="122">
        <f t="shared" si="3"/>
        <v>0</v>
      </c>
      <c r="Y6" s="122">
        <f t="shared" si="3"/>
        <v>0</v>
      </c>
      <c r="Z6" s="122">
        <f t="shared" si="3"/>
        <v>0</v>
      </c>
      <c r="AA6" s="123">
        <f t="shared" si="3"/>
        <v>81660</v>
      </c>
    </row>
    <row r="7" spans="1:27" s="24" customFormat="1" ht="18" customHeight="1">
      <c r="A7" s="1172"/>
      <c r="B7" s="664" t="s">
        <v>450</v>
      </c>
      <c r="C7" s="665"/>
      <c r="D7" s="665">
        <v>1</v>
      </c>
      <c r="E7" s="669" t="s">
        <v>429</v>
      </c>
      <c r="F7" s="670"/>
      <c r="G7" s="671"/>
      <c r="H7" s="670"/>
      <c r="I7" s="672"/>
      <c r="J7" s="671"/>
      <c r="K7" s="671"/>
      <c r="L7" s="671">
        <v>200000</v>
      </c>
      <c r="M7" s="671"/>
      <c r="N7" s="671"/>
      <c r="O7" s="671"/>
      <c r="P7" s="671"/>
      <c r="Q7" s="671"/>
      <c r="R7" s="672"/>
      <c r="S7" s="667">
        <f>SUM(F7:R7)</f>
        <v>200000</v>
      </c>
      <c r="T7" s="701"/>
      <c r="U7" s="750">
        <f>ROUND(S7*1/12,-1)</f>
        <v>16670</v>
      </c>
      <c r="V7" s="338"/>
      <c r="W7" s="128"/>
      <c r="X7" s="128">
        <f>ROUND(W7*6.55%,-1)</f>
        <v>0</v>
      </c>
      <c r="Y7" s="128"/>
      <c r="Z7" s="128"/>
      <c r="AA7" s="129">
        <f>SUM(U7:Z7)</f>
        <v>16670</v>
      </c>
    </row>
    <row r="8" spans="1:27" s="24" customFormat="1" ht="18" customHeight="1">
      <c r="A8" s="1172"/>
      <c r="B8" s="664" t="s">
        <v>451</v>
      </c>
      <c r="C8" s="665"/>
      <c r="D8" s="665">
        <v>1</v>
      </c>
      <c r="E8" s="669" t="s">
        <v>430</v>
      </c>
      <c r="F8" s="671"/>
      <c r="G8" s="671"/>
      <c r="H8" s="671"/>
      <c r="I8" s="671"/>
      <c r="J8" s="671"/>
      <c r="K8" s="671"/>
      <c r="L8" s="671">
        <v>160000</v>
      </c>
      <c r="M8" s="671"/>
      <c r="N8" s="671"/>
      <c r="O8" s="671"/>
      <c r="P8" s="671"/>
      <c r="Q8" s="671"/>
      <c r="R8" s="672"/>
      <c r="S8" s="667">
        <f>SUM(F8:R8)</f>
        <v>160000</v>
      </c>
      <c r="T8" s="701"/>
      <c r="U8" s="750">
        <f>ROUND(S8*1/12,-1)</f>
        <v>13330</v>
      </c>
      <c r="V8" s="338"/>
      <c r="W8" s="128"/>
      <c r="X8" s="128">
        <f>ROUND(W8*6.55%,-1)</f>
        <v>0</v>
      </c>
      <c r="Y8" s="128"/>
      <c r="Z8" s="128"/>
      <c r="AA8" s="129">
        <f>SUM(U8:Z8)</f>
        <v>13330</v>
      </c>
    </row>
    <row r="9" spans="1:27" s="24" customFormat="1" ht="18" customHeight="1">
      <c r="A9" s="1172"/>
      <c r="B9" s="664" t="s">
        <v>452</v>
      </c>
      <c r="C9" s="665"/>
      <c r="D9" s="665">
        <v>1</v>
      </c>
      <c r="E9" s="669" t="s">
        <v>447</v>
      </c>
      <c r="F9" s="671"/>
      <c r="G9" s="671"/>
      <c r="H9" s="671"/>
      <c r="I9" s="671"/>
      <c r="J9" s="671"/>
      <c r="K9" s="671"/>
      <c r="L9" s="671">
        <v>100000</v>
      </c>
      <c r="M9" s="671"/>
      <c r="N9" s="671"/>
      <c r="O9" s="671"/>
      <c r="P9" s="671"/>
      <c r="Q9" s="671"/>
      <c r="R9" s="672"/>
      <c r="S9" s="667">
        <f>SUM(F9:R9)</f>
        <v>100000</v>
      </c>
      <c r="T9" s="701"/>
      <c r="U9" s="750">
        <f>ROUND(S9*1/12,-1)</f>
        <v>8330</v>
      </c>
      <c r="V9" s="338"/>
      <c r="W9" s="128"/>
      <c r="X9" s="128">
        <f>ROUND(W9*6.55%,-1)</f>
        <v>0</v>
      </c>
      <c r="Y9" s="128"/>
      <c r="Z9" s="128"/>
      <c r="AA9" s="129">
        <f>SUM(U9:Z9)</f>
        <v>8330</v>
      </c>
    </row>
    <row r="10" spans="1:27" s="24" customFormat="1" ht="18" customHeight="1">
      <c r="A10" s="1172"/>
      <c r="B10" s="664" t="s">
        <v>453</v>
      </c>
      <c r="C10" s="665"/>
      <c r="D10" s="665">
        <v>1</v>
      </c>
      <c r="E10" s="669" t="s">
        <v>766</v>
      </c>
      <c r="F10" s="672"/>
      <c r="G10" s="671"/>
      <c r="H10" s="671"/>
      <c r="I10" s="671"/>
      <c r="J10" s="671"/>
      <c r="K10" s="671"/>
      <c r="L10" s="671">
        <v>100000</v>
      </c>
      <c r="M10" s="671"/>
      <c r="N10" s="671"/>
      <c r="O10" s="671"/>
      <c r="P10" s="671"/>
      <c r="Q10" s="671"/>
      <c r="R10" s="672"/>
      <c r="S10" s="667">
        <f>SUM(F10:R10)</f>
        <v>100000</v>
      </c>
      <c r="T10" s="701"/>
      <c r="U10" s="750">
        <f>ROUND(S10*1/12,-1)</f>
        <v>8330</v>
      </c>
      <c r="V10" s="338"/>
      <c r="W10" s="128"/>
      <c r="X10" s="128">
        <f>ROUND(W10*6.55%,-1)</f>
        <v>0</v>
      </c>
      <c r="Y10" s="128"/>
      <c r="Z10" s="128"/>
      <c r="AA10" s="129">
        <f>SUM(U10:Z10)</f>
        <v>8330</v>
      </c>
    </row>
    <row r="11" spans="1:27" s="24" customFormat="1" ht="18" customHeight="1">
      <c r="A11" s="1172"/>
      <c r="B11" s="664" t="s">
        <v>454</v>
      </c>
      <c r="C11" s="665"/>
      <c r="D11" s="665">
        <v>7</v>
      </c>
      <c r="E11" s="669" t="s">
        <v>448</v>
      </c>
      <c r="F11" s="671"/>
      <c r="G11" s="671"/>
      <c r="H11" s="671"/>
      <c r="I11" s="671"/>
      <c r="J11" s="671"/>
      <c r="K11" s="671"/>
      <c r="L11" s="671">
        <f>60000*1*7</f>
        <v>420000</v>
      </c>
      <c r="M11" s="671"/>
      <c r="N11" s="671"/>
      <c r="O11" s="671"/>
      <c r="P11" s="671"/>
      <c r="Q11" s="671"/>
      <c r="R11" s="672"/>
      <c r="S11" s="667">
        <f>SUM(F11:R11)</f>
        <v>420000</v>
      </c>
      <c r="T11" s="701"/>
      <c r="U11" s="750">
        <f>ROUND(S11*1/12,-1)</f>
        <v>35000</v>
      </c>
      <c r="V11" s="338"/>
      <c r="W11" s="128"/>
      <c r="X11" s="128">
        <f>ROUND(W11*6.55%,-1)</f>
        <v>0</v>
      </c>
      <c r="Y11" s="128"/>
      <c r="Z11" s="128"/>
      <c r="AA11" s="129">
        <f>SUM(U11:Z11)</f>
        <v>35000</v>
      </c>
    </row>
    <row r="12" spans="1:27" s="24" customFormat="1" ht="16.5" hidden="1" customHeight="1">
      <c r="A12" s="859"/>
      <c r="B12" s="664"/>
      <c r="C12" s="665"/>
      <c r="D12" s="665"/>
      <c r="E12" s="669"/>
      <c r="F12" s="671">
        <f>F11</f>
        <v>0</v>
      </c>
      <c r="G12" s="671">
        <f>F12*50%</f>
        <v>0</v>
      </c>
      <c r="H12" s="671">
        <v>0</v>
      </c>
      <c r="I12" s="671">
        <f>I7</f>
        <v>0</v>
      </c>
      <c r="J12" s="671">
        <v>0</v>
      </c>
      <c r="K12" s="671">
        <f>K11</f>
        <v>0</v>
      </c>
      <c r="L12" s="671">
        <v>0</v>
      </c>
      <c r="M12" s="671">
        <v>0</v>
      </c>
      <c r="N12" s="671">
        <f>N7</f>
        <v>0</v>
      </c>
      <c r="O12" s="671">
        <f>O7</f>
        <v>0</v>
      </c>
      <c r="P12" s="671">
        <f t="shared" ref="P12:P17" si="4">ROUND((F12)*1/209*1.5*40,-1)</f>
        <v>0</v>
      </c>
      <c r="Q12" s="671"/>
      <c r="R12" s="672">
        <f t="shared" ref="R12:R18" si="5">R11</f>
        <v>0</v>
      </c>
      <c r="S12" s="667">
        <f t="shared" ref="S12:S18" si="6">SUM(F12:R12)</f>
        <v>0</v>
      </c>
      <c r="T12" s="701"/>
      <c r="U12" s="750">
        <f t="shared" ref="U12:U18" si="7">ROUND(S12*1/12,-1)</f>
        <v>0</v>
      </c>
      <c r="V12" s="338">
        <f t="shared" ref="V12:V18" si="8">ROUND(S12*4.5%,-1)</f>
        <v>0</v>
      </c>
      <c r="W12" s="128">
        <f t="shared" ref="W12:W18" si="9">ROUND(S12*2.665%,-1)</f>
        <v>0</v>
      </c>
      <c r="X12" s="128">
        <f t="shared" ref="X12:X18" si="10">ROUND(W12*6.55%,-1)</f>
        <v>0</v>
      </c>
      <c r="Y12" s="128">
        <f t="shared" ref="Y12:Y18" si="11">ROUND(S12*0.7%,-1)</f>
        <v>0</v>
      </c>
      <c r="Z12" s="128">
        <f t="shared" ref="Z12:Z18" si="12">ROUND(S12*0.7%,-1)</f>
        <v>0</v>
      </c>
      <c r="AA12" s="129">
        <f t="shared" ref="AA12:AA18" si="13">SUM(U12:Z12)</f>
        <v>0</v>
      </c>
    </row>
    <row r="13" spans="1:27" s="24" customFormat="1" ht="16.5" hidden="1" customHeight="1">
      <c r="A13" s="859"/>
      <c r="B13" s="664"/>
      <c r="C13" s="665"/>
      <c r="D13" s="665"/>
      <c r="E13" s="669"/>
      <c r="F13" s="673">
        <f>F12</f>
        <v>0</v>
      </c>
      <c r="G13" s="671">
        <v>0</v>
      </c>
      <c r="H13" s="670">
        <f>F13*90%</f>
        <v>0</v>
      </c>
      <c r="I13" s="670" t="s">
        <v>68</v>
      </c>
      <c r="J13" s="671">
        <v>0</v>
      </c>
      <c r="K13" s="671">
        <f t="shared" ref="K13:L17" si="14">K12</f>
        <v>0</v>
      </c>
      <c r="L13" s="671">
        <f t="shared" si="14"/>
        <v>0</v>
      </c>
      <c r="M13" s="671">
        <v>0</v>
      </c>
      <c r="N13" s="671">
        <f>N12</f>
        <v>0</v>
      </c>
      <c r="O13" s="671">
        <f>O12</f>
        <v>0</v>
      </c>
      <c r="P13" s="671">
        <f t="shared" si="4"/>
        <v>0</v>
      </c>
      <c r="Q13" s="671"/>
      <c r="R13" s="672">
        <f t="shared" si="5"/>
        <v>0</v>
      </c>
      <c r="S13" s="667">
        <f t="shared" si="6"/>
        <v>0</v>
      </c>
      <c r="T13" s="701"/>
      <c r="U13" s="750">
        <f t="shared" si="7"/>
        <v>0</v>
      </c>
      <c r="V13" s="338">
        <f t="shared" si="8"/>
        <v>0</v>
      </c>
      <c r="W13" s="128">
        <f t="shared" si="9"/>
        <v>0</v>
      </c>
      <c r="X13" s="128">
        <f t="shared" si="10"/>
        <v>0</v>
      </c>
      <c r="Y13" s="128">
        <f t="shared" si="11"/>
        <v>0</v>
      </c>
      <c r="Z13" s="128">
        <f t="shared" si="12"/>
        <v>0</v>
      </c>
      <c r="AA13" s="129">
        <f t="shared" si="13"/>
        <v>0</v>
      </c>
    </row>
    <row r="14" spans="1:27" s="24" customFormat="1" ht="16.5" hidden="1" customHeight="1">
      <c r="A14" s="859"/>
      <c r="B14" s="664"/>
      <c r="C14" s="665"/>
      <c r="D14" s="665"/>
      <c r="E14" s="669"/>
      <c r="F14" s="671">
        <f>F13</f>
        <v>0</v>
      </c>
      <c r="G14" s="671">
        <v>0</v>
      </c>
      <c r="H14" s="671">
        <v>0</v>
      </c>
      <c r="I14" s="671" t="str">
        <f>I13</f>
        <v>-</v>
      </c>
      <c r="J14" s="671">
        <v>0</v>
      </c>
      <c r="K14" s="671">
        <f t="shared" si="14"/>
        <v>0</v>
      </c>
      <c r="L14" s="671">
        <f t="shared" si="14"/>
        <v>0</v>
      </c>
      <c r="M14" s="671">
        <v>0</v>
      </c>
      <c r="N14" s="671">
        <f>N13</f>
        <v>0</v>
      </c>
      <c r="O14" s="671">
        <f>O13</f>
        <v>0</v>
      </c>
      <c r="P14" s="671">
        <f t="shared" si="4"/>
        <v>0</v>
      </c>
      <c r="Q14" s="671"/>
      <c r="R14" s="672">
        <f t="shared" si="5"/>
        <v>0</v>
      </c>
      <c r="S14" s="667">
        <f t="shared" si="6"/>
        <v>0</v>
      </c>
      <c r="T14" s="701"/>
      <c r="U14" s="750">
        <f t="shared" si="7"/>
        <v>0</v>
      </c>
      <c r="V14" s="338">
        <f t="shared" si="8"/>
        <v>0</v>
      </c>
      <c r="W14" s="128">
        <f t="shared" si="9"/>
        <v>0</v>
      </c>
      <c r="X14" s="128">
        <f t="shared" si="10"/>
        <v>0</v>
      </c>
      <c r="Y14" s="128">
        <f t="shared" si="11"/>
        <v>0</v>
      </c>
      <c r="Z14" s="128">
        <f t="shared" si="12"/>
        <v>0</v>
      </c>
      <c r="AA14" s="129">
        <f t="shared" si="13"/>
        <v>0</v>
      </c>
    </row>
    <row r="15" spans="1:27" s="24" customFormat="1" ht="16.5" hidden="1" customHeight="1">
      <c r="A15" s="859"/>
      <c r="B15" s="664"/>
      <c r="C15" s="665"/>
      <c r="D15" s="665"/>
      <c r="E15" s="669"/>
      <c r="F15" s="671">
        <f>F13</f>
        <v>0</v>
      </c>
      <c r="G15" s="671">
        <f>F15*50%</f>
        <v>0</v>
      </c>
      <c r="H15" s="671">
        <v>0</v>
      </c>
      <c r="I15" s="671" t="str">
        <f>I13</f>
        <v>-</v>
      </c>
      <c r="J15" s="671">
        <v>0</v>
      </c>
      <c r="K15" s="671">
        <f t="shared" si="14"/>
        <v>0</v>
      </c>
      <c r="L15" s="671">
        <f t="shared" si="14"/>
        <v>0</v>
      </c>
      <c r="M15" s="671">
        <f>F15*50%</f>
        <v>0</v>
      </c>
      <c r="N15" s="671">
        <f>N13</f>
        <v>0</v>
      </c>
      <c r="O15" s="671">
        <f>O13</f>
        <v>0</v>
      </c>
      <c r="P15" s="671">
        <f t="shared" si="4"/>
        <v>0</v>
      </c>
      <c r="Q15" s="671"/>
      <c r="R15" s="672">
        <f t="shared" si="5"/>
        <v>0</v>
      </c>
      <c r="S15" s="667">
        <f t="shared" si="6"/>
        <v>0</v>
      </c>
      <c r="T15" s="701"/>
      <c r="U15" s="750">
        <f t="shared" si="7"/>
        <v>0</v>
      </c>
      <c r="V15" s="338">
        <f t="shared" si="8"/>
        <v>0</v>
      </c>
      <c r="W15" s="128">
        <f t="shared" si="9"/>
        <v>0</v>
      </c>
      <c r="X15" s="128">
        <f t="shared" si="10"/>
        <v>0</v>
      </c>
      <c r="Y15" s="128">
        <f t="shared" si="11"/>
        <v>0</v>
      </c>
      <c r="Z15" s="128">
        <f t="shared" si="12"/>
        <v>0</v>
      </c>
      <c r="AA15" s="129">
        <f t="shared" si="13"/>
        <v>0</v>
      </c>
    </row>
    <row r="16" spans="1:27" s="24" customFormat="1" ht="16.5" hidden="1" customHeight="1">
      <c r="A16" s="859"/>
      <c r="B16" s="664"/>
      <c r="C16" s="665"/>
      <c r="D16" s="665"/>
      <c r="E16" s="669"/>
      <c r="F16" s="671">
        <f>F13</f>
        <v>0</v>
      </c>
      <c r="G16" s="671">
        <v>0</v>
      </c>
      <c r="H16" s="671">
        <v>0</v>
      </c>
      <c r="I16" s="671" t="str">
        <f>I13</f>
        <v>-</v>
      </c>
      <c r="J16" s="671">
        <f>F16*50%</f>
        <v>0</v>
      </c>
      <c r="K16" s="671">
        <f t="shared" si="14"/>
        <v>0</v>
      </c>
      <c r="L16" s="671">
        <f t="shared" si="14"/>
        <v>0</v>
      </c>
      <c r="M16" s="671">
        <v>0</v>
      </c>
      <c r="N16" s="671">
        <f>N13</f>
        <v>0</v>
      </c>
      <c r="O16" s="671">
        <f>O13</f>
        <v>0</v>
      </c>
      <c r="P16" s="671">
        <f t="shared" si="4"/>
        <v>0</v>
      </c>
      <c r="Q16" s="671"/>
      <c r="R16" s="672">
        <f t="shared" si="5"/>
        <v>0</v>
      </c>
      <c r="S16" s="667">
        <f t="shared" si="6"/>
        <v>0</v>
      </c>
      <c r="T16" s="701"/>
      <c r="U16" s="750">
        <f t="shared" si="7"/>
        <v>0</v>
      </c>
      <c r="V16" s="338">
        <f t="shared" si="8"/>
        <v>0</v>
      </c>
      <c r="W16" s="128">
        <f t="shared" si="9"/>
        <v>0</v>
      </c>
      <c r="X16" s="128">
        <f t="shared" si="10"/>
        <v>0</v>
      </c>
      <c r="Y16" s="128">
        <f t="shared" si="11"/>
        <v>0</v>
      </c>
      <c r="Z16" s="128">
        <f t="shared" si="12"/>
        <v>0</v>
      </c>
      <c r="AA16" s="129">
        <f t="shared" si="13"/>
        <v>0</v>
      </c>
    </row>
    <row r="17" spans="1:27" s="24" customFormat="1" ht="16.5" hidden="1" customHeight="1">
      <c r="A17" s="859"/>
      <c r="B17" s="664"/>
      <c r="C17" s="665"/>
      <c r="D17" s="665"/>
      <c r="E17" s="669"/>
      <c r="F17" s="671">
        <f>F13</f>
        <v>0</v>
      </c>
      <c r="G17" s="671">
        <v>0</v>
      </c>
      <c r="H17" s="671">
        <v>0</v>
      </c>
      <c r="I17" s="671" t="str">
        <f>I13</f>
        <v>-</v>
      </c>
      <c r="J17" s="671">
        <f>F17*50%</f>
        <v>0</v>
      </c>
      <c r="K17" s="671">
        <f t="shared" si="14"/>
        <v>0</v>
      </c>
      <c r="L17" s="671">
        <f t="shared" si="14"/>
        <v>0</v>
      </c>
      <c r="M17" s="671">
        <v>0</v>
      </c>
      <c r="N17" s="671">
        <f>N13</f>
        <v>0</v>
      </c>
      <c r="O17" s="671">
        <f>O13</f>
        <v>0</v>
      </c>
      <c r="P17" s="671">
        <f t="shared" si="4"/>
        <v>0</v>
      </c>
      <c r="Q17" s="671"/>
      <c r="R17" s="672">
        <f t="shared" si="5"/>
        <v>0</v>
      </c>
      <c r="S17" s="667">
        <f t="shared" si="6"/>
        <v>0</v>
      </c>
      <c r="T17" s="701"/>
      <c r="U17" s="750">
        <f t="shared" si="7"/>
        <v>0</v>
      </c>
      <c r="V17" s="338">
        <f t="shared" si="8"/>
        <v>0</v>
      </c>
      <c r="W17" s="128">
        <f t="shared" si="9"/>
        <v>0</v>
      </c>
      <c r="X17" s="128">
        <f t="shared" si="10"/>
        <v>0</v>
      </c>
      <c r="Y17" s="128">
        <f t="shared" si="11"/>
        <v>0</v>
      </c>
      <c r="Z17" s="128">
        <f t="shared" si="12"/>
        <v>0</v>
      </c>
      <c r="AA17" s="129">
        <f t="shared" si="13"/>
        <v>0</v>
      </c>
    </row>
    <row r="18" spans="1:27" s="24" customFormat="1" ht="16.5" hidden="1" customHeight="1">
      <c r="A18" s="751"/>
      <c r="B18" s="675"/>
      <c r="C18" s="676"/>
      <c r="D18" s="676"/>
      <c r="E18" s="707"/>
      <c r="F18" s="708">
        <f>F13</f>
        <v>0</v>
      </c>
      <c r="G18" s="708">
        <f>F18*50%</f>
        <v>0</v>
      </c>
      <c r="H18" s="708">
        <v>0</v>
      </c>
      <c r="I18" s="708" t="str">
        <f>I13</f>
        <v>-</v>
      </c>
      <c r="J18" s="708">
        <v>0</v>
      </c>
      <c r="K18" s="708">
        <f>K17</f>
        <v>0</v>
      </c>
      <c r="L18" s="708">
        <f>L17</f>
        <v>0</v>
      </c>
      <c r="M18" s="708">
        <v>0</v>
      </c>
      <c r="N18" s="708">
        <f>N13</f>
        <v>0</v>
      </c>
      <c r="O18" s="708">
        <f>O13</f>
        <v>0</v>
      </c>
      <c r="P18" s="708">
        <f>ROUND((F18)*1/209*1.5*40*2,-1)</f>
        <v>0</v>
      </c>
      <c r="Q18" s="708"/>
      <c r="R18" s="709">
        <f t="shared" si="5"/>
        <v>0</v>
      </c>
      <c r="S18" s="678">
        <f t="shared" si="6"/>
        <v>0</v>
      </c>
      <c r="T18" s="702"/>
      <c r="U18" s="752">
        <f t="shared" si="7"/>
        <v>0</v>
      </c>
      <c r="V18" s="345">
        <f t="shared" si="8"/>
        <v>0</v>
      </c>
      <c r="W18" s="346">
        <f t="shared" si="9"/>
        <v>0</v>
      </c>
      <c r="X18" s="346">
        <f t="shared" si="10"/>
        <v>0</v>
      </c>
      <c r="Y18" s="346">
        <f t="shared" si="11"/>
        <v>0</v>
      </c>
      <c r="Z18" s="346">
        <f t="shared" si="12"/>
        <v>0</v>
      </c>
      <c r="AA18" s="347">
        <f t="shared" si="13"/>
        <v>0</v>
      </c>
    </row>
    <row r="19" spans="1:27" s="24" customFormat="1" ht="41.25" hidden="1" customHeight="1">
      <c r="A19" s="1171">
        <v>1</v>
      </c>
      <c r="B19" s="664" t="s">
        <v>416</v>
      </c>
      <c r="C19" s="665" t="s">
        <v>333</v>
      </c>
      <c r="D19" s="665">
        <v>1</v>
      </c>
      <c r="E19" s="666" t="s">
        <v>94</v>
      </c>
      <c r="F19" s="667">
        <f t="shared" ref="F19:S19" si="15">SUM(F20:F31)</f>
        <v>0</v>
      </c>
      <c r="G19" s="667">
        <f t="shared" si="15"/>
        <v>0</v>
      </c>
      <c r="H19" s="667">
        <f t="shared" si="15"/>
        <v>0</v>
      </c>
      <c r="I19" s="667">
        <f t="shared" si="15"/>
        <v>0</v>
      </c>
      <c r="J19" s="667">
        <f t="shared" si="15"/>
        <v>0</v>
      </c>
      <c r="K19" s="667">
        <f t="shared" si="15"/>
        <v>0</v>
      </c>
      <c r="L19" s="667">
        <f t="shared" si="15"/>
        <v>0</v>
      </c>
      <c r="M19" s="667">
        <f t="shared" si="15"/>
        <v>0</v>
      </c>
      <c r="N19" s="667">
        <f t="shared" si="15"/>
        <v>0</v>
      </c>
      <c r="O19" s="667">
        <f t="shared" si="15"/>
        <v>0</v>
      </c>
      <c r="P19" s="667">
        <f t="shared" si="15"/>
        <v>0</v>
      </c>
      <c r="Q19" s="667">
        <f t="shared" si="15"/>
        <v>0</v>
      </c>
      <c r="R19" s="667">
        <f t="shared" si="15"/>
        <v>0</v>
      </c>
      <c r="S19" s="667">
        <f t="shared" si="15"/>
        <v>0</v>
      </c>
      <c r="T19" s="701" t="s">
        <v>437</v>
      </c>
      <c r="U19" s="748">
        <f t="shared" ref="U19:AA19" si="16">SUM(U20:U31)</f>
        <v>0</v>
      </c>
      <c r="V19" s="350">
        <f t="shared" si="16"/>
        <v>0</v>
      </c>
      <c r="W19" s="325">
        <f t="shared" si="16"/>
        <v>0</v>
      </c>
      <c r="X19" s="325">
        <f t="shared" si="16"/>
        <v>0</v>
      </c>
      <c r="Y19" s="122">
        <f t="shared" si="16"/>
        <v>0</v>
      </c>
      <c r="Z19" s="325">
        <f t="shared" si="16"/>
        <v>0</v>
      </c>
      <c r="AA19" s="123">
        <f t="shared" si="16"/>
        <v>0</v>
      </c>
    </row>
    <row r="20" spans="1:27" s="24" customFormat="1" ht="16.5" hidden="1" customHeight="1">
      <c r="A20" s="1174"/>
      <c r="B20" s="664"/>
      <c r="C20" s="665">
        <v>3</v>
      </c>
      <c r="D20" s="665"/>
      <c r="E20" s="669" t="s">
        <v>324</v>
      </c>
      <c r="F20" s="670"/>
      <c r="G20" s="671"/>
      <c r="H20" s="670"/>
      <c r="I20" s="672"/>
      <c r="J20" s="671"/>
      <c r="K20" s="671"/>
      <c r="L20" s="671"/>
      <c r="M20" s="671"/>
      <c r="N20" s="671"/>
      <c r="O20" s="671"/>
      <c r="P20" s="671"/>
      <c r="Q20" s="671"/>
      <c r="R20" s="672" t="s">
        <v>68</v>
      </c>
      <c r="S20" s="667">
        <f t="shared" ref="S20:S31" si="17">SUM(F20:R20)</f>
        <v>0</v>
      </c>
      <c r="T20" s="701"/>
      <c r="U20" s="750">
        <f t="shared" ref="U20:U31" si="18">ROUND(S20*1/12,-1)</f>
        <v>0</v>
      </c>
      <c r="V20" s="338">
        <f t="shared" ref="V20:V31" si="19">ROUND(S20*4.5%,-1)</f>
        <v>0</v>
      </c>
      <c r="W20" s="128">
        <f>ROUND(S20*2.665%,-1)</f>
        <v>0</v>
      </c>
      <c r="X20" s="128">
        <f>ROUND(W20*6.55%,-1)</f>
        <v>0</v>
      </c>
      <c r="Y20" s="128">
        <f t="shared" ref="Y20:Y31" si="20">ROUND(S20*0.7%,-1)</f>
        <v>0</v>
      </c>
      <c r="Z20" s="128">
        <f>ROUND(S20*0.7%,-1)</f>
        <v>0</v>
      </c>
      <c r="AA20" s="129">
        <f t="shared" ref="AA20:AA31" si="21">SUM(U20:Z20)</f>
        <v>0</v>
      </c>
    </row>
    <row r="21" spans="1:27" s="24" customFormat="1" ht="16.5" hidden="1" customHeight="1">
      <c r="A21" s="1174"/>
      <c r="B21" s="664"/>
      <c r="C21" s="665"/>
      <c r="D21" s="665"/>
      <c r="E21" s="669" t="s">
        <v>325</v>
      </c>
      <c r="F21" s="671"/>
      <c r="G21" s="671"/>
      <c r="H21" s="671"/>
      <c r="I21" s="671"/>
      <c r="J21" s="671"/>
      <c r="K21" s="671"/>
      <c r="L21" s="671"/>
      <c r="M21" s="671"/>
      <c r="N21" s="671"/>
      <c r="O21" s="671"/>
      <c r="P21" s="671"/>
      <c r="Q21" s="671"/>
      <c r="R21" s="672" t="str">
        <f t="shared" ref="R21:R31" si="22">R20</f>
        <v>-</v>
      </c>
      <c r="S21" s="667">
        <f t="shared" si="17"/>
        <v>0</v>
      </c>
      <c r="T21" s="701"/>
      <c r="U21" s="750">
        <f t="shared" si="18"/>
        <v>0</v>
      </c>
      <c r="V21" s="338">
        <f t="shared" si="19"/>
        <v>0</v>
      </c>
      <c r="W21" s="128">
        <f t="shared" ref="W21:W31" si="23">ROUND(S21*2.665%,-1)</f>
        <v>0</v>
      </c>
      <c r="X21" s="128">
        <f t="shared" ref="X21:X31" si="24">ROUND(W21*6.55%,-1)</f>
        <v>0</v>
      </c>
      <c r="Y21" s="128">
        <f t="shared" si="20"/>
        <v>0</v>
      </c>
      <c r="Z21" s="128">
        <f t="shared" ref="Z21:Z31" si="25">ROUND(S21*0.7%,-1)</f>
        <v>0</v>
      </c>
      <c r="AA21" s="129">
        <f t="shared" si="21"/>
        <v>0</v>
      </c>
    </row>
    <row r="22" spans="1:27" s="24" customFormat="1" ht="16.5" hidden="1" customHeight="1">
      <c r="A22" s="1174"/>
      <c r="B22" s="664"/>
      <c r="C22" s="665"/>
      <c r="D22" s="665"/>
      <c r="E22" s="669" t="s">
        <v>326</v>
      </c>
      <c r="F22" s="671"/>
      <c r="G22" s="671"/>
      <c r="H22" s="671"/>
      <c r="I22" s="671"/>
      <c r="J22" s="671"/>
      <c r="K22" s="671"/>
      <c r="L22" s="671"/>
      <c r="M22" s="671"/>
      <c r="N22" s="671"/>
      <c r="O22" s="671"/>
      <c r="P22" s="671"/>
      <c r="Q22" s="671"/>
      <c r="R22" s="672" t="str">
        <f t="shared" si="22"/>
        <v>-</v>
      </c>
      <c r="S22" s="667">
        <f t="shared" si="17"/>
        <v>0</v>
      </c>
      <c r="T22" s="701"/>
      <c r="U22" s="750">
        <f t="shared" si="18"/>
        <v>0</v>
      </c>
      <c r="V22" s="338">
        <f t="shared" si="19"/>
        <v>0</v>
      </c>
      <c r="W22" s="128">
        <f t="shared" si="23"/>
        <v>0</v>
      </c>
      <c r="X22" s="128">
        <f t="shared" si="24"/>
        <v>0</v>
      </c>
      <c r="Y22" s="128">
        <f t="shared" si="20"/>
        <v>0</v>
      </c>
      <c r="Z22" s="128">
        <f t="shared" si="25"/>
        <v>0</v>
      </c>
      <c r="AA22" s="129">
        <f t="shared" si="21"/>
        <v>0</v>
      </c>
    </row>
    <row r="23" spans="1:27" s="24" customFormat="1" ht="16.5" hidden="1" customHeight="1">
      <c r="A23" s="1174"/>
      <c r="B23" s="664"/>
      <c r="C23" s="665"/>
      <c r="D23" s="665"/>
      <c r="E23" s="669" t="s">
        <v>327</v>
      </c>
      <c r="F23" s="672"/>
      <c r="G23" s="671"/>
      <c r="H23" s="671"/>
      <c r="I23" s="671"/>
      <c r="J23" s="671"/>
      <c r="K23" s="671"/>
      <c r="L23" s="671"/>
      <c r="M23" s="671"/>
      <c r="N23" s="671"/>
      <c r="O23" s="671"/>
      <c r="P23" s="671"/>
      <c r="Q23" s="671"/>
      <c r="R23" s="672" t="str">
        <f t="shared" si="22"/>
        <v>-</v>
      </c>
      <c r="S23" s="667">
        <f t="shared" si="17"/>
        <v>0</v>
      </c>
      <c r="T23" s="701"/>
      <c r="U23" s="750">
        <f t="shared" si="18"/>
        <v>0</v>
      </c>
      <c r="V23" s="338">
        <f t="shared" si="19"/>
        <v>0</v>
      </c>
      <c r="W23" s="128">
        <f t="shared" si="23"/>
        <v>0</v>
      </c>
      <c r="X23" s="128">
        <f t="shared" si="24"/>
        <v>0</v>
      </c>
      <c r="Y23" s="128">
        <f t="shared" si="20"/>
        <v>0</v>
      </c>
      <c r="Z23" s="128">
        <f t="shared" si="25"/>
        <v>0</v>
      </c>
      <c r="AA23" s="129">
        <f t="shared" si="21"/>
        <v>0</v>
      </c>
    </row>
    <row r="24" spans="1:27" s="24" customFormat="1" ht="16.5" hidden="1" customHeight="1">
      <c r="A24" s="1174"/>
      <c r="B24" s="664"/>
      <c r="C24" s="665"/>
      <c r="D24" s="665"/>
      <c r="E24" s="669" t="s">
        <v>328</v>
      </c>
      <c r="F24" s="671"/>
      <c r="G24" s="671"/>
      <c r="H24" s="671"/>
      <c r="I24" s="671"/>
      <c r="J24" s="671"/>
      <c r="K24" s="671"/>
      <c r="L24" s="671"/>
      <c r="M24" s="671"/>
      <c r="N24" s="671"/>
      <c r="O24" s="671"/>
      <c r="P24" s="671"/>
      <c r="Q24" s="671"/>
      <c r="R24" s="672" t="str">
        <f t="shared" si="22"/>
        <v>-</v>
      </c>
      <c r="S24" s="667">
        <f t="shared" si="17"/>
        <v>0</v>
      </c>
      <c r="T24" s="701"/>
      <c r="U24" s="750">
        <f t="shared" si="18"/>
        <v>0</v>
      </c>
      <c r="V24" s="338">
        <f t="shared" si="19"/>
        <v>0</v>
      </c>
      <c r="W24" s="128">
        <f t="shared" si="23"/>
        <v>0</v>
      </c>
      <c r="X24" s="128">
        <f t="shared" si="24"/>
        <v>0</v>
      </c>
      <c r="Y24" s="128">
        <f t="shared" si="20"/>
        <v>0</v>
      </c>
      <c r="Z24" s="128">
        <f t="shared" si="25"/>
        <v>0</v>
      </c>
      <c r="AA24" s="129">
        <f t="shared" si="21"/>
        <v>0</v>
      </c>
    </row>
    <row r="25" spans="1:27" s="24" customFormat="1" ht="16.5" hidden="1" customHeight="1">
      <c r="A25" s="1174"/>
      <c r="B25" s="664"/>
      <c r="C25" s="665"/>
      <c r="D25" s="665"/>
      <c r="E25" s="669" t="s">
        <v>329</v>
      </c>
      <c r="F25" s="671"/>
      <c r="G25" s="671"/>
      <c r="H25" s="671"/>
      <c r="I25" s="671"/>
      <c r="J25" s="671"/>
      <c r="K25" s="671"/>
      <c r="L25" s="671"/>
      <c r="M25" s="671"/>
      <c r="N25" s="671"/>
      <c r="O25" s="671"/>
      <c r="P25" s="671"/>
      <c r="Q25" s="671"/>
      <c r="R25" s="672" t="str">
        <f t="shared" si="22"/>
        <v>-</v>
      </c>
      <c r="S25" s="667">
        <f t="shared" si="17"/>
        <v>0</v>
      </c>
      <c r="T25" s="701"/>
      <c r="U25" s="750">
        <f t="shared" si="18"/>
        <v>0</v>
      </c>
      <c r="V25" s="338">
        <f t="shared" si="19"/>
        <v>0</v>
      </c>
      <c r="W25" s="128">
        <f t="shared" si="23"/>
        <v>0</v>
      </c>
      <c r="X25" s="128">
        <f t="shared" si="24"/>
        <v>0</v>
      </c>
      <c r="Y25" s="128">
        <f t="shared" si="20"/>
        <v>0</v>
      </c>
      <c r="Z25" s="128">
        <f t="shared" si="25"/>
        <v>0</v>
      </c>
      <c r="AA25" s="129">
        <f t="shared" si="21"/>
        <v>0</v>
      </c>
    </row>
    <row r="26" spans="1:27" s="24" customFormat="1" ht="16.5" hidden="1" customHeight="1">
      <c r="A26" s="1174"/>
      <c r="B26" s="664"/>
      <c r="C26" s="665"/>
      <c r="D26" s="665"/>
      <c r="E26" s="669" t="s">
        <v>330</v>
      </c>
      <c r="F26" s="673"/>
      <c r="G26" s="671"/>
      <c r="H26" s="670"/>
      <c r="I26" s="672"/>
      <c r="J26" s="671"/>
      <c r="K26" s="671"/>
      <c r="L26" s="671"/>
      <c r="M26" s="671"/>
      <c r="N26" s="671"/>
      <c r="O26" s="671"/>
      <c r="P26" s="671"/>
      <c r="Q26" s="671"/>
      <c r="R26" s="672" t="str">
        <f t="shared" si="22"/>
        <v>-</v>
      </c>
      <c r="S26" s="667">
        <f t="shared" si="17"/>
        <v>0</v>
      </c>
      <c r="T26" s="701"/>
      <c r="U26" s="750">
        <f t="shared" si="18"/>
        <v>0</v>
      </c>
      <c r="V26" s="338">
        <f t="shared" si="19"/>
        <v>0</v>
      </c>
      <c r="W26" s="128">
        <f t="shared" si="23"/>
        <v>0</v>
      </c>
      <c r="X26" s="128">
        <f t="shared" si="24"/>
        <v>0</v>
      </c>
      <c r="Y26" s="128">
        <f t="shared" si="20"/>
        <v>0</v>
      </c>
      <c r="Z26" s="128">
        <f t="shared" si="25"/>
        <v>0</v>
      </c>
      <c r="AA26" s="129">
        <f t="shared" si="21"/>
        <v>0</v>
      </c>
    </row>
    <row r="27" spans="1:27" s="24" customFormat="1" ht="16.5" hidden="1" customHeight="1">
      <c r="A27" s="1174"/>
      <c r="B27" s="664"/>
      <c r="C27" s="665"/>
      <c r="D27" s="665"/>
      <c r="E27" s="669" t="s">
        <v>331</v>
      </c>
      <c r="F27" s="671"/>
      <c r="G27" s="671"/>
      <c r="H27" s="671"/>
      <c r="I27" s="671"/>
      <c r="J27" s="671"/>
      <c r="K27" s="671"/>
      <c r="L27" s="671"/>
      <c r="M27" s="671"/>
      <c r="N27" s="671"/>
      <c r="O27" s="671"/>
      <c r="P27" s="671"/>
      <c r="Q27" s="671"/>
      <c r="R27" s="672" t="str">
        <f t="shared" si="22"/>
        <v>-</v>
      </c>
      <c r="S27" s="667">
        <f t="shared" si="17"/>
        <v>0</v>
      </c>
      <c r="T27" s="701"/>
      <c r="U27" s="750">
        <f t="shared" si="18"/>
        <v>0</v>
      </c>
      <c r="V27" s="338">
        <f t="shared" si="19"/>
        <v>0</v>
      </c>
      <c r="W27" s="128">
        <f t="shared" si="23"/>
        <v>0</v>
      </c>
      <c r="X27" s="128">
        <f t="shared" si="24"/>
        <v>0</v>
      </c>
      <c r="Y27" s="128">
        <f t="shared" si="20"/>
        <v>0</v>
      </c>
      <c r="Z27" s="128">
        <f t="shared" si="25"/>
        <v>0</v>
      </c>
      <c r="AA27" s="129">
        <f t="shared" si="21"/>
        <v>0</v>
      </c>
    </row>
    <row r="28" spans="1:27" s="24" customFormat="1" ht="16.5" hidden="1" customHeight="1">
      <c r="A28" s="1174"/>
      <c r="B28" s="664"/>
      <c r="C28" s="665"/>
      <c r="D28" s="665"/>
      <c r="E28" s="669" t="s">
        <v>62</v>
      </c>
      <c r="F28" s="671"/>
      <c r="G28" s="671"/>
      <c r="H28" s="671"/>
      <c r="I28" s="671"/>
      <c r="J28" s="671"/>
      <c r="K28" s="671"/>
      <c r="L28" s="671"/>
      <c r="M28" s="671"/>
      <c r="N28" s="671"/>
      <c r="O28" s="671"/>
      <c r="P28" s="671"/>
      <c r="Q28" s="671"/>
      <c r="R28" s="672" t="str">
        <f t="shared" si="22"/>
        <v>-</v>
      </c>
      <c r="S28" s="667">
        <f t="shared" si="17"/>
        <v>0</v>
      </c>
      <c r="T28" s="701"/>
      <c r="U28" s="750">
        <f t="shared" si="18"/>
        <v>0</v>
      </c>
      <c r="V28" s="338">
        <f t="shared" si="19"/>
        <v>0</v>
      </c>
      <c r="W28" s="128">
        <f t="shared" si="23"/>
        <v>0</v>
      </c>
      <c r="X28" s="128">
        <f t="shared" si="24"/>
        <v>0</v>
      </c>
      <c r="Y28" s="128">
        <f t="shared" si="20"/>
        <v>0</v>
      </c>
      <c r="Z28" s="128">
        <f t="shared" si="25"/>
        <v>0</v>
      </c>
      <c r="AA28" s="129">
        <f t="shared" si="21"/>
        <v>0</v>
      </c>
    </row>
    <row r="29" spans="1:27" s="24" customFormat="1" ht="16.5" hidden="1" customHeight="1">
      <c r="A29" s="1174"/>
      <c r="B29" s="664"/>
      <c r="C29" s="665">
        <v>4</v>
      </c>
      <c r="D29" s="665"/>
      <c r="E29" s="669" t="s">
        <v>63</v>
      </c>
      <c r="F29" s="670"/>
      <c r="G29" s="671"/>
      <c r="H29" s="671"/>
      <c r="I29" s="670"/>
      <c r="J29" s="671"/>
      <c r="K29" s="671"/>
      <c r="L29" s="671"/>
      <c r="M29" s="671"/>
      <c r="N29" s="671"/>
      <c r="O29" s="671"/>
      <c r="P29" s="671"/>
      <c r="Q29" s="671"/>
      <c r="R29" s="672" t="str">
        <f t="shared" si="22"/>
        <v>-</v>
      </c>
      <c r="S29" s="667">
        <f t="shared" si="17"/>
        <v>0</v>
      </c>
      <c r="T29" s="701"/>
      <c r="U29" s="750">
        <f t="shared" si="18"/>
        <v>0</v>
      </c>
      <c r="V29" s="338">
        <f t="shared" si="19"/>
        <v>0</v>
      </c>
      <c r="W29" s="128">
        <f t="shared" si="23"/>
        <v>0</v>
      </c>
      <c r="X29" s="128">
        <f t="shared" si="24"/>
        <v>0</v>
      </c>
      <c r="Y29" s="128">
        <f t="shared" si="20"/>
        <v>0</v>
      </c>
      <c r="Z29" s="128">
        <f t="shared" si="25"/>
        <v>0</v>
      </c>
      <c r="AA29" s="129">
        <f t="shared" si="21"/>
        <v>0</v>
      </c>
    </row>
    <row r="30" spans="1:27" s="24" customFormat="1" ht="16.5" hidden="1" customHeight="1">
      <c r="A30" s="1174"/>
      <c r="B30" s="664"/>
      <c r="C30" s="665"/>
      <c r="D30" s="665"/>
      <c r="E30" s="669" t="s">
        <v>64</v>
      </c>
      <c r="F30" s="671"/>
      <c r="G30" s="671"/>
      <c r="H30" s="671"/>
      <c r="I30" s="671"/>
      <c r="J30" s="671"/>
      <c r="K30" s="671"/>
      <c r="L30" s="671"/>
      <c r="M30" s="671"/>
      <c r="N30" s="671"/>
      <c r="O30" s="671"/>
      <c r="P30" s="671"/>
      <c r="Q30" s="671"/>
      <c r="R30" s="672" t="str">
        <f t="shared" si="22"/>
        <v>-</v>
      </c>
      <c r="S30" s="667">
        <f t="shared" si="17"/>
        <v>0</v>
      </c>
      <c r="T30" s="701"/>
      <c r="U30" s="750">
        <f t="shared" si="18"/>
        <v>0</v>
      </c>
      <c r="V30" s="338">
        <f t="shared" si="19"/>
        <v>0</v>
      </c>
      <c r="W30" s="128">
        <f t="shared" si="23"/>
        <v>0</v>
      </c>
      <c r="X30" s="128">
        <f t="shared" si="24"/>
        <v>0</v>
      </c>
      <c r="Y30" s="128">
        <f t="shared" si="20"/>
        <v>0</v>
      </c>
      <c r="Z30" s="128">
        <f t="shared" si="25"/>
        <v>0</v>
      </c>
      <c r="AA30" s="129">
        <f t="shared" si="21"/>
        <v>0</v>
      </c>
    </row>
    <row r="31" spans="1:27" s="24" customFormat="1" ht="16.5" hidden="1" customHeight="1">
      <c r="A31" s="1175"/>
      <c r="B31" s="675"/>
      <c r="C31" s="676"/>
      <c r="D31" s="676"/>
      <c r="E31" s="707" t="s">
        <v>332</v>
      </c>
      <c r="F31" s="708"/>
      <c r="G31" s="708"/>
      <c r="H31" s="708"/>
      <c r="I31" s="708"/>
      <c r="J31" s="708"/>
      <c r="K31" s="708"/>
      <c r="L31" s="708"/>
      <c r="M31" s="708"/>
      <c r="N31" s="708"/>
      <c r="O31" s="708"/>
      <c r="P31" s="708"/>
      <c r="Q31" s="708"/>
      <c r="R31" s="709" t="str">
        <f t="shared" si="22"/>
        <v>-</v>
      </c>
      <c r="S31" s="678">
        <f t="shared" si="17"/>
        <v>0</v>
      </c>
      <c r="T31" s="702"/>
      <c r="U31" s="752">
        <f t="shared" si="18"/>
        <v>0</v>
      </c>
      <c r="V31" s="345">
        <f t="shared" si="19"/>
        <v>0</v>
      </c>
      <c r="W31" s="346">
        <f t="shared" si="23"/>
        <v>0</v>
      </c>
      <c r="X31" s="346">
        <f t="shared" si="24"/>
        <v>0</v>
      </c>
      <c r="Y31" s="346">
        <f t="shared" si="20"/>
        <v>0</v>
      </c>
      <c r="Z31" s="346">
        <f t="shared" si="25"/>
        <v>0</v>
      </c>
      <c r="AA31" s="347">
        <f t="shared" si="21"/>
        <v>0</v>
      </c>
    </row>
    <row r="32" spans="1:27" s="24" customFormat="1" ht="41.25" hidden="1" customHeight="1">
      <c r="A32" s="1171">
        <v>1</v>
      </c>
      <c r="B32" s="664" t="s">
        <v>428</v>
      </c>
      <c r="C32" s="665"/>
      <c r="D32" s="665">
        <v>9</v>
      </c>
      <c r="E32" s="666" t="s">
        <v>94</v>
      </c>
      <c r="F32" s="667">
        <f t="shared" ref="F32:S32" si="26">SUM(F33:F44)</f>
        <v>0</v>
      </c>
      <c r="G32" s="667">
        <f t="shared" si="26"/>
        <v>0</v>
      </c>
      <c r="H32" s="667">
        <f t="shared" si="26"/>
        <v>0</v>
      </c>
      <c r="I32" s="667">
        <f t="shared" si="26"/>
        <v>0</v>
      </c>
      <c r="J32" s="667">
        <f t="shared" si="26"/>
        <v>0</v>
      </c>
      <c r="K32" s="667">
        <f t="shared" si="26"/>
        <v>0</v>
      </c>
      <c r="L32" s="667">
        <f t="shared" si="26"/>
        <v>0</v>
      </c>
      <c r="M32" s="667">
        <f t="shared" si="26"/>
        <v>0</v>
      </c>
      <c r="N32" s="667">
        <f t="shared" si="26"/>
        <v>0</v>
      </c>
      <c r="O32" s="667">
        <f t="shared" si="26"/>
        <v>0</v>
      </c>
      <c r="P32" s="667">
        <f t="shared" si="26"/>
        <v>0</v>
      </c>
      <c r="Q32" s="667">
        <f t="shared" si="26"/>
        <v>0</v>
      </c>
      <c r="R32" s="667">
        <f t="shared" si="26"/>
        <v>0</v>
      </c>
      <c r="S32" s="667">
        <f t="shared" si="26"/>
        <v>0</v>
      </c>
      <c r="T32" s="701" t="s">
        <v>436</v>
      </c>
      <c r="U32" s="748">
        <f t="shared" ref="U32:AA32" si="27">SUM(U33:U44)</f>
        <v>0</v>
      </c>
      <c r="V32" s="350">
        <f t="shared" si="27"/>
        <v>0</v>
      </c>
      <c r="W32" s="325">
        <f t="shared" si="27"/>
        <v>0</v>
      </c>
      <c r="X32" s="325">
        <f t="shared" si="27"/>
        <v>0</v>
      </c>
      <c r="Y32" s="122">
        <f t="shared" si="27"/>
        <v>0</v>
      </c>
      <c r="Z32" s="325">
        <f t="shared" si="27"/>
        <v>0</v>
      </c>
      <c r="AA32" s="123">
        <f t="shared" si="27"/>
        <v>0</v>
      </c>
    </row>
    <row r="33" spans="1:28" s="24" customFormat="1" ht="16.5" hidden="1" customHeight="1">
      <c r="A33" s="1174"/>
      <c r="B33" s="664"/>
      <c r="C33" s="665"/>
      <c r="D33" s="665"/>
      <c r="E33" s="669" t="s">
        <v>429</v>
      </c>
      <c r="F33" s="670"/>
      <c r="G33" s="671"/>
      <c r="H33" s="670"/>
      <c r="I33" s="672"/>
      <c r="J33" s="671"/>
      <c r="K33" s="671"/>
      <c r="L33" s="671"/>
      <c r="M33" s="671"/>
      <c r="N33" s="671"/>
      <c r="O33" s="671"/>
      <c r="P33" s="671"/>
      <c r="Q33" s="671"/>
      <c r="R33" s="672" t="s">
        <v>68</v>
      </c>
      <c r="S33" s="667">
        <f t="shared" ref="S33:S44" si="28">SUM(F33:R33)</f>
        <v>0</v>
      </c>
      <c r="T33" s="701"/>
      <c r="U33" s="750">
        <f t="shared" ref="U33:U44" si="29">ROUND(S33*1/12,-1)</f>
        <v>0</v>
      </c>
      <c r="V33" s="338">
        <f t="shared" ref="V33:V44" si="30">ROUND(S33*4.5%,-1)</f>
        <v>0</v>
      </c>
      <c r="W33" s="128">
        <f>ROUND(S33*2.665%,-1)</f>
        <v>0</v>
      </c>
      <c r="X33" s="128">
        <f>ROUND(W33*6.55%,-1)</f>
        <v>0</v>
      </c>
      <c r="Y33" s="128">
        <f t="shared" ref="Y33:Y44" si="31">ROUND(S33*0.7%,-1)</f>
        <v>0</v>
      </c>
      <c r="Z33" s="128">
        <f>ROUND(S33*0.7%,-1)</f>
        <v>0</v>
      </c>
      <c r="AA33" s="129">
        <f t="shared" ref="AA33:AA44" si="32">SUM(U33:Z33)</f>
        <v>0</v>
      </c>
    </row>
    <row r="34" spans="1:28" s="24" customFormat="1" ht="16.5" hidden="1" customHeight="1">
      <c r="A34" s="1174"/>
      <c r="B34" s="664"/>
      <c r="C34" s="665"/>
      <c r="D34" s="665"/>
      <c r="E34" s="669" t="s">
        <v>430</v>
      </c>
      <c r="F34" s="671"/>
      <c r="G34" s="671"/>
      <c r="H34" s="671"/>
      <c r="I34" s="671"/>
      <c r="J34" s="671"/>
      <c r="K34" s="671"/>
      <c r="L34" s="671"/>
      <c r="M34" s="671"/>
      <c r="N34" s="671"/>
      <c r="O34" s="671"/>
      <c r="P34" s="671"/>
      <c r="Q34" s="671"/>
      <c r="R34" s="672" t="str">
        <f t="shared" ref="R34:R44" si="33">R33</f>
        <v>-</v>
      </c>
      <c r="S34" s="667">
        <f t="shared" si="28"/>
        <v>0</v>
      </c>
      <c r="T34" s="701"/>
      <c r="U34" s="750">
        <f t="shared" si="29"/>
        <v>0</v>
      </c>
      <c r="V34" s="338">
        <f t="shared" si="30"/>
        <v>0</v>
      </c>
      <c r="W34" s="128">
        <f t="shared" ref="W34:W44" si="34">ROUND(S34*2.665%,-1)</f>
        <v>0</v>
      </c>
      <c r="X34" s="128">
        <f t="shared" ref="X34:X44" si="35">ROUND(W34*6.55%,-1)</f>
        <v>0</v>
      </c>
      <c r="Y34" s="128">
        <f t="shared" si="31"/>
        <v>0</v>
      </c>
      <c r="Z34" s="128">
        <f t="shared" ref="Z34:Z44" si="36">ROUND(S34*0.7%,-1)</f>
        <v>0</v>
      </c>
      <c r="AA34" s="129">
        <f t="shared" si="32"/>
        <v>0</v>
      </c>
    </row>
    <row r="35" spans="1:28" s="24" customFormat="1" ht="16.5" hidden="1" customHeight="1">
      <c r="A35" s="1174"/>
      <c r="B35" s="664"/>
      <c r="C35" s="665"/>
      <c r="D35" s="665"/>
      <c r="E35" s="669" t="s">
        <v>431</v>
      </c>
      <c r="F35" s="671"/>
      <c r="G35" s="671"/>
      <c r="H35" s="671"/>
      <c r="I35" s="671"/>
      <c r="J35" s="671"/>
      <c r="K35" s="671"/>
      <c r="L35" s="671"/>
      <c r="M35" s="671"/>
      <c r="N35" s="671"/>
      <c r="O35" s="671"/>
      <c r="P35" s="671"/>
      <c r="Q35" s="671"/>
      <c r="R35" s="672" t="str">
        <f t="shared" si="33"/>
        <v>-</v>
      </c>
      <c r="S35" s="667">
        <f t="shared" si="28"/>
        <v>0</v>
      </c>
      <c r="T35" s="701"/>
      <c r="U35" s="750">
        <f t="shared" si="29"/>
        <v>0</v>
      </c>
      <c r="V35" s="338">
        <f t="shared" si="30"/>
        <v>0</v>
      </c>
      <c r="W35" s="128">
        <f t="shared" si="34"/>
        <v>0</v>
      </c>
      <c r="X35" s="128">
        <f t="shared" si="35"/>
        <v>0</v>
      </c>
      <c r="Y35" s="128">
        <f t="shared" si="31"/>
        <v>0</v>
      </c>
      <c r="Z35" s="128">
        <f t="shared" si="36"/>
        <v>0</v>
      </c>
      <c r="AA35" s="129">
        <f t="shared" si="32"/>
        <v>0</v>
      </c>
    </row>
    <row r="36" spans="1:28" s="24" customFormat="1" ht="16.5" hidden="1" customHeight="1">
      <c r="A36" s="1174"/>
      <c r="B36" s="664"/>
      <c r="C36" s="665"/>
      <c r="D36" s="665"/>
      <c r="E36" s="669" t="s">
        <v>432</v>
      </c>
      <c r="F36" s="672"/>
      <c r="G36" s="671"/>
      <c r="H36" s="671"/>
      <c r="I36" s="671"/>
      <c r="J36" s="671"/>
      <c r="K36" s="671"/>
      <c r="L36" s="671"/>
      <c r="M36" s="671"/>
      <c r="N36" s="671"/>
      <c r="O36" s="671"/>
      <c r="P36" s="671"/>
      <c r="Q36" s="671"/>
      <c r="R36" s="672" t="str">
        <f t="shared" si="33"/>
        <v>-</v>
      </c>
      <c r="S36" s="667">
        <f t="shared" si="28"/>
        <v>0</v>
      </c>
      <c r="T36" s="701"/>
      <c r="U36" s="750">
        <f t="shared" si="29"/>
        <v>0</v>
      </c>
      <c r="V36" s="338">
        <f t="shared" si="30"/>
        <v>0</v>
      </c>
      <c r="W36" s="128">
        <f t="shared" si="34"/>
        <v>0</v>
      </c>
      <c r="X36" s="128">
        <f t="shared" si="35"/>
        <v>0</v>
      </c>
      <c r="Y36" s="128">
        <f t="shared" si="31"/>
        <v>0</v>
      </c>
      <c r="Z36" s="128">
        <f t="shared" si="36"/>
        <v>0</v>
      </c>
      <c r="AA36" s="129">
        <f t="shared" si="32"/>
        <v>0</v>
      </c>
    </row>
    <row r="37" spans="1:28" s="24" customFormat="1" ht="16.5" hidden="1" customHeight="1">
      <c r="A37" s="1174"/>
      <c r="B37" s="664"/>
      <c r="C37" s="665"/>
      <c r="D37" s="665"/>
      <c r="E37" s="669" t="s">
        <v>433</v>
      </c>
      <c r="F37" s="671"/>
      <c r="G37" s="671"/>
      <c r="H37" s="671"/>
      <c r="I37" s="671"/>
      <c r="J37" s="671"/>
      <c r="K37" s="671"/>
      <c r="L37" s="671"/>
      <c r="M37" s="671"/>
      <c r="N37" s="671"/>
      <c r="O37" s="671"/>
      <c r="P37" s="671"/>
      <c r="Q37" s="671"/>
      <c r="R37" s="672" t="str">
        <f t="shared" si="33"/>
        <v>-</v>
      </c>
      <c r="S37" s="667">
        <f t="shared" si="28"/>
        <v>0</v>
      </c>
      <c r="T37" s="701" t="s">
        <v>435</v>
      </c>
      <c r="U37" s="750">
        <f t="shared" si="29"/>
        <v>0</v>
      </c>
      <c r="V37" s="338">
        <f t="shared" si="30"/>
        <v>0</v>
      </c>
      <c r="W37" s="128">
        <f t="shared" si="34"/>
        <v>0</v>
      </c>
      <c r="X37" s="128">
        <f t="shared" si="35"/>
        <v>0</v>
      </c>
      <c r="Y37" s="128">
        <f t="shared" si="31"/>
        <v>0</v>
      </c>
      <c r="Z37" s="128">
        <f t="shared" si="36"/>
        <v>0</v>
      </c>
      <c r="AA37" s="129">
        <f t="shared" si="32"/>
        <v>0</v>
      </c>
    </row>
    <row r="38" spans="1:28" s="24" customFormat="1" ht="16.5" hidden="1" customHeight="1">
      <c r="A38" s="1174"/>
      <c r="B38" s="664"/>
      <c r="C38" s="665"/>
      <c r="D38" s="665"/>
      <c r="E38" s="669"/>
      <c r="F38" s="671"/>
      <c r="G38" s="671"/>
      <c r="H38" s="671"/>
      <c r="I38" s="671"/>
      <c r="J38" s="671"/>
      <c r="K38" s="671"/>
      <c r="L38" s="671"/>
      <c r="M38" s="671"/>
      <c r="N38" s="671"/>
      <c r="O38" s="671"/>
      <c r="P38" s="671"/>
      <c r="Q38" s="671"/>
      <c r="R38" s="672" t="str">
        <f t="shared" si="33"/>
        <v>-</v>
      </c>
      <c r="S38" s="667">
        <f t="shared" si="28"/>
        <v>0</v>
      </c>
      <c r="T38" s="701"/>
      <c r="U38" s="750">
        <f t="shared" si="29"/>
        <v>0</v>
      </c>
      <c r="V38" s="338">
        <f t="shared" si="30"/>
        <v>0</v>
      </c>
      <c r="W38" s="128">
        <f t="shared" si="34"/>
        <v>0</v>
      </c>
      <c r="X38" s="128">
        <f t="shared" si="35"/>
        <v>0</v>
      </c>
      <c r="Y38" s="128">
        <f t="shared" si="31"/>
        <v>0</v>
      </c>
      <c r="Z38" s="128">
        <f t="shared" si="36"/>
        <v>0</v>
      </c>
      <c r="AA38" s="129">
        <f t="shared" si="32"/>
        <v>0</v>
      </c>
    </row>
    <row r="39" spans="1:28" s="24" customFormat="1" ht="16.5" hidden="1" customHeight="1">
      <c r="A39" s="1174"/>
      <c r="B39" s="664"/>
      <c r="C39" s="665"/>
      <c r="D39" s="665"/>
      <c r="E39" s="669"/>
      <c r="F39" s="673"/>
      <c r="G39" s="671"/>
      <c r="H39" s="670"/>
      <c r="I39" s="672"/>
      <c r="J39" s="671"/>
      <c r="K39" s="671"/>
      <c r="L39" s="671"/>
      <c r="M39" s="671"/>
      <c r="N39" s="671"/>
      <c r="O39" s="671"/>
      <c r="P39" s="671"/>
      <c r="Q39" s="671"/>
      <c r="R39" s="672" t="str">
        <f t="shared" si="33"/>
        <v>-</v>
      </c>
      <c r="S39" s="667">
        <f t="shared" si="28"/>
        <v>0</v>
      </c>
      <c r="T39" s="701"/>
      <c r="U39" s="750">
        <f t="shared" si="29"/>
        <v>0</v>
      </c>
      <c r="V39" s="338">
        <f t="shared" si="30"/>
        <v>0</v>
      </c>
      <c r="W39" s="128">
        <f t="shared" si="34"/>
        <v>0</v>
      </c>
      <c r="X39" s="128">
        <f t="shared" si="35"/>
        <v>0</v>
      </c>
      <c r="Y39" s="128">
        <f t="shared" si="31"/>
        <v>0</v>
      </c>
      <c r="Z39" s="128">
        <f t="shared" si="36"/>
        <v>0</v>
      </c>
      <c r="AA39" s="129">
        <f t="shared" si="32"/>
        <v>0</v>
      </c>
    </row>
    <row r="40" spans="1:28" s="24" customFormat="1" ht="16.5" hidden="1" customHeight="1">
      <c r="A40" s="1174"/>
      <c r="B40" s="664"/>
      <c r="C40" s="665"/>
      <c r="D40" s="665"/>
      <c r="E40" s="669"/>
      <c r="F40" s="671"/>
      <c r="G40" s="671"/>
      <c r="H40" s="671"/>
      <c r="I40" s="671"/>
      <c r="J40" s="671"/>
      <c r="K40" s="671"/>
      <c r="L40" s="671"/>
      <c r="M40" s="671"/>
      <c r="N40" s="671"/>
      <c r="O40" s="671"/>
      <c r="P40" s="671"/>
      <c r="Q40" s="671"/>
      <c r="R40" s="672" t="str">
        <f t="shared" si="33"/>
        <v>-</v>
      </c>
      <c r="S40" s="667">
        <f t="shared" si="28"/>
        <v>0</v>
      </c>
      <c r="T40" s="701"/>
      <c r="U40" s="750">
        <f t="shared" si="29"/>
        <v>0</v>
      </c>
      <c r="V40" s="338">
        <f t="shared" si="30"/>
        <v>0</v>
      </c>
      <c r="W40" s="128">
        <f t="shared" si="34"/>
        <v>0</v>
      </c>
      <c r="X40" s="128">
        <f t="shared" si="35"/>
        <v>0</v>
      </c>
      <c r="Y40" s="128">
        <f t="shared" si="31"/>
        <v>0</v>
      </c>
      <c r="Z40" s="128">
        <f t="shared" si="36"/>
        <v>0</v>
      </c>
      <c r="AA40" s="129">
        <f t="shared" si="32"/>
        <v>0</v>
      </c>
    </row>
    <row r="41" spans="1:28" s="24" customFormat="1" ht="16.5" hidden="1" customHeight="1">
      <c r="A41" s="1174"/>
      <c r="B41" s="664"/>
      <c r="C41" s="665"/>
      <c r="D41" s="665"/>
      <c r="E41" s="669"/>
      <c r="F41" s="671"/>
      <c r="G41" s="671"/>
      <c r="H41" s="671"/>
      <c r="I41" s="671"/>
      <c r="J41" s="671"/>
      <c r="K41" s="671"/>
      <c r="L41" s="671"/>
      <c r="M41" s="671"/>
      <c r="N41" s="671"/>
      <c r="O41" s="671"/>
      <c r="P41" s="671"/>
      <c r="Q41" s="671"/>
      <c r="R41" s="672" t="str">
        <f t="shared" si="33"/>
        <v>-</v>
      </c>
      <c r="S41" s="667">
        <f t="shared" si="28"/>
        <v>0</v>
      </c>
      <c r="T41" s="701"/>
      <c r="U41" s="750">
        <f t="shared" si="29"/>
        <v>0</v>
      </c>
      <c r="V41" s="338">
        <f t="shared" si="30"/>
        <v>0</v>
      </c>
      <c r="W41" s="128">
        <f t="shared" si="34"/>
        <v>0</v>
      </c>
      <c r="X41" s="128">
        <f t="shared" si="35"/>
        <v>0</v>
      </c>
      <c r="Y41" s="128">
        <f t="shared" si="31"/>
        <v>0</v>
      </c>
      <c r="Z41" s="128">
        <f t="shared" si="36"/>
        <v>0</v>
      </c>
      <c r="AA41" s="129">
        <f t="shared" si="32"/>
        <v>0</v>
      </c>
    </row>
    <row r="42" spans="1:28" s="24" customFormat="1" ht="16.5" hidden="1" customHeight="1">
      <c r="A42" s="1174"/>
      <c r="B42" s="664"/>
      <c r="C42" s="665"/>
      <c r="D42" s="665"/>
      <c r="E42" s="669"/>
      <c r="F42" s="670"/>
      <c r="G42" s="671"/>
      <c r="H42" s="671"/>
      <c r="I42" s="670"/>
      <c r="J42" s="671"/>
      <c r="K42" s="671"/>
      <c r="L42" s="671"/>
      <c r="M42" s="671"/>
      <c r="N42" s="671"/>
      <c r="O42" s="671"/>
      <c r="P42" s="671"/>
      <c r="Q42" s="671"/>
      <c r="R42" s="672" t="str">
        <f t="shared" si="33"/>
        <v>-</v>
      </c>
      <c r="S42" s="667">
        <f t="shared" si="28"/>
        <v>0</v>
      </c>
      <c r="T42" s="701"/>
      <c r="U42" s="750">
        <f t="shared" si="29"/>
        <v>0</v>
      </c>
      <c r="V42" s="338">
        <f t="shared" si="30"/>
        <v>0</v>
      </c>
      <c r="W42" s="128">
        <f t="shared" si="34"/>
        <v>0</v>
      </c>
      <c r="X42" s="128">
        <f t="shared" si="35"/>
        <v>0</v>
      </c>
      <c r="Y42" s="128">
        <f t="shared" si="31"/>
        <v>0</v>
      </c>
      <c r="Z42" s="128">
        <f t="shared" si="36"/>
        <v>0</v>
      </c>
      <c r="AA42" s="129">
        <f t="shared" si="32"/>
        <v>0</v>
      </c>
    </row>
    <row r="43" spans="1:28" s="24" customFormat="1" ht="16.5" hidden="1" customHeight="1">
      <c r="A43" s="1174"/>
      <c r="B43" s="664"/>
      <c r="C43" s="665"/>
      <c r="D43" s="665"/>
      <c r="E43" s="669"/>
      <c r="F43" s="671"/>
      <c r="G43" s="671"/>
      <c r="H43" s="671"/>
      <c r="I43" s="671"/>
      <c r="J43" s="671"/>
      <c r="K43" s="671"/>
      <c r="L43" s="671"/>
      <c r="M43" s="671"/>
      <c r="N43" s="671"/>
      <c r="O43" s="671"/>
      <c r="P43" s="671"/>
      <c r="Q43" s="671"/>
      <c r="R43" s="672" t="str">
        <f t="shared" si="33"/>
        <v>-</v>
      </c>
      <c r="S43" s="667">
        <f t="shared" si="28"/>
        <v>0</v>
      </c>
      <c r="T43" s="701"/>
      <c r="U43" s="750">
        <f t="shared" si="29"/>
        <v>0</v>
      </c>
      <c r="V43" s="338">
        <f t="shared" si="30"/>
        <v>0</v>
      </c>
      <c r="W43" s="128">
        <f t="shared" si="34"/>
        <v>0</v>
      </c>
      <c r="X43" s="128">
        <f t="shared" si="35"/>
        <v>0</v>
      </c>
      <c r="Y43" s="128">
        <f t="shared" si="31"/>
        <v>0</v>
      </c>
      <c r="Z43" s="128">
        <f t="shared" si="36"/>
        <v>0</v>
      </c>
      <c r="AA43" s="129">
        <f t="shared" si="32"/>
        <v>0</v>
      </c>
    </row>
    <row r="44" spans="1:28" s="24" customFormat="1" ht="16.5" hidden="1" customHeight="1">
      <c r="A44" s="1175"/>
      <c r="B44" s="675"/>
      <c r="C44" s="676"/>
      <c r="D44" s="676"/>
      <c r="E44" s="707"/>
      <c r="F44" s="708"/>
      <c r="G44" s="708"/>
      <c r="H44" s="708"/>
      <c r="I44" s="708"/>
      <c r="J44" s="708"/>
      <c r="K44" s="708"/>
      <c r="L44" s="708"/>
      <c r="M44" s="708"/>
      <c r="N44" s="708"/>
      <c r="O44" s="708"/>
      <c r="P44" s="708"/>
      <c r="Q44" s="708"/>
      <c r="R44" s="709" t="str">
        <f t="shared" si="33"/>
        <v>-</v>
      </c>
      <c r="S44" s="678">
        <f t="shared" si="28"/>
        <v>0</v>
      </c>
      <c r="T44" s="702"/>
      <c r="U44" s="752">
        <f t="shared" si="29"/>
        <v>0</v>
      </c>
      <c r="V44" s="345">
        <f t="shared" si="30"/>
        <v>0</v>
      </c>
      <c r="W44" s="346">
        <f t="shared" si="34"/>
        <v>0</v>
      </c>
      <c r="X44" s="346">
        <f t="shared" si="35"/>
        <v>0</v>
      </c>
      <c r="Y44" s="346">
        <f t="shared" si="31"/>
        <v>0</v>
      </c>
      <c r="Z44" s="128">
        <f t="shared" si="36"/>
        <v>0</v>
      </c>
      <c r="AA44" s="347">
        <f t="shared" si="32"/>
        <v>0</v>
      </c>
    </row>
    <row r="45" spans="1:28" hidden="1">
      <c r="A45" s="753"/>
      <c r="B45" s="719"/>
      <c r="C45" s="719"/>
      <c r="D45" s="719"/>
      <c r="E45" s="719"/>
      <c r="F45" s="719"/>
      <c r="G45" s="719"/>
      <c r="H45" s="719"/>
      <c r="I45" s="719"/>
      <c r="J45" s="719"/>
      <c r="K45" s="719"/>
      <c r="L45" s="719"/>
      <c r="M45" s="719"/>
      <c r="N45" s="719"/>
      <c r="O45" s="719"/>
      <c r="P45" s="719"/>
      <c r="Q45" s="719"/>
      <c r="R45" s="719"/>
      <c r="S45" s="719"/>
      <c r="T45" s="720"/>
      <c r="U45" s="754"/>
      <c r="V45" s="427"/>
      <c r="W45" s="427"/>
      <c r="X45" s="427"/>
      <c r="Y45" s="427"/>
      <c r="Z45" s="427"/>
      <c r="AA45" s="427"/>
    </row>
    <row r="46" spans="1:28" hidden="1">
      <c r="A46" s="755"/>
      <c r="B46" s="721"/>
      <c r="C46" s="721"/>
      <c r="D46" s="721"/>
      <c r="E46" s="721"/>
      <c r="F46" s="721"/>
      <c r="G46" s="721"/>
      <c r="H46" s="721"/>
      <c r="I46" s="721"/>
      <c r="J46" s="721"/>
      <c r="K46" s="721"/>
      <c r="L46" s="721"/>
      <c r="M46" s="721"/>
      <c r="N46" s="721"/>
      <c r="O46" s="721"/>
      <c r="P46" s="721"/>
      <c r="Q46" s="721"/>
      <c r="R46" s="721"/>
      <c r="S46" s="721"/>
      <c r="T46" s="722"/>
      <c r="U46" s="756"/>
    </row>
    <row r="47" spans="1:28" ht="14.25" hidden="1">
      <c r="A47" s="1169" t="s">
        <v>476</v>
      </c>
      <c r="B47" s="1147"/>
      <c r="C47" s="1147"/>
      <c r="D47" s="1147"/>
      <c r="E47" s="1147"/>
      <c r="F47" s="757"/>
      <c r="G47" s="757"/>
      <c r="H47" s="757"/>
      <c r="I47" s="757"/>
      <c r="J47" s="757"/>
      <c r="K47" s="758"/>
      <c r="L47" s="758"/>
      <c r="M47" s="758"/>
      <c r="N47" s="759"/>
      <c r="O47" s="660"/>
      <c r="P47" s="660"/>
      <c r="Q47" s="660"/>
      <c r="R47" s="660"/>
      <c r="S47" s="757"/>
      <c r="T47" s="757"/>
      <c r="U47" s="760"/>
      <c r="V47" s="112"/>
      <c r="W47" s="112"/>
      <c r="X47" s="112"/>
      <c r="Y47" s="112"/>
      <c r="Z47" s="112"/>
      <c r="AA47" s="115"/>
      <c r="AB47" s="117" t="s">
        <v>73</v>
      </c>
    </row>
    <row r="48" spans="1:28" ht="36.75" hidden="1" thickBot="1">
      <c r="A48" s="761" t="s">
        <v>74</v>
      </c>
      <c r="B48" s="682" t="s">
        <v>75</v>
      </c>
      <c r="C48" s="682" t="s">
        <v>76</v>
      </c>
      <c r="D48" s="682" t="s">
        <v>77</v>
      </c>
      <c r="E48" s="682" t="s">
        <v>78</v>
      </c>
      <c r="F48" s="683" t="s">
        <v>79</v>
      </c>
      <c r="G48" s="684" t="s">
        <v>80</v>
      </c>
      <c r="H48" s="684" t="s">
        <v>81</v>
      </c>
      <c r="I48" s="684" t="s">
        <v>82</v>
      </c>
      <c r="J48" s="682" t="s">
        <v>83</v>
      </c>
      <c r="K48" s="684" t="s">
        <v>470</v>
      </c>
      <c r="L48" s="684" t="s">
        <v>427</v>
      </c>
      <c r="M48" s="684" t="s">
        <v>84</v>
      </c>
      <c r="N48" s="684" t="s">
        <v>456</v>
      </c>
      <c r="O48" s="684" t="s">
        <v>85</v>
      </c>
      <c r="P48" s="684" t="s">
        <v>43</v>
      </c>
      <c r="Q48" s="684" t="s">
        <v>383</v>
      </c>
      <c r="R48" s="684" t="s">
        <v>16</v>
      </c>
      <c r="S48" s="684" t="s">
        <v>61</v>
      </c>
      <c r="T48" s="700" t="s">
        <v>86</v>
      </c>
      <c r="U48" s="762" t="s">
        <v>87</v>
      </c>
      <c r="V48" s="339" t="s">
        <v>41</v>
      </c>
      <c r="W48" s="189" t="s">
        <v>88</v>
      </c>
      <c r="X48" s="189" t="s">
        <v>89</v>
      </c>
      <c r="Y48" s="188" t="s">
        <v>307</v>
      </c>
      <c r="Z48" s="189" t="s">
        <v>90</v>
      </c>
      <c r="AA48" s="188" t="s">
        <v>91</v>
      </c>
      <c r="AB48" s="190" t="s">
        <v>92</v>
      </c>
    </row>
    <row r="49" spans="1:28" ht="14.25" hidden="1" thickTop="1">
      <c r="A49" s="1163"/>
      <c r="B49" s="1149"/>
      <c r="C49" s="1149"/>
      <c r="D49" s="1149"/>
      <c r="E49" s="1149"/>
      <c r="F49" s="663"/>
      <c r="G49" s="663"/>
      <c r="H49" s="663"/>
      <c r="I49" s="663"/>
      <c r="J49" s="663"/>
      <c r="K49" s="663"/>
      <c r="L49" s="663"/>
      <c r="M49" s="663"/>
      <c r="N49" s="663"/>
      <c r="O49" s="663"/>
      <c r="P49" s="663"/>
      <c r="Q49" s="663"/>
      <c r="R49" s="663"/>
      <c r="S49" s="663"/>
      <c r="T49" s="663"/>
      <c r="U49" s="763"/>
      <c r="V49" s="349"/>
      <c r="W49" s="349"/>
      <c r="X49" s="349"/>
      <c r="Y49" s="349"/>
      <c r="Z49" s="349"/>
      <c r="AA49" s="349"/>
      <c r="AB49" s="349"/>
    </row>
    <row r="50" spans="1:28" ht="18" hidden="1" customHeight="1">
      <c r="A50" s="1164">
        <v>1</v>
      </c>
      <c r="B50" s="675" t="s">
        <v>95</v>
      </c>
      <c r="C50" s="676">
        <v>1</v>
      </c>
      <c r="D50" s="676">
        <v>1</v>
      </c>
      <c r="E50" s="677" t="s">
        <v>94</v>
      </c>
      <c r="F50" s="678">
        <f t="shared" ref="F50:S50" si="37">SUM(F51:F62)</f>
        <v>0</v>
      </c>
      <c r="G50" s="678">
        <f t="shared" si="37"/>
        <v>0</v>
      </c>
      <c r="H50" s="678">
        <f>SUM(H51:H62)</f>
        <v>0</v>
      </c>
      <c r="I50" s="678">
        <f t="shared" si="37"/>
        <v>0</v>
      </c>
      <c r="J50" s="678">
        <f t="shared" si="37"/>
        <v>0</v>
      </c>
      <c r="K50" s="678">
        <f t="shared" si="37"/>
        <v>0</v>
      </c>
      <c r="L50" s="678">
        <f t="shared" si="37"/>
        <v>0</v>
      </c>
      <c r="M50" s="678">
        <f t="shared" si="37"/>
        <v>0</v>
      </c>
      <c r="N50" s="678">
        <f t="shared" si="37"/>
        <v>0</v>
      </c>
      <c r="O50" s="678">
        <f t="shared" si="37"/>
        <v>0</v>
      </c>
      <c r="P50" s="678"/>
      <c r="Q50" s="678">
        <f t="shared" si="37"/>
        <v>0</v>
      </c>
      <c r="R50" s="678">
        <f t="shared" si="37"/>
        <v>0</v>
      </c>
      <c r="S50" s="678">
        <f t="shared" si="37"/>
        <v>0</v>
      </c>
      <c r="T50" s="679">
        <f>SUM(T51:T62)</f>
        <v>0</v>
      </c>
      <c r="U50" s="764"/>
      <c r="V50" s="350">
        <f>SUM(V51:V62)</f>
        <v>0</v>
      </c>
      <c r="W50" s="122">
        <f t="shared" ref="W50:AB50" si="38">SUM(W51:W62)</f>
        <v>0</v>
      </c>
      <c r="X50" s="122">
        <f t="shared" si="38"/>
        <v>0</v>
      </c>
      <c r="Y50" s="122">
        <f t="shared" si="38"/>
        <v>0</v>
      </c>
      <c r="Z50" s="122">
        <f>SUM(Z51:Z62)</f>
        <v>0</v>
      </c>
      <c r="AA50" s="122">
        <f t="shared" si="38"/>
        <v>0</v>
      </c>
      <c r="AB50" s="123">
        <f t="shared" si="38"/>
        <v>0</v>
      </c>
    </row>
    <row r="51" spans="1:28" hidden="1">
      <c r="A51" s="1164"/>
      <c r="B51" s="693" t="s">
        <v>466</v>
      </c>
      <c r="C51" s="694"/>
      <c r="D51" s="694"/>
      <c r="E51" s="703" t="s">
        <v>324</v>
      </c>
      <c r="F51" s="695"/>
      <c r="G51" s="696"/>
      <c r="H51" s="695"/>
      <c r="I51" s="695"/>
      <c r="J51" s="696"/>
      <c r="K51" s="696"/>
      <c r="L51" s="696"/>
      <c r="M51" s="671"/>
      <c r="N51" s="696"/>
      <c r="O51" s="696"/>
      <c r="P51" s="696"/>
      <c r="Q51" s="696"/>
      <c r="R51" s="696"/>
      <c r="S51" s="697"/>
      <c r="T51" s="736"/>
      <c r="U51" s="765"/>
      <c r="V51" s="338">
        <f>ROUNDUP(T51*1/12,-1)</f>
        <v>0</v>
      </c>
      <c r="W51" s="128">
        <f t="shared" ref="W51:W62" si="39">ROUND(T51*4.5%,-1)</f>
        <v>0</v>
      </c>
      <c r="X51" s="128">
        <f>ROUNDUP((T51-L51)*2.82%,-1)</f>
        <v>0</v>
      </c>
      <c r="Y51" s="128">
        <f>ROUNDUP(X51*6.55%,-1)</f>
        <v>0</v>
      </c>
      <c r="Z51" s="128">
        <f>ROUND(T51*0.8%,-1)</f>
        <v>0</v>
      </c>
      <c r="AA51" s="128">
        <f>ROUND(T51*0.785%,-1)</f>
        <v>0</v>
      </c>
      <c r="AB51" s="129">
        <f t="shared" ref="AB51:AB62" si="40">SUM(V51:AA51)</f>
        <v>0</v>
      </c>
    </row>
    <row r="52" spans="1:28" hidden="1">
      <c r="A52" s="1164"/>
      <c r="B52" s="664"/>
      <c r="C52" s="665"/>
      <c r="D52" s="665"/>
      <c r="E52" s="669" t="s">
        <v>325</v>
      </c>
      <c r="F52" s="671"/>
      <c r="G52" s="671"/>
      <c r="H52" s="671"/>
      <c r="I52" s="671"/>
      <c r="J52" s="671"/>
      <c r="K52" s="671"/>
      <c r="L52" s="671"/>
      <c r="M52" s="671"/>
      <c r="N52" s="671"/>
      <c r="O52" s="671"/>
      <c r="P52" s="671"/>
      <c r="Q52" s="671"/>
      <c r="R52" s="671"/>
      <c r="S52" s="672"/>
      <c r="T52" s="736"/>
      <c r="U52" s="766"/>
      <c r="V52" s="338">
        <f t="shared" ref="V52:V62" si="41">ROUNDUP(T52*1/12,-1)</f>
        <v>0</v>
      </c>
      <c r="W52" s="128">
        <f t="shared" si="39"/>
        <v>0</v>
      </c>
      <c r="X52" s="128">
        <f t="shared" ref="X52:X62" si="42">ROUNDUP((T52-L52)*2.82%,-1)</f>
        <v>0</v>
      </c>
      <c r="Y52" s="128">
        <f t="shared" ref="Y52:Y62" si="43">ROUNDUP(X52*6.55%,-1)</f>
        <v>0</v>
      </c>
      <c r="Z52" s="128">
        <f t="shared" ref="Z52:Z62" si="44">ROUND(T52*0.8%,-1)</f>
        <v>0</v>
      </c>
      <c r="AA52" s="128">
        <f t="shared" ref="AA52:AA62" si="45">ROUND(T52*0.785%,-1)</f>
        <v>0</v>
      </c>
      <c r="AB52" s="129">
        <f t="shared" si="40"/>
        <v>0</v>
      </c>
    </row>
    <row r="53" spans="1:28" hidden="1">
      <c r="A53" s="1164"/>
      <c r="B53" s="664"/>
      <c r="C53" s="665"/>
      <c r="D53" s="665"/>
      <c r="E53" s="669" t="s">
        <v>326</v>
      </c>
      <c r="F53" s="671"/>
      <c r="G53" s="671"/>
      <c r="H53" s="671"/>
      <c r="I53" s="671"/>
      <c r="J53" s="671"/>
      <c r="K53" s="671"/>
      <c r="L53" s="671"/>
      <c r="M53" s="671"/>
      <c r="N53" s="671"/>
      <c r="O53" s="671"/>
      <c r="P53" s="671"/>
      <c r="Q53" s="671"/>
      <c r="R53" s="671"/>
      <c r="S53" s="672"/>
      <c r="T53" s="736"/>
      <c r="U53" s="766"/>
      <c r="V53" s="338">
        <f t="shared" si="41"/>
        <v>0</v>
      </c>
      <c r="W53" s="128">
        <f t="shared" si="39"/>
        <v>0</v>
      </c>
      <c r="X53" s="128">
        <f t="shared" si="42"/>
        <v>0</v>
      </c>
      <c r="Y53" s="128">
        <f t="shared" si="43"/>
        <v>0</v>
      </c>
      <c r="Z53" s="128">
        <f t="shared" si="44"/>
        <v>0</v>
      </c>
      <c r="AA53" s="128">
        <f t="shared" si="45"/>
        <v>0</v>
      </c>
      <c r="AB53" s="129">
        <f t="shared" si="40"/>
        <v>0</v>
      </c>
    </row>
    <row r="54" spans="1:28" hidden="1">
      <c r="A54" s="1164"/>
      <c r="B54" s="664"/>
      <c r="C54" s="665"/>
      <c r="D54" s="665"/>
      <c r="E54" s="669" t="s">
        <v>327</v>
      </c>
      <c r="F54" s="671"/>
      <c r="G54" s="671"/>
      <c r="H54" s="671"/>
      <c r="I54" s="671"/>
      <c r="J54" s="671"/>
      <c r="K54" s="671"/>
      <c r="L54" s="671"/>
      <c r="M54" s="671"/>
      <c r="N54" s="671"/>
      <c r="O54" s="671"/>
      <c r="P54" s="671"/>
      <c r="Q54" s="671"/>
      <c r="R54" s="671"/>
      <c r="S54" s="672"/>
      <c r="T54" s="736"/>
      <c r="U54" s="766"/>
      <c r="V54" s="338">
        <f t="shared" si="41"/>
        <v>0</v>
      </c>
      <c r="W54" s="128">
        <f t="shared" si="39"/>
        <v>0</v>
      </c>
      <c r="X54" s="128">
        <f t="shared" si="42"/>
        <v>0</v>
      </c>
      <c r="Y54" s="128">
        <f t="shared" si="43"/>
        <v>0</v>
      </c>
      <c r="Z54" s="128">
        <f t="shared" si="44"/>
        <v>0</v>
      </c>
      <c r="AA54" s="128">
        <f t="shared" si="45"/>
        <v>0</v>
      </c>
      <c r="AB54" s="129">
        <f t="shared" si="40"/>
        <v>0</v>
      </c>
    </row>
    <row r="55" spans="1:28" hidden="1">
      <c r="A55" s="1164"/>
      <c r="B55" s="664"/>
      <c r="C55" s="665"/>
      <c r="D55" s="665"/>
      <c r="E55" s="669" t="s">
        <v>328</v>
      </c>
      <c r="F55" s="671"/>
      <c r="G55" s="671"/>
      <c r="H55" s="671"/>
      <c r="I55" s="671"/>
      <c r="J55" s="671"/>
      <c r="K55" s="671"/>
      <c r="L55" s="671"/>
      <c r="M55" s="671"/>
      <c r="N55" s="671"/>
      <c r="O55" s="671"/>
      <c r="P55" s="671"/>
      <c r="Q55" s="671"/>
      <c r="R55" s="671"/>
      <c r="S55" s="672"/>
      <c r="T55" s="736"/>
      <c r="U55" s="766"/>
      <c r="V55" s="338">
        <f t="shared" si="41"/>
        <v>0</v>
      </c>
      <c r="W55" s="128">
        <f t="shared" si="39"/>
        <v>0</v>
      </c>
      <c r="X55" s="128">
        <f t="shared" si="42"/>
        <v>0</v>
      </c>
      <c r="Y55" s="128">
        <f t="shared" si="43"/>
        <v>0</v>
      </c>
      <c r="Z55" s="128">
        <f t="shared" si="44"/>
        <v>0</v>
      </c>
      <c r="AA55" s="128">
        <f>ROUND(T55*0.785%,-1)</f>
        <v>0</v>
      </c>
      <c r="AB55" s="129">
        <f t="shared" si="40"/>
        <v>0</v>
      </c>
    </row>
    <row r="56" spans="1:28" hidden="1">
      <c r="A56" s="1164"/>
      <c r="B56" s="664"/>
      <c r="C56" s="665"/>
      <c r="D56" s="665"/>
      <c r="E56" s="669" t="s">
        <v>329</v>
      </c>
      <c r="F56" s="671"/>
      <c r="G56" s="671"/>
      <c r="H56" s="671"/>
      <c r="I56" s="671"/>
      <c r="J56" s="671"/>
      <c r="K56" s="671"/>
      <c r="L56" s="671"/>
      <c r="M56" s="671"/>
      <c r="N56" s="671"/>
      <c r="O56" s="671"/>
      <c r="P56" s="671"/>
      <c r="Q56" s="671"/>
      <c r="R56" s="671"/>
      <c r="S56" s="672"/>
      <c r="T56" s="736"/>
      <c r="U56" s="766"/>
      <c r="V56" s="338">
        <f t="shared" si="41"/>
        <v>0</v>
      </c>
      <c r="W56" s="128">
        <f t="shared" si="39"/>
        <v>0</v>
      </c>
      <c r="X56" s="128">
        <f t="shared" si="42"/>
        <v>0</v>
      </c>
      <c r="Y56" s="128">
        <f t="shared" si="43"/>
        <v>0</v>
      </c>
      <c r="Z56" s="128">
        <f t="shared" si="44"/>
        <v>0</v>
      </c>
      <c r="AA56" s="128">
        <f t="shared" si="45"/>
        <v>0</v>
      </c>
      <c r="AB56" s="129">
        <f t="shared" si="40"/>
        <v>0</v>
      </c>
    </row>
    <row r="57" spans="1:28" hidden="1">
      <c r="A57" s="1164"/>
      <c r="B57" s="664"/>
      <c r="C57" s="665">
        <v>1</v>
      </c>
      <c r="D57" s="665"/>
      <c r="E57" s="669" t="s">
        <v>330</v>
      </c>
      <c r="F57" s="670"/>
      <c r="G57" s="671"/>
      <c r="H57" s="670"/>
      <c r="I57" s="672"/>
      <c r="J57" s="671"/>
      <c r="K57" s="671"/>
      <c r="L57" s="671"/>
      <c r="M57" s="671"/>
      <c r="N57" s="671"/>
      <c r="O57" s="671"/>
      <c r="P57" s="671"/>
      <c r="Q57" s="671"/>
      <c r="R57" s="671"/>
      <c r="S57" s="672"/>
      <c r="T57" s="736"/>
      <c r="U57" s="766"/>
      <c r="V57" s="338">
        <f t="shared" si="41"/>
        <v>0</v>
      </c>
      <c r="W57" s="128">
        <f t="shared" si="39"/>
        <v>0</v>
      </c>
      <c r="X57" s="128">
        <f t="shared" si="42"/>
        <v>0</v>
      </c>
      <c r="Y57" s="128">
        <f t="shared" si="43"/>
        <v>0</v>
      </c>
      <c r="Z57" s="128">
        <f t="shared" si="44"/>
        <v>0</v>
      </c>
      <c r="AA57" s="128">
        <f t="shared" si="45"/>
        <v>0</v>
      </c>
      <c r="AB57" s="129">
        <f t="shared" si="40"/>
        <v>0</v>
      </c>
    </row>
    <row r="58" spans="1:28" hidden="1">
      <c r="A58" s="1164"/>
      <c r="B58" s="664"/>
      <c r="C58" s="665"/>
      <c r="D58" s="665"/>
      <c r="E58" s="669" t="s">
        <v>331</v>
      </c>
      <c r="F58" s="671"/>
      <c r="G58" s="671"/>
      <c r="H58" s="671"/>
      <c r="I58" s="671"/>
      <c r="J58" s="671"/>
      <c r="K58" s="671"/>
      <c r="L58" s="671"/>
      <c r="M58" s="671"/>
      <c r="N58" s="671"/>
      <c r="O58" s="671"/>
      <c r="P58" s="671"/>
      <c r="Q58" s="671"/>
      <c r="R58" s="671"/>
      <c r="S58" s="672"/>
      <c r="T58" s="736"/>
      <c r="U58" s="766"/>
      <c r="V58" s="338">
        <f t="shared" si="41"/>
        <v>0</v>
      </c>
      <c r="W58" s="128">
        <f t="shared" si="39"/>
        <v>0</v>
      </c>
      <c r="X58" s="128">
        <f t="shared" si="42"/>
        <v>0</v>
      </c>
      <c r="Y58" s="128">
        <f t="shared" si="43"/>
        <v>0</v>
      </c>
      <c r="Z58" s="128">
        <f t="shared" si="44"/>
        <v>0</v>
      </c>
      <c r="AA58" s="128">
        <f t="shared" si="45"/>
        <v>0</v>
      </c>
      <c r="AB58" s="129">
        <f t="shared" si="40"/>
        <v>0</v>
      </c>
    </row>
    <row r="59" spans="1:28" hidden="1">
      <c r="A59" s="1164"/>
      <c r="B59" s="664"/>
      <c r="C59" s="665"/>
      <c r="D59" s="665"/>
      <c r="E59" s="669" t="s">
        <v>62</v>
      </c>
      <c r="F59" s="671"/>
      <c r="G59" s="671"/>
      <c r="H59" s="671"/>
      <c r="I59" s="671"/>
      <c r="J59" s="671"/>
      <c r="K59" s="671"/>
      <c r="L59" s="671"/>
      <c r="M59" s="671"/>
      <c r="N59" s="671"/>
      <c r="O59" s="671"/>
      <c r="P59" s="671"/>
      <c r="Q59" s="671"/>
      <c r="R59" s="671"/>
      <c r="S59" s="672"/>
      <c r="T59" s="736"/>
      <c r="U59" s="766"/>
      <c r="V59" s="338">
        <f t="shared" si="41"/>
        <v>0</v>
      </c>
      <c r="W59" s="128">
        <f t="shared" si="39"/>
        <v>0</v>
      </c>
      <c r="X59" s="128">
        <f t="shared" si="42"/>
        <v>0</v>
      </c>
      <c r="Y59" s="128">
        <f t="shared" si="43"/>
        <v>0</v>
      </c>
      <c r="Z59" s="128">
        <f t="shared" si="44"/>
        <v>0</v>
      </c>
      <c r="AA59" s="128">
        <f t="shared" si="45"/>
        <v>0</v>
      </c>
      <c r="AB59" s="129">
        <f t="shared" si="40"/>
        <v>0</v>
      </c>
    </row>
    <row r="60" spans="1:28" hidden="1">
      <c r="A60" s="1164"/>
      <c r="B60" s="664"/>
      <c r="C60" s="665"/>
      <c r="D60" s="665"/>
      <c r="E60" s="669" t="s">
        <v>63</v>
      </c>
      <c r="F60" s="671"/>
      <c r="G60" s="671"/>
      <c r="H60" s="671"/>
      <c r="I60" s="671"/>
      <c r="J60" s="671"/>
      <c r="K60" s="671"/>
      <c r="L60" s="671"/>
      <c r="M60" s="671"/>
      <c r="N60" s="671"/>
      <c r="O60" s="671"/>
      <c r="P60" s="671"/>
      <c r="Q60" s="671"/>
      <c r="R60" s="671"/>
      <c r="S60" s="672"/>
      <c r="T60" s="736"/>
      <c r="U60" s="766"/>
      <c r="V60" s="338">
        <f t="shared" si="41"/>
        <v>0</v>
      </c>
      <c r="W60" s="128">
        <f t="shared" si="39"/>
        <v>0</v>
      </c>
      <c r="X60" s="128">
        <f t="shared" si="42"/>
        <v>0</v>
      </c>
      <c r="Y60" s="128">
        <f t="shared" si="43"/>
        <v>0</v>
      </c>
      <c r="Z60" s="128">
        <f t="shared" si="44"/>
        <v>0</v>
      </c>
      <c r="AA60" s="128">
        <f t="shared" si="45"/>
        <v>0</v>
      </c>
      <c r="AB60" s="129">
        <f t="shared" si="40"/>
        <v>0</v>
      </c>
    </row>
    <row r="61" spans="1:28" hidden="1">
      <c r="A61" s="1164"/>
      <c r="B61" s="664"/>
      <c r="C61" s="665"/>
      <c r="D61" s="665"/>
      <c r="E61" s="669" t="s">
        <v>64</v>
      </c>
      <c r="F61" s="671"/>
      <c r="G61" s="671"/>
      <c r="H61" s="671"/>
      <c r="I61" s="671"/>
      <c r="J61" s="671"/>
      <c r="K61" s="671"/>
      <c r="L61" s="671"/>
      <c r="M61" s="671"/>
      <c r="N61" s="671"/>
      <c r="O61" s="671"/>
      <c r="P61" s="671"/>
      <c r="Q61" s="671"/>
      <c r="R61" s="671"/>
      <c r="S61" s="672"/>
      <c r="T61" s="736"/>
      <c r="U61" s="766"/>
      <c r="V61" s="338">
        <f t="shared" si="41"/>
        <v>0</v>
      </c>
      <c r="W61" s="128">
        <f t="shared" si="39"/>
        <v>0</v>
      </c>
      <c r="X61" s="128">
        <f t="shared" si="42"/>
        <v>0</v>
      </c>
      <c r="Y61" s="128">
        <f t="shared" si="43"/>
        <v>0</v>
      </c>
      <c r="Z61" s="128">
        <f t="shared" si="44"/>
        <v>0</v>
      </c>
      <c r="AA61" s="128">
        <f t="shared" si="45"/>
        <v>0</v>
      </c>
      <c r="AB61" s="129">
        <f t="shared" si="40"/>
        <v>0</v>
      </c>
    </row>
    <row r="62" spans="1:28" hidden="1">
      <c r="A62" s="1165"/>
      <c r="B62" s="675"/>
      <c r="C62" s="676"/>
      <c r="D62" s="676"/>
      <c r="E62" s="707" t="s">
        <v>332</v>
      </c>
      <c r="F62" s="708"/>
      <c r="G62" s="708"/>
      <c r="H62" s="708"/>
      <c r="I62" s="708"/>
      <c r="J62" s="708"/>
      <c r="K62" s="708"/>
      <c r="L62" s="708"/>
      <c r="M62" s="708"/>
      <c r="N62" s="708"/>
      <c r="O62" s="708"/>
      <c r="P62" s="708"/>
      <c r="Q62" s="708"/>
      <c r="R62" s="708"/>
      <c r="S62" s="709"/>
      <c r="T62" s="736"/>
      <c r="U62" s="764"/>
      <c r="V62" s="345">
        <f t="shared" si="41"/>
        <v>0</v>
      </c>
      <c r="W62" s="346">
        <f t="shared" si="39"/>
        <v>0</v>
      </c>
      <c r="X62" s="346">
        <f t="shared" si="42"/>
        <v>0</v>
      </c>
      <c r="Y62" s="346">
        <f t="shared" si="43"/>
        <v>0</v>
      </c>
      <c r="Z62" s="128">
        <f t="shared" si="44"/>
        <v>0</v>
      </c>
      <c r="AA62" s="128">
        <f t="shared" si="45"/>
        <v>0</v>
      </c>
      <c r="AB62" s="347">
        <f t="shared" si="40"/>
        <v>0</v>
      </c>
    </row>
    <row r="63" spans="1:28" ht="18" hidden="1" customHeight="1">
      <c r="A63" s="1166"/>
      <c r="B63" s="675"/>
      <c r="C63" s="676"/>
      <c r="D63" s="676"/>
      <c r="E63" s="677"/>
      <c r="F63" s="678"/>
      <c r="G63" s="678"/>
      <c r="H63" s="678"/>
      <c r="I63" s="678"/>
      <c r="J63" s="678"/>
      <c r="K63" s="678"/>
      <c r="L63" s="678"/>
      <c r="M63" s="678"/>
      <c r="N63" s="678"/>
      <c r="O63" s="678"/>
      <c r="P63" s="678"/>
      <c r="Q63" s="678"/>
      <c r="R63" s="678"/>
      <c r="S63" s="678"/>
      <c r="T63" s="679"/>
      <c r="U63" s="764"/>
      <c r="V63" s="350"/>
      <c r="W63" s="122"/>
      <c r="X63" s="122"/>
      <c r="Y63" s="122"/>
      <c r="Z63" s="122"/>
      <c r="AA63" s="122"/>
      <c r="AB63" s="123"/>
    </row>
    <row r="64" spans="1:28" hidden="1">
      <c r="A64" s="1164"/>
      <c r="B64" s="693"/>
      <c r="C64" s="694"/>
      <c r="D64" s="694"/>
      <c r="E64" s="703"/>
      <c r="F64" s="695"/>
      <c r="G64" s="696"/>
      <c r="H64" s="695"/>
      <c r="I64" s="695"/>
      <c r="J64" s="696"/>
      <c r="K64" s="696"/>
      <c r="L64" s="696"/>
      <c r="M64" s="696"/>
      <c r="N64" s="671"/>
      <c r="O64" s="696"/>
      <c r="P64" s="671"/>
      <c r="Q64" s="696"/>
      <c r="R64" s="696"/>
      <c r="S64" s="697"/>
      <c r="T64" s="736"/>
      <c r="U64" s="765"/>
      <c r="V64" s="338"/>
      <c r="W64" s="128"/>
      <c r="X64" s="128"/>
      <c r="Y64" s="128"/>
      <c r="Z64" s="128"/>
      <c r="AA64" s="128"/>
      <c r="AB64" s="129"/>
    </row>
    <row r="65" spans="1:28" hidden="1">
      <c r="A65" s="1164"/>
      <c r="B65" s="664"/>
      <c r="C65" s="665"/>
      <c r="D65" s="665"/>
      <c r="E65" s="669"/>
      <c r="F65" s="671"/>
      <c r="G65" s="671"/>
      <c r="H65" s="671"/>
      <c r="I65" s="671"/>
      <c r="J65" s="671"/>
      <c r="K65" s="671"/>
      <c r="L65" s="671"/>
      <c r="M65" s="671"/>
      <c r="N65" s="671"/>
      <c r="O65" s="671"/>
      <c r="P65" s="671"/>
      <c r="Q65" s="671"/>
      <c r="R65" s="671"/>
      <c r="S65" s="672"/>
      <c r="T65" s="736"/>
      <c r="U65" s="766"/>
      <c r="V65" s="338"/>
      <c r="W65" s="128"/>
      <c r="X65" s="128"/>
      <c r="Y65" s="128"/>
      <c r="Z65" s="128"/>
      <c r="AA65" s="128"/>
      <c r="AB65" s="129"/>
    </row>
    <row r="66" spans="1:28" hidden="1">
      <c r="A66" s="1164"/>
      <c r="B66" s="664"/>
      <c r="C66" s="665"/>
      <c r="D66" s="665"/>
      <c r="E66" s="669"/>
      <c r="F66" s="671"/>
      <c r="G66" s="671"/>
      <c r="H66" s="671"/>
      <c r="I66" s="671"/>
      <c r="J66" s="671"/>
      <c r="K66" s="671"/>
      <c r="L66" s="671"/>
      <c r="M66" s="671"/>
      <c r="N66" s="671"/>
      <c r="O66" s="671"/>
      <c r="P66" s="671"/>
      <c r="Q66" s="671"/>
      <c r="R66" s="671"/>
      <c r="S66" s="672"/>
      <c r="T66" s="736"/>
      <c r="U66" s="766"/>
      <c r="V66" s="338"/>
      <c r="W66" s="128"/>
      <c r="X66" s="128"/>
      <c r="Y66" s="128"/>
      <c r="Z66" s="128"/>
      <c r="AA66" s="128"/>
      <c r="AB66" s="129"/>
    </row>
    <row r="67" spans="1:28" hidden="1">
      <c r="A67" s="1164"/>
      <c r="B67" s="664"/>
      <c r="C67" s="665"/>
      <c r="D67" s="665"/>
      <c r="E67" s="669">
        <v>0</v>
      </c>
      <c r="F67" s="671"/>
      <c r="G67" s="671"/>
      <c r="H67" s="671"/>
      <c r="I67" s="671"/>
      <c r="J67" s="671"/>
      <c r="K67" s="671"/>
      <c r="L67" s="671"/>
      <c r="M67" s="671"/>
      <c r="N67" s="671"/>
      <c r="O67" s="671"/>
      <c r="P67" s="671"/>
      <c r="Q67" s="671"/>
      <c r="R67" s="671"/>
      <c r="S67" s="672"/>
      <c r="T67" s="736"/>
      <c r="U67" s="766"/>
      <c r="V67" s="338"/>
      <c r="W67" s="128"/>
      <c r="X67" s="128"/>
      <c r="Y67" s="128"/>
      <c r="Z67" s="128"/>
      <c r="AA67" s="128"/>
      <c r="AB67" s="129"/>
    </row>
    <row r="68" spans="1:28" hidden="1">
      <c r="A68" s="1164"/>
      <c r="B68" s="664"/>
      <c r="C68" s="665"/>
      <c r="D68" s="665"/>
      <c r="E68" s="669"/>
      <c r="F68" s="671"/>
      <c r="G68" s="671"/>
      <c r="H68" s="671"/>
      <c r="I68" s="671"/>
      <c r="J68" s="671"/>
      <c r="K68" s="671"/>
      <c r="L68" s="671"/>
      <c r="M68" s="671"/>
      <c r="N68" s="671"/>
      <c r="O68" s="671"/>
      <c r="P68" s="671"/>
      <c r="Q68" s="671"/>
      <c r="R68" s="671"/>
      <c r="S68" s="672"/>
      <c r="T68" s="736"/>
      <c r="U68" s="766"/>
      <c r="V68" s="338"/>
      <c r="W68" s="128"/>
      <c r="X68" s="128"/>
      <c r="Y68" s="128"/>
      <c r="Z68" s="128"/>
      <c r="AA68" s="128"/>
      <c r="AB68" s="129"/>
    </row>
    <row r="69" spans="1:28" hidden="1">
      <c r="A69" s="1164"/>
      <c r="B69" s="664"/>
      <c r="C69" s="665"/>
      <c r="D69" s="665"/>
      <c r="E69" s="669"/>
      <c r="F69" s="671"/>
      <c r="G69" s="671"/>
      <c r="H69" s="671"/>
      <c r="I69" s="671"/>
      <c r="J69" s="671"/>
      <c r="K69" s="671"/>
      <c r="L69" s="671"/>
      <c r="M69" s="671"/>
      <c r="N69" s="671"/>
      <c r="O69" s="671"/>
      <c r="P69" s="671"/>
      <c r="Q69" s="671"/>
      <c r="R69" s="671"/>
      <c r="S69" s="672"/>
      <c r="T69" s="736"/>
      <c r="U69" s="766"/>
      <c r="V69" s="338"/>
      <c r="W69" s="128"/>
      <c r="X69" s="128"/>
      <c r="Y69" s="128"/>
      <c r="Z69" s="128"/>
      <c r="AA69" s="128"/>
      <c r="AB69" s="129"/>
    </row>
    <row r="70" spans="1:28" hidden="1">
      <c r="A70" s="1164"/>
      <c r="B70" s="664"/>
      <c r="C70" s="665"/>
      <c r="D70" s="665"/>
      <c r="E70" s="669"/>
      <c r="F70" s="671"/>
      <c r="G70" s="671"/>
      <c r="H70" s="670"/>
      <c r="I70" s="672"/>
      <c r="J70" s="671"/>
      <c r="K70" s="671"/>
      <c r="L70" s="671"/>
      <c r="M70" s="671"/>
      <c r="N70" s="671"/>
      <c r="O70" s="671"/>
      <c r="P70" s="671"/>
      <c r="Q70" s="671"/>
      <c r="R70" s="671"/>
      <c r="S70" s="672"/>
      <c r="T70" s="736"/>
      <c r="U70" s="766"/>
      <c r="V70" s="338"/>
      <c r="W70" s="128"/>
      <c r="X70" s="128"/>
      <c r="Y70" s="128"/>
      <c r="Z70" s="128"/>
      <c r="AA70" s="128"/>
      <c r="AB70" s="129"/>
    </row>
    <row r="71" spans="1:28" hidden="1">
      <c r="A71" s="1164"/>
      <c r="B71" s="664"/>
      <c r="C71" s="665"/>
      <c r="D71" s="665"/>
      <c r="E71" s="669"/>
      <c r="F71" s="671"/>
      <c r="G71" s="671"/>
      <c r="H71" s="671"/>
      <c r="I71" s="671"/>
      <c r="J71" s="671"/>
      <c r="K71" s="671"/>
      <c r="L71" s="671"/>
      <c r="M71" s="671"/>
      <c r="N71" s="671"/>
      <c r="O71" s="671"/>
      <c r="P71" s="671"/>
      <c r="Q71" s="671"/>
      <c r="R71" s="671"/>
      <c r="S71" s="672"/>
      <c r="T71" s="736"/>
      <c r="U71" s="766"/>
      <c r="V71" s="338"/>
      <c r="W71" s="128"/>
      <c r="X71" s="128"/>
      <c r="Y71" s="128"/>
      <c r="Z71" s="128"/>
      <c r="AA71" s="128"/>
      <c r="AB71" s="129"/>
    </row>
    <row r="72" spans="1:28" hidden="1">
      <c r="A72" s="1164"/>
      <c r="B72" s="664"/>
      <c r="C72" s="665"/>
      <c r="D72" s="665"/>
      <c r="E72" s="669"/>
      <c r="F72" s="671"/>
      <c r="G72" s="671"/>
      <c r="H72" s="671"/>
      <c r="I72" s="671"/>
      <c r="J72" s="671"/>
      <c r="K72" s="671"/>
      <c r="L72" s="671"/>
      <c r="M72" s="671"/>
      <c r="N72" s="671"/>
      <c r="O72" s="671"/>
      <c r="P72" s="671"/>
      <c r="Q72" s="671"/>
      <c r="R72" s="671"/>
      <c r="S72" s="672"/>
      <c r="T72" s="736"/>
      <c r="U72" s="766"/>
      <c r="V72" s="338"/>
      <c r="W72" s="128"/>
      <c r="X72" s="128"/>
      <c r="Y72" s="128"/>
      <c r="Z72" s="128"/>
      <c r="AA72" s="128"/>
      <c r="AB72" s="129"/>
    </row>
    <row r="73" spans="1:28" hidden="1">
      <c r="A73" s="1164"/>
      <c r="B73" s="664"/>
      <c r="C73" s="665"/>
      <c r="D73" s="665"/>
      <c r="E73" s="669"/>
      <c r="F73" s="671"/>
      <c r="G73" s="671"/>
      <c r="H73" s="671"/>
      <c r="I73" s="671"/>
      <c r="J73" s="671"/>
      <c r="K73" s="671"/>
      <c r="L73" s="671"/>
      <c r="M73" s="671"/>
      <c r="N73" s="671"/>
      <c r="O73" s="671"/>
      <c r="P73" s="671"/>
      <c r="Q73" s="671"/>
      <c r="R73" s="671"/>
      <c r="S73" s="672"/>
      <c r="T73" s="736"/>
      <c r="U73" s="766"/>
      <c r="V73" s="338"/>
      <c r="W73" s="128"/>
      <c r="X73" s="128"/>
      <c r="Y73" s="128"/>
      <c r="Z73" s="128"/>
      <c r="AA73" s="128"/>
      <c r="AB73" s="129"/>
    </row>
    <row r="74" spans="1:28" hidden="1">
      <c r="A74" s="1164"/>
      <c r="B74" s="664"/>
      <c r="C74" s="665"/>
      <c r="D74" s="665"/>
      <c r="E74" s="669"/>
      <c r="F74" s="671"/>
      <c r="G74" s="671"/>
      <c r="H74" s="671"/>
      <c r="I74" s="671"/>
      <c r="J74" s="671"/>
      <c r="K74" s="671"/>
      <c r="L74" s="671"/>
      <c r="M74" s="671"/>
      <c r="N74" s="671"/>
      <c r="O74" s="671"/>
      <c r="P74" s="671"/>
      <c r="Q74" s="671"/>
      <c r="R74" s="671"/>
      <c r="S74" s="672"/>
      <c r="T74" s="736"/>
      <c r="U74" s="766"/>
      <c r="V74" s="338"/>
      <c r="W74" s="128"/>
      <c r="X74" s="128"/>
      <c r="Y74" s="128"/>
      <c r="Z74" s="128"/>
      <c r="AA74" s="128"/>
      <c r="AB74" s="129"/>
    </row>
    <row r="75" spans="1:28" hidden="1">
      <c r="A75" s="1165"/>
      <c r="B75" s="675"/>
      <c r="C75" s="676"/>
      <c r="D75" s="676"/>
      <c r="E75" s="707"/>
      <c r="F75" s="671"/>
      <c r="G75" s="708"/>
      <c r="H75" s="708"/>
      <c r="I75" s="708"/>
      <c r="J75" s="708"/>
      <c r="K75" s="671"/>
      <c r="L75" s="708"/>
      <c r="M75" s="708"/>
      <c r="N75" s="671"/>
      <c r="O75" s="671"/>
      <c r="P75" s="671"/>
      <c r="Q75" s="708"/>
      <c r="R75" s="708"/>
      <c r="S75" s="709"/>
      <c r="T75" s="736"/>
      <c r="U75" s="764"/>
      <c r="V75" s="345"/>
      <c r="W75" s="346"/>
      <c r="X75" s="346"/>
      <c r="Y75" s="346"/>
      <c r="Z75" s="128"/>
      <c r="AA75" s="128"/>
      <c r="AB75" s="347"/>
    </row>
    <row r="76" spans="1:28" ht="18" hidden="1" customHeight="1">
      <c r="A76" s="1166"/>
      <c r="B76" s="675"/>
      <c r="C76" s="676"/>
      <c r="D76" s="676"/>
      <c r="E76" s="677"/>
      <c r="F76" s="678"/>
      <c r="G76" s="678"/>
      <c r="H76" s="678"/>
      <c r="I76" s="678"/>
      <c r="J76" s="678"/>
      <c r="K76" s="678"/>
      <c r="L76" s="678"/>
      <c r="M76" s="678"/>
      <c r="N76" s="678"/>
      <c r="O76" s="678"/>
      <c r="P76" s="678"/>
      <c r="Q76" s="678"/>
      <c r="R76" s="678"/>
      <c r="S76" s="678"/>
      <c r="T76" s="679"/>
      <c r="U76" s="764"/>
      <c r="V76" s="350"/>
      <c r="W76" s="122"/>
      <c r="X76" s="122"/>
      <c r="Y76" s="122"/>
      <c r="Z76" s="122"/>
      <c r="AA76" s="122"/>
      <c r="AB76" s="123"/>
    </row>
    <row r="77" spans="1:28" hidden="1">
      <c r="A77" s="1164"/>
      <c r="B77" s="693"/>
      <c r="C77" s="694"/>
      <c r="D77" s="694"/>
      <c r="E77" s="703"/>
      <c r="F77" s="695"/>
      <c r="G77" s="696"/>
      <c r="H77" s="695"/>
      <c r="I77" s="695"/>
      <c r="J77" s="696"/>
      <c r="K77" s="696"/>
      <c r="L77" s="696"/>
      <c r="M77" s="696"/>
      <c r="N77" s="696"/>
      <c r="O77" s="696"/>
      <c r="P77" s="696"/>
      <c r="Q77" s="696"/>
      <c r="R77" s="696"/>
      <c r="S77" s="697"/>
      <c r="T77" s="736"/>
      <c r="U77" s="765"/>
      <c r="V77" s="338"/>
      <c r="W77" s="128"/>
      <c r="X77" s="128"/>
      <c r="Y77" s="128"/>
      <c r="Z77" s="128"/>
      <c r="AA77" s="128"/>
      <c r="AB77" s="129"/>
    </row>
    <row r="78" spans="1:28" hidden="1">
      <c r="A78" s="1164"/>
      <c r="B78" s="664"/>
      <c r="C78" s="665"/>
      <c r="D78" s="665"/>
      <c r="E78" s="669"/>
      <c r="F78" s="671"/>
      <c r="G78" s="671"/>
      <c r="H78" s="671"/>
      <c r="I78" s="671"/>
      <c r="J78" s="671"/>
      <c r="K78" s="671"/>
      <c r="L78" s="671"/>
      <c r="M78" s="671"/>
      <c r="N78" s="671"/>
      <c r="O78" s="671"/>
      <c r="P78" s="671"/>
      <c r="Q78" s="671"/>
      <c r="R78" s="671"/>
      <c r="S78" s="672"/>
      <c r="T78" s="736"/>
      <c r="U78" s="766"/>
      <c r="V78" s="338"/>
      <c r="W78" s="128"/>
      <c r="X78" s="128"/>
      <c r="Y78" s="128"/>
      <c r="Z78" s="128"/>
      <c r="AA78" s="128"/>
      <c r="AB78" s="129"/>
    </row>
    <row r="79" spans="1:28" hidden="1">
      <c r="A79" s="1164"/>
      <c r="B79" s="664"/>
      <c r="C79" s="665"/>
      <c r="D79" s="665"/>
      <c r="E79" s="669"/>
      <c r="F79" s="671"/>
      <c r="G79" s="671"/>
      <c r="H79" s="671"/>
      <c r="I79" s="671"/>
      <c r="J79" s="671"/>
      <c r="K79" s="671"/>
      <c r="L79" s="671"/>
      <c r="M79" s="671"/>
      <c r="N79" s="671"/>
      <c r="O79" s="671"/>
      <c r="P79" s="671"/>
      <c r="Q79" s="671"/>
      <c r="R79" s="671"/>
      <c r="S79" s="672"/>
      <c r="T79" s="736"/>
      <c r="U79" s="766"/>
      <c r="V79" s="338"/>
      <c r="W79" s="128"/>
      <c r="X79" s="128"/>
      <c r="Y79" s="128"/>
      <c r="Z79" s="128"/>
      <c r="AA79" s="128"/>
      <c r="AB79" s="129"/>
    </row>
    <row r="80" spans="1:28" hidden="1">
      <c r="A80" s="1164"/>
      <c r="B80" s="664"/>
      <c r="C80" s="665"/>
      <c r="D80" s="665"/>
      <c r="E80" s="669"/>
      <c r="F80" s="671"/>
      <c r="G80" s="671"/>
      <c r="H80" s="671"/>
      <c r="I80" s="671"/>
      <c r="J80" s="671"/>
      <c r="K80" s="671"/>
      <c r="L80" s="671"/>
      <c r="M80" s="671"/>
      <c r="N80" s="671"/>
      <c r="O80" s="671"/>
      <c r="P80" s="671"/>
      <c r="Q80" s="671"/>
      <c r="R80" s="671"/>
      <c r="S80" s="672"/>
      <c r="T80" s="736"/>
      <c r="U80" s="766"/>
      <c r="V80" s="338"/>
      <c r="W80" s="128"/>
      <c r="X80" s="128"/>
      <c r="Y80" s="128"/>
      <c r="Z80" s="128"/>
      <c r="AA80" s="128"/>
      <c r="AB80" s="129"/>
    </row>
    <row r="81" spans="1:28" hidden="1">
      <c r="A81" s="1164"/>
      <c r="B81" s="664"/>
      <c r="C81" s="665"/>
      <c r="D81" s="665"/>
      <c r="E81" s="669"/>
      <c r="F81" s="671"/>
      <c r="G81" s="671"/>
      <c r="H81" s="671"/>
      <c r="I81" s="671"/>
      <c r="J81" s="671"/>
      <c r="K81" s="671"/>
      <c r="L81" s="671"/>
      <c r="M81" s="671"/>
      <c r="N81" s="671"/>
      <c r="O81" s="671"/>
      <c r="P81" s="671"/>
      <c r="Q81" s="671"/>
      <c r="R81" s="671"/>
      <c r="S81" s="672"/>
      <c r="T81" s="736"/>
      <c r="U81" s="766"/>
      <c r="V81" s="338"/>
      <c r="W81" s="128"/>
      <c r="X81" s="128"/>
      <c r="Y81" s="128"/>
      <c r="Z81" s="128"/>
      <c r="AA81" s="128"/>
      <c r="AB81" s="129"/>
    </row>
    <row r="82" spans="1:28" hidden="1">
      <c r="A82" s="1164"/>
      <c r="B82" s="664"/>
      <c r="C82" s="665"/>
      <c r="D82" s="665"/>
      <c r="E82" s="669"/>
      <c r="F82" s="671"/>
      <c r="G82" s="671"/>
      <c r="H82" s="671"/>
      <c r="I82" s="671"/>
      <c r="J82" s="671"/>
      <c r="K82" s="671"/>
      <c r="L82" s="671"/>
      <c r="M82" s="671"/>
      <c r="N82" s="671"/>
      <c r="O82" s="671"/>
      <c r="P82" s="671"/>
      <c r="Q82" s="671"/>
      <c r="R82" s="671"/>
      <c r="S82" s="672"/>
      <c r="T82" s="736"/>
      <c r="U82" s="766"/>
      <c r="V82" s="338"/>
      <c r="W82" s="128"/>
      <c r="X82" s="128"/>
      <c r="Y82" s="128"/>
      <c r="Z82" s="128"/>
      <c r="AA82" s="128"/>
      <c r="AB82" s="129"/>
    </row>
    <row r="83" spans="1:28" hidden="1">
      <c r="A83" s="1164"/>
      <c r="B83" s="664"/>
      <c r="C83" s="665"/>
      <c r="D83" s="665"/>
      <c r="E83" s="669"/>
      <c r="F83" s="671"/>
      <c r="G83" s="671"/>
      <c r="H83" s="670"/>
      <c r="I83" s="672"/>
      <c r="J83" s="671"/>
      <c r="K83" s="671"/>
      <c r="L83" s="671"/>
      <c r="M83" s="671"/>
      <c r="N83" s="671"/>
      <c r="O83" s="671"/>
      <c r="P83" s="671"/>
      <c r="Q83" s="671"/>
      <c r="R83" s="671"/>
      <c r="S83" s="672"/>
      <c r="T83" s="736"/>
      <c r="U83" s="766"/>
      <c r="V83" s="338"/>
      <c r="W83" s="128"/>
      <c r="X83" s="128"/>
      <c r="Y83" s="128"/>
      <c r="Z83" s="128"/>
      <c r="AA83" s="128"/>
      <c r="AB83" s="129"/>
    </row>
    <row r="84" spans="1:28" hidden="1">
      <c r="A84" s="1164"/>
      <c r="B84" s="664"/>
      <c r="C84" s="665"/>
      <c r="D84" s="665"/>
      <c r="E84" s="669"/>
      <c r="F84" s="671"/>
      <c r="G84" s="671"/>
      <c r="H84" s="671"/>
      <c r="I84" s="671"/>
      <c r="J84" s="671"/>
      <c r="K84" s="671"/>
      <c r="L84" s="671"/>
      <c r="M84" s="671"/>
      <c r="N84" s="671"/>
      <c r="O84" s="671"/>
      <c r="P84" s="671"/>
      <c r="Q84" s="671"/>
      <c r="R84" s="671"/>
      <c r="S84" s="672"/>
      <c r="T84" s="736"/>
      <c r="U84" s="766"/>
      <c r="V84" s="338"/>
      <c r="W84" s="128"/>
      <c r="X84" s="128"/>
      <c r="Y84" s="128"/>
      <c r="Z84" s="128"/>
      <c r="AA84" s="128"/>
      <c r="AB84" s="129"/>
    </row>
    <row r="85" spans="1:28" hidden="1">
      <c r="A85" s="1164"/>
      <c r="B85" s="664"/>
      <c r="C85" s="665"/>
      <c r="D85" s="665"/>
      <c r="E85" s="669"/>
      <c r="F85" s="671"/>
      <c r="G85" s="671"/>
      <c r="H85" s="671"/>
      <c r="I85" s="671"/>
      <c r="J85" s="671"/>
      <c r="K85" s="671"/>
      <c r="L85" s="671"/>
      <c r="M85" s="671"/>
      <c r="N85" s="671"/>
      <c r="O85" s="671"/>
      <c r="P85" s="671"/>
      <c r="Q85" s="671"/>
      <c r="R85" s="671"/>
      <c r="S85" s="672"/>
      <c r="T85" s="736"/>
      <c r="U85" s="766"/>
      <c r="V85" s="338"/>
      <c r="W85" s="128"/>
      <c r="X85" s="128"/>
      <c r="Y85" s="128"/>
      <c r="Z85" s="128"/>
      <c r="AA85" s="128"/>
      <c r="AB85" s="129"/>
    </row>
    <row r="86" spans="1:28" hidden="1">
      <c r="A86" s="1164"/>
      <c r="B86" s="664"/>
      <c r="C86" s="665"/>
      <c r="D86" s="665"/>
      <c r="E86" s="669"/>
      <c r="F86" s="671"/>
      <c r="G86" s="671"/>
      <c r="H86" s="671"/>
      <c r="I86" s="671"/>
      <c r="J86" s="671"/>
      <c r="K86" s="671"/>
      <c r="L86" s="671"/>
      <c r="M86" s="671"/>
      <c r="N86" s="671"/>
      <c r="O86" s="671"/>
      <c r="P86" s="671"/>
      <c r="Q86" s="671"/>
      <c r="R86" s="671"/>
      <c r="S86" s="672"/>
      <c r="T86" s="736"/>
      <c r="U86" s="766"/>
      <c r="V86" s="338"/>
      <c r="W86" s="128"/>
      <c r="X86" s="128"/>
      <c r="Y86" s="128"/>
      <c r="Z86" s="128"/>
      <c r="AA86" s="128"/>
      <c r="AB86" s="129"/>
    </row>
    <row r="87" spans="1:28" hidden="1">
      <c r="A87" s="1164"/>
      <c r="B87" s="664"/>
      <c r="C87" s="665"/>
      <c r="D87" s="665"/>
      <c r="E87" s="669"/>
      <c r="F87" s="671"/>
      <c r="G87" s="671"/>
      <c r="H87" s="671"/>
      <c r="I87" s="671"/>
      <c r="J87" s="671"/>
      <c r="K87" s="671"/>
      <c r="L87" s="671"/>
      <c r="M87" s="671"/>
      <c r="N87" s="671"/>
      <c r="O87" s="671"/>
      <c r="P87" s="671"/>
      <c r="Q87" s="671"/>
      <c r="R87" s="671"/>
      <c r="S87" s="672"/>
      <c r="T87" s="736"/>
      <c r="U87" s="766"/>
      <c r="V87" s="338"/>
      <c r="W87" s="128"/>
      <c r="X87" s="128"/>
      <c r="Y87" s="128"/>
      <c r="Z87" s="128"/>
      <c r="AA87" s="128"/>
      <c r="AB87" s="129"/>
    </row>
    <row r="88" spans="1:28" hidden="1">
      <c r="A88" s="1165"/>
      <c r="B88" s="675"/>
      <c r="C88" s="676"/>
      <c r="D88" s="676"/>
      <c r="E88" s="707"/>
      <c r="F88" s="671"/>
      <c r="G88" s="708"/>
      <c r="H88" s="708"/>
      <c r="I88" s="708"/>
      <c r="J88" s="708"/>
      <c r="K88" s="708"/>
      <c r="L88" s="708"/>
      <c r="M88" s="708"/>
      <c r="N88" s="708"/>
      <c r="O88" s="708"/>
      <c r="P88" s="708"/>
      <c r="Q88" s="708"/>
      <c r="R88" s="708"/>
      <c r="S88" s="709"/>
      <c r="T88" s="736"/>
      <c r="U88" s="764"/>
      <c r="V88" s="345"/>
      <c r="W88" s="346"/>
      <c r="X88" s="346"/>
      <c r="Y88" s="346"/>
      <c r="Z88" s="128"/>
      <c r="AA88" s="128"/>
      <c r="AB88" s="347"/>
    </row>
    <row r="89" spans="1:28" ht="18" hidden="1" customHeight="1">
      <c r="A89" s="1167">
        <v>1</v>
      </c>
      <c r="B89" s="737" t="s">
        <v>95</v>
      </c>
      <c r="C89" s="676">
        <v>1</v>
      </c>
      <c r="D89" s="676">
        <v>1</v>
      </c>
      <c r="E89" s="677" t="s">
        <v>94</v>
      </c>
      <c r="F89" s="678">
        <f t="shared" ref="F89:O89" si="46">SUM(F90:F101)</f>
        <v>0</v>
      </c>
      <c r="G89" s="678">
        <f t="shared" si="46"/>
        <v>0</v>
      </c>
      <c r="H89" s="678">
        <f t="shared" si="46"/>
        <v>0</v>
      </c>
      <c r="I89" s="678">
        <f t="shared" si="46"/>
        <v>0</v>
      </c>
      <c r="J89" s="678">
        <f t="shared" si="46"/>
        <v>0</v>
      </c>
      <c r="K89" s="678">
        <f t="shared" si="46"/>
        <v>0</v>
      </c>
      <c r="L89" s="678">
        <f t="shared" si="46"/>
        <v>0</v>
      </c>
      <c r="M89" s="678">
        <f t="shared" si="46"/>
        <v>0</v>
      </c>
      <c r="N89" s="678">
        <f t="shared" si="46"/>
        <v>0</v>
      </c>
      <c r="O89" s="678">
        <f t="shared" si="46"/>
        <v>0</v>
      </c>
      <c r="P89" s="678"/>
      <c r="Q89" s="678">
        <f>SUM(Q90:Q101)</f>
        <v>0</v>
      </c>
      <c r="R89" s="678">
        <f>SUM(R90:R101)</f>
        <v>0</v>
      </c>
      <c r="S89" s="678">
        <f>SUM(S90:S101)</f>
        <v>0</v>
      </c>
      <c r="T89" s="679">
        <f>SUM(T90:T101)</f>
        <v>0</v>
      </c>
      <c r="U89" s="764"/>
      <c r="V89" s="350">
        <f>SUM(V90:V101)</f>
        <v>0</v>
      </c>
      <c r="W89" s="122">
        <f t="shared" ref="W89:AB89" si="47">SUM(W90:W101)</f>
        <v>0</v>
      </c>
      <c r="X89" s="122">
        <f t="shared" si="47"/>
        <v>0</v>
      </c>
      <c r="Y89" s="122">
        <f t="shared" si="47"/>
        <v>0</v>
      </c>
      <c r="Z89" s="122">
        <f t="shared" si="47"/>
        <v>0</v>
      </c>
      <c r="AA89" s="122">
        <f t="shared" si="47"/>
        <v>0</v>
      </c>
      <c r="AB89" s="123">
        <f t="shared" si="47"/>
        <v>0</v>
      </c>
    </row>
    <row r="90" spans="1:28" hidden="1">
      <c r="A90" s="1167"/>
      <c r="B90" s="738" t="s">
        <v>467</v>
      </c>
      <c r="C90" s="694"/>
      <c r="D90" s="694"/>
      <c r="E90" s="703" t="s">
        <v>324</v>
      </c>
      <c r="F90" s="695"/>
      <c r="G90" s="696"/>
      <c r="H90" s="695"/>
      <c r="I90" s="695"/>
      <c r="J90" s="696"/>
      <c r="K90" s="696"/>
      <c r="L90" s="696"/>
      <c r="M90" s="671"/>
      <c r="N90" s="696"/>
      <c r="O90" s="696"/>
      <c r="P90" s="696"/>
      <c r="Q90" s="696"/>
      <c r="R90" s="696"/>
      <c r="S90" s="697"/>
      <c r="T90" s="736"/>
      <c r="U90" s="765"/>
      <c r="V90" s="338"/>
      <c r="W90" s="128"/>
      <c r="X90" s="128"/>
      <c r="Y90" s="128"/>
      <c r="Z90" s="128"/>
      <c r="AA90" s="128"/>
      <c r="AB90" s="129"/>
    </row>
    <row r="91" spans="1:28" hidden="1">
      <c r="A91" s="1167"/>
      <c r="B91" s="739"/>
      <c r="C91" s="665"/>
      <c r="D91" s="665"/>
      <c r="E91" s="669" t="s">
        <v>325</v>
      </c>
      <c r="F91" s="671"/>
      <c r="G91" s="671"/>
      <c r="H91" s="671"/>
      <c r="I91" s="671"/>
      <c r="J91" s="671"/>
      <c r="K91" s="671"/>
      <c r="L91" s="671"/>
      <c r="M91" s="671"/>
      <c r="N91" s="671"/>
      <c r="O91" s="671"/>
      <c r="P91" s="671"/>
      <c r="Q91" s="671"/>
      <c r="R91" s="671"/>
      <c r="S91" s="672"/>
      <c r="T91" s="736"/>
      <c r="U91" s="766"/>
      <c r="V91" s="338"/>
      <c r="W91" s="128"/>
      <c r="X91" s="128"/>
      <c r="Y91" s="128"/>
      <c r="Z91" s="128"/>
      <c r="AA91" s="128"/>
      <c r="AB91" s="129"/>
    </row>
    <row r="92" spans="1:28" hidden="1">
      <c r="A92" s="1167"/>
      <c r="B92" s="739"/>
      <c r="C92" s="665"/>
      <c r="D92" s="665"/>
      <c r="E92" s="669" t="s">
        <v>326</v>
      </c>
      <c r="F92" s="671"/>
      <c r="G92" s="671"/>
      <c r="H92" s="671"/>
      <c r="I92" s="671"/>
      <c r="J92" s="671"/>
      <c r="K92" s="671"/>
      <c r="L92" s="671"/>
      <c r="M92" s="671"/>
      <c r="N92" s="671"/>
      <c r="O92" s="671"/>
      <c r="P92" s="671"/>
      <c r="Q92" s="671"/>
      <c r="R92" s="671"/>
      <c r="S92" s="672"/>
      <c r="T92" s="736">
        <f t="shared" ref="T92:T101" si="48">SUM(S92,P92,O92,M92,L92,F92)</f>
        <v>0</v>
      </c>
      <c r="U92" s="766"/>
      <c r="V92" s="338"/>
      <c r="W92" s="128"/>
      <c r="X92" s="128"/>
      <c r="Y92" s="128"/>
      <c r="Z92" s="128"/>
      <c r="AA92" s="128"/>
      <c r="AB92" s="129"/>
    </row>
    <row r="93" spans="1:28" hidden="1">
      <c r="A93" s="1167"/>
      <c r="B93" s="739"/>
      <c r="C93" s="665"/>
      <c r="D93" s="665"/>
      <c r="E93" s="669" t="s">
        <v>327</v>
      </c>
      <c r="F93" s="671"/>
      <c r="G93" s="671"/>
      <c r="H93" s="671"/>
      <c r="I93" s="671"/>
      <c r="J93" s="671"/>
      <c r="K93" s="671"/>
      <c r="L93" s="671"/>
      <c r="M93" s="671"/>
      <c r="N93" s="671"/>
      <c r="O93" s="671"/>
      <c r="P93" s="671"/>
      <c r="Q93" s="671"/>
      <c r="R93" s="671"/>
      <c r="S93" s="672"/>
      <c r="T93" s="736">
        <f t="shared" si="48"/>
        <v>0</v>
      </c>
      <c r="U93" s="766"/>
      <c r="V93" s="338"/>
      <c r="W93" s="128"/>
      <c r="X93" s="128"/>
      <c r="Y93" s="128"/>
      <c r="Z93" s="128"/>
      <c r="AA93" s="128"/>
      <c r="AB93" s="129"/>
    </row>
    <row r="94" spans="1:28" hidden="1">
      <c r="A94" s="1167"/>
      <c r="B94" s="739"/>
      <c r="C94" s="665"/>
      <c r="D94" s="665"/>
      <c r="E94" s="669" t="s">
        <v>328</v>
      </c>
      <c r="F94" s="671"/>
      <c r="G94" s="671"/>
      <c r="H94" s="671"/>
      <c r="I94" s="671"/>
      <c r="J94" s="671"/>
      <c r="K94" s="671"/>
      <c r="L94" s="671"/>
      <c r="M94" s="671"/>
      <c r="N94" s="671"/>
      <c r="O94" s="671"/>
      <c r="P94" s="671"/>
      <c r="Q94" s="671"/>
      <c r="R94" s="671"/>
      <c r="S94" s="672"/>
      <c r="T94" s="736">
        <f t="shared" si="48"/>
        <v>0</v>
      </c>
      <c r="U94" s="766"/>
      <c r="V94" s="338">
        <f t="shared" ref="V94:V101" si="49">ROUNDUP(T94*1/12,-1)</f>
        <v>0</v>
      </c>
      <c r="W94" s="128">
        <f t="shared" ref="W94:W101" si="50">ROUND(T94*4.5%,-1)</f>
        <v>0</v>
      </c>
      <c r="X94" s="128">
        <f t="shared" ref="X94:X101" si="51">ROUNDUP((T94-L94)*2.82%,-1)</f>
        <v>0</v>
      </c>
      <c r="Y94" s="128">
        <f t="shared" ref="Y94:Y101" si="52">ROUNDUP(X94*6.55%,-1)</f>
        <v>0</v>
      </c>
      <c r="Z94" s="128">
        <f t="shared" ref="Z94:Z101" si="53">ROUND(T94*0.8%,-1)</f>
        <v>0</v>
      </c>
      <c r="AA94" s="128">
        <f t="shared" ref="AA94:AA101" si="54">ROUND(T94*0.785%,-1)</f>
        <v>0</v>
      </c>
      <c r="AB94" s="129">
        <f t="shared" ref="AB94:AB101" si="55">SUM(V94:AA94)</f>
        <v>0</v>
      </c>
    </row>
    <row r="95" spans="1:28" hidden="1">
      <c r="A95" s="1167"/>
      <c r="B95" s="739"/>
      <c r="C95" s="665"/>
      <c r="D95" s="665"/>
      <c r="E95" s="669" t="s">
        <v>329</v>
      </c>
      <c r="F95" s="671"/>
      <c r="G95" s="671"/>
      <c r="H95" s="671"/>
      <c r="I95" s="671"/>
      <c r="J95" s="671"/>
      <c r="K95" s="671"/>
      <c r="L95" s="671"/>
      <c r="M95" s="671"/>
      <c r="N95" s="671"/>
      <c r="O95" s="671"/>
      <c r="P95" s="671"/>
      <c r="Q95" s="671"/>
      <c r="R95" s="671"/>
      <c r="S95" s="672"/>
      <c r="T95" s="736">
        <f t="shared" si="48"/>
        <v>0</v>
      </c>
      <c r="U95" s="766"/>
      <c r="V95" s="338">
        <f t="shared" si="49"/>
        <v>0</v>
      </c>
      <c r="W95" s="128">
        <f t="shared" si="50"/>
        <v>0</v>
      </c>
      <c r="X95" s="128">
        <f t="shared" si="51"/>
        <v>0</v>
      </c>
      <c r="Y95" s="128">
        <f t="shared" si="52"/>
        <v>0</v>
      </c>
      <c r="Z95" s="128">
        <f t="shared" si="53"/>
        <v>0</v>
      </c>
      <c r="AA95" s="128">
        <f t="shared" si="54"/>
        <v>0</v>
      </c>
      <c r="AB95" s="129">
        <f t="shared" si="55"/>
        <v>0</v>
      </c>
    </row>
    <row r="96" spans="1:28" hidden="1">
      <c r="A96" s="1167"/>
      <c r="B96" s="739"/>
      <c r="C96" s="665"/>
      <c r="D96" s="665"/>
      <c r="E96" s="669" t="s">
        <v>330</v>
      </c>
      <c r="F96" s="671"/>
      <c r="G96" s="671"/>
      <c r="H96" s="670"/>
      <c r="I96" s="672"/>
      <c r="J96" s="671"/>
      <c r="K96" s="671"/>
      <c r="L96" s="671"/>
      <c r="M96" s="671"/>
      <c r="N96" s="671"/>
      <c r="O96" s="671"/>
      <c r="P96" s="671"/>
      <c r="Q96" s="671"/>
      <c r="R96" s="671"/>
      <c r="S96" s="672"/>
      <c r="T96" s="736">
        <f t="shared" si="48"/>
        <v>0</v>
      </c>
      <c r="U96" s="766"/>
      <c r="V96" s="338">
        <f t="shared" si="49"/>
        <v>0</v>
      </c>
      <c r="W96" s="128">
        <f t="shared" si="50"/>
        <v>0</v>
      </c>
      <c r="X96" s="128">
        <f t="shared" si="51"/>
        <v>0</v>
      </c>
      <c r="Y96" s="128">
        <f t="shared" si="52"/>
        <v>0</v>
      </c>
      <c r="Z96" s="128">
        <f t="shared" si="53"/>
        <v>0</v>
      </c>
      <c r="AA96" s="128">
        <f t="shared" si="54"/>
        <v>0</v>
      </c>
      <c r="AB96" s="129">
        <f t="shared" si="55"/>
        <v>0</v>
      </c>
    </row>
    <row r="97" spans="1:28" hidden="1">
      <c r="A97" s="1167"/>
      <c r="B97" s="739"/>
      <c r="C97" s="665"/>
      <c r="D97" s="665"/>
      <c r="E97" s="669" t="s">
        <v>331</v>
      </c>
      <c r="F97" s="671"/>
      <c r="G97" s="671"/>
      <c r="H97" s="671"/>
      <c r="I97" s="671"/>
      <c r="J97" s="671"/>
      <c r="K97" s="671"/>
      <c r="L97" s="671"/>
      <c r="M97" s="671"/>
      <c r="N97" s="671"/>
      <c r="O97" s="671"/>
      <c r="P97" s="671"/>
      <c r="Q97" s="671"/>
      <c r="R97" s="671"/>
      <c r="S97" s="672"/>
      <c r="T97" s="736">
        <f t="shared" si="48"/>
        <v>0</v>
      </c>
      <c r="U97" s="766"/>
      <c r="V97" s="338">
        <f t="shared" si="49"/>
        <v>0</v>
      </c>
      <c r="W97" s="128">
        <f t="shared" si="50"/>
        <v>0</v>
      </c>
      <c r="X97" s="128">
        <f t="shared" si="51"/>
        <v>0</v>
      </c>
      <c r="Y97" s="128">
        <f t="shared" si="52"/>
        <v>0</v>
      </c>
      <c r="Z97" s="128">
        <f t="shared" si="53"/>
        <v>0</v>
      </c>
      <c r="AA97" s="128">
        <f t="shared" si="54"/>
        <v>0</v>
      </c>
      <c r="AB97" s="129">
        <f t="shared" si="55"/>
        <v>0</v>
      </c>
    </row>
    <row r="98" spans="1:28" hidden="1">
      <c r="A98" s="1167"/>
      <c r="B98" s="739"/>
      <c r="C98" s="665"/>
      <c r="D98" s="665"/>
      <c r="E98" s="669" t="s">
        <v>62</v>
      </c>
      <c r="F98" s="671"/>
      <c r="G98" s="671"/>
      <c r="H98" s="671"/>
      <c r="I98" s="671"/>
      <c r="J98" s="671"/>
      <c r="K98" s="671"/>
      <c r="L98" s="671"/>
      <c r="M98" s="671"/>
      <c r="N98" s="671"/>
      <c r="O98" s="671"/>
      <c r="P98" s="671"/>
      <c r="Q98" s="671"/>
      <c r="R98" s="671"/>
      <c r="S98" s="672"/>
      <c r="T98" s="736">
        <f t="shared" si="48"/>
        <v>0</v>
      </c>
      <c r="U98" s="766"/>
      <c r="V98" s="338">
        <f t="shared" si="49"/>
        <v>0</v>
      </c>
      <c r="W98" s="128">
        <f t="shared" si="50"/>
        <v>0</v>
      </c>
      <c r="X98" s="128">
        <f t="shared" si="51"/>
        <v>0</v>
      </c>
      <c r="Y98" s="128">
        <f t="shared" si="52"/>
        <v>0</v>
      </c>
      <c r="Z98" s="128">
        <f t="shared" si="53"/>
        <v>0</v>
      </c>
      <c r="AA98" s="128">
        <f t="shared" si="54"/>
        <v>0</v>
      </c>
      <c r="AB98" s="129">
        <f t="shared" si="55"/>
        <v>0</v>
      </c>
    </row>
    <row r="99" spans="1:28" hidden="1">
      <c r="A99" s="1167"/>
      <c r="B99" s="739"/>
      <c r="C99" s="665"/>
      <c r="D99" s="665"/>
      <c r="E99" s="669" t="s">
        <v>63</v>
      </c>
      <c r="F99" s="671"/>
      <c r="G99" s="671"/>
      <c r="H99" s="671"/>
      <c r="I99" s="671"/>
      <c r="J99" s="671"/>
      <c r="K99" s="671"/>
      <c r="L99" s="671"/>
      <c r="M99" s="671"/>
      <c r="N99" s="671"/>
      <c r="O99" s="671"/>
      <c r="P99" s="671"/>
      <c r="Q99" s="671"/>
      <c r="R99" s="671"/>
      <c r="S99" s="672"/>
      <c r="T99" s="736">
        <f t="shared" si="48"/>
        <v>0</v>
      </c>
      <c r="U99" s="766"/>
      <c r="V99" s="338">
        <f t="shared" si="49"/>
        <v>0</v>
      </c>
      <c r="W99" s="128">
        <f t="shared" si="50"/>
        <v>0</v>
      </c>
      <c r="X99" s="128">
        <f t="shared" si="51"/>
        <v>0</v>
      </c>
      <c r="Y99" s="128">
        <f t="shared" si="52"/>
        <v>0</v>
      </c>
      <c r="Z99" s="128">
        <f t="shared" si="53"/>
        <v>0</v>
      </c>
      <c r="AA99" s="128">
        <f t="shared" si="54"/>
        <v>0</v>
      </c>
      <c r="AB99" s="129">
        <f t="shared" si="55"/>
        <v>0</v>
      </c>
    </row>
    <row r="100" spans="1:28" hidden="1">
      <c r="A100" s="1167"/>
      <c r="B100" s="739"/>
      <c r="C100" s="665"/>
      <c r="D100" s="665"/>
      <c r="E100" s="669" t="s">
        <v>64</v>
      </c>
      <c r="F100" s="671"/>
      <c r="G100" s="671"/>
      <c r="H100" s="671"/>
      <c r="I100" s="671"/>
      <c r="J100" s="671"/>
      <c r="K100" s="671"/>
      <c r="L100" s="671"/>
      <c r="M100" s="671"/>
      <c r="N100" s="671"/>
      <c r="O100" s="671"/>
      <c r="P100" s="671"/>
      <c r="Q100" s="671"/>
      <c r="R100" s="671"/>
      <c r="S100" s="672"/>
      <c r="T100" s="736">
        <f t="shared" si="48"/>
        <v>0</v>
      </c>
      <c r="U100" s="766"/>
      <c r="V100" s="338">
        <f t="shared" si="49"/>
        <v>0</v>
      </c>
      <c r="W100" s="128">
        <f t="shared" si="50"/>
        <v>0</v>
      </c>
      <c r="X100" s="128">
        <f t="shared" si="51"/>
        <v>0</v>
      </c>
      <c r="Y100" s="128">
        <f t="shared" si="52"/>
        <v>0</v>
      </c>
      <c r="Z100" s="128">
        <f t="shared" si="53"/>
        <v>0</v>
      </c>
      <c r="AA100" s="128">
        <f t="shared" si="54"/>
        <v>0</v>
      </c>
      <c r="AB100" s="129">
        <f t="shared" si="55"/>
        <v>0</v>
      </c>
    </row>
    <row r="101" spans="1:28" hidden="1">
      <c r="A101" s="1167"/>
      <c r="B101" s="737"/>
      <c r="C101" s="676"/>
      <c r="D101" s="676"/>
      <c r="E101" s="707" t="s">
        <v>332</v>
      </c>
      <c r="F101" s="671"/>
      <c r="G101" s="708"/>
      <c r="H101" s="708"/>
      <c r="I101" s="708"/>
      <c r="J101" s="708"/>
      <c r="K101" s="708"/>
      <c r="L101" s="671"/>
      <c r="M101" s="708"/>
      <c r="N101" s="708"/>
      <c r="O101" s="708"/>
      <c r="P101" s="708"/>
      <c r="Q101" s="708"/>
      <c r="R101" s="708"/>
      <c r="S101" s="709"/>
      <c r="T101" s="736">
        <f t="shared" si="48"/>
        <v>0</v>
      </c>
      <c r="U101" s="764"/>
      <c r="V101" s="345">
        <f t="shared" si="49"/>
        <v>0</v>
      </c>
      <c r="W101" s="346">
        <f t="shared" si="50"/>
        <v>0</v>
      </c>
      <c r="X101" s="346">
        <f t="shared" si="51"/>
        <v>0</v>
      </c>
      <c r="Y101" s="346">
        <f t="shared" si="52"/>
        <v>0</v>
      </c>
      <c r="Z101" s="346">
        <f t="shared" si="53"/>
        <v>0</v>
      </c>
      <c r="AA101" s="346">
        <f t="shared" si="54"/>
        <v>0</v>
      </c>
      <c r="AB101" s="347">
        <f t="shared" si="55"/>
        <v>0</v>
      </c>
    </row>
    <row r="102" spans="1:28" ht="18" hidden="1" customHeight="1">
      <c r="A102" s="1167">
        <v>2</v>
      </c>
      <c r="B102" s="737" t="s">
        <v>95</v>
      </c>
      <c r="C102" s="676">
        <v>1</v>
      </c>
      <c r="D102" s="676">
        <v>1</v>
      </c>
      <c r="E102" s="677" t="s">
        <v>94</v>
      </c>
      <c r="F102" s="678">
        <f t="shared" ref="F102:O102" si="56">SUM(F103:F114)</f>
        <v>0</v>
      </c>
      <c r="G102" s="678">
        <f t="shared" si="56"/>
        <v>0</v>
      </c>
      <c r="H102" s="678">
        <f t="shared" si="56"/>
        <v>0</v>
      </c>
      <c r="I102" s="678">
        <f t="shared" si="56"/>
        <v>0</v>
      </c>
      <c r="J102" s="678">
        <f t="shared" si="56"/>
        <v>0</v>
      </c>
      <c r="K102" s="678">
        <f t="shared" si="56"/>
        <v>0</v>
      </c>
      <c r="L102" s="678">
        <f t="shared" si="56"/>
        <v>0</v>
      </c>
      <c r="M102" s="678">
        <f t="shared" si="56"/>
        <v>0</v>
      </c>
      <c r="N102" s="678">
        <f t="shared" si="56"/>
        <v>0</v>
      </c>
      <c r="O102" s="678">
        <f t="shared" si="56"/>
        <v>0</v>
      </c>
      <c r="P102" s="678"/>
      <c r="Q102" s="678">
        <f>SUM(Q103:Q114)</f>
        <v>0</v>
      </c>
      <c r="R102" s="678">
        <f>SUM(R103:R114)</f>
        <v>0</v>
      </c>
      <c r="S102" s="678">
        <f>SUM(S103:S114)</f>
        <v>0</v>
      </c>
      <c r="T102" s="679">
        <f>SUM(T103:T114)</f>
        <v>0</v>
      </c>
      <c r="U102" s="764"/>
      <c r="V102" s="350">
        <f>SUM(V103:V114)</f>
        <v>0</v>
      </c>
      <c r="W102" s="122">
        <f t="shared" ref="W102:AB102" si="57">SUM(W103:W114)</f>
        <v>0</v>
      </c>
      <c r="X102" s="122">
        <f t="shared" si="57"/>
        <v>0</v>
      </c>
      <c r="Y102" s="122">
        <f t="shared" si="57"/>
        <v>0</v>
      </c>
      <c r="Z102" s="325">
        <f t="shared" si="57"/>
        <v>0</v>
      </c>
      <c r="AA102" s="325">
        <f t="shared" si="57"/>
        <v>0</v>
      </c>
      <c r="AB102" s="123">
        <f t="shared" si="57"/>
        <v>0</v>
      </c>
    </row>
    <row r="103" spans="1:28" hidden="1">
      <c r="A103" s="1167"/>
      <c r="B103" s="738" t="s">
        <v>468</v>
      </c>
      <c r="C103" s="694"/>
      <c r="D103" s="694"/>
      <c r="E103" s="703" t="s">
        <v>324</v>
      </c>
      <c r="F103" s="695"/>
      <c r="G103" s="696"/>
      <c r="H103" s="695"/>
      <c r="I103" s="695"/>
      <c r="J103" s="696"/>
      <c r="K103" s="696"/>
      <c r="L103" s="696"/>
      <c r="M103" s="696"/>
      <c r="N103" s="696"/>
      <c r="O103" s="696"/>
      <c r="P103" s="696"/>
      <c r="Q103" s="696"/>
      <c r="R103" s="696"/>
      <c r="S103" s="697"/>
      <c r="T103" s="736"/>
      <c r="U103" s="765"/>
      <c r="V103" s="338"/>
      <c r="W103" s="128"/>
      <c r="X103" s="128"/>
      <c r="Y103" s="128"/>
      <c r="Z103" s="128"/>
      <c r="AA103" s="128"/>
      <c r="AB103" s="129"/>
    </row>
    <row r="104" spans="1:28" hidden="1">
      <c r="A104" s="1167"/>
      <c r="B104" s="739"/>
      <c r="C104" s="665"/>
      <c r="D104" s="665"/>
      <c r="E104" s="669" t="s">
        <v>325</v>
      </c>
      <c r="F104" s="671"/>
      <c r="G104" s="671"/>
      <c r="H104" s="671"/>
      <c r="I104" s="671"/>
      <c r="J104" s="671"/>
      <c r="K104" s="671"/>
      <c r="L104" s="671"/>
      <c r="M104" s="671"/>
      <c r="N104" s="671"/>
      <c r="O104" s="671"/>
      <c r="P104" s="671"/>
      <c r="Q104" s="671"/>
      <c r="R104" s="671"/>
      <c r="S104" s="672"/>
      <c r="T104" s="736"/>
      <c r="U104" s="766"/>
      <c r="V104" s="338"/>
      <c r="W104" s="128"/>
      <c r="X104" s="128"/>
      <c r="Y104" s="128"/>
      <c r="Z104" s="128"/>
      <c r="AA104" s="128"/>
      <c r="AB104" s="129"/>
    </row>
    <row r="105" spans="1:28" hidden="1">
      <c r="A105" s="1167"/>
      <c r="B105" s="739"/>
      <c r="C105" s="665"/>
      <c r="D105" s="665"/>
      <c r="E105" s="669" t="s">
        <v>326</v>
      </c>
      <c r="F105" s="671"/>
      <c r="G105" s="671"/>
      <c r="H105" s="671"/>
      <c r="I105" s="671"/>
      <c r="J105" s="671"/>
      <c r="K105" s="671"/>
      <c r="L105" s="671"/>
      <c r="M105" s="671"/>
      <c r="N105" s="671"/>
      <c r="O105" s="671"/>
      <c r="P105" s="671"/>
      <c r="Q105" s="671"/>
      <c r="R105" s="671"/>
      <c r="S105" s="672"/>
      <c r="T105" s="736"/>
      <c r="U105" s="766"/>
      <c r="V105" s="338"/>
      <c r="W105" s="128"/>
      <c r="X105" s="128"/>
      <c r="Y105" s="128"/>
      <c r="Z105" s="128"/>
      <c r="AA105" s="128"/>
      <c r="AB105" s="129"/>
    </row>
    <row r="106" spans="1:28" hidden="1">
      <c r="A106" s="1167"/>
      <c r="B106" s="739"/>
      <c r="C106" s="665"/>
      <c r="D106" s="665"/>
      <c r="E106" s="669" t="s">
        <v>327</v>
      </c>
      <c r="F106" s="671"/>
      <c r="G106" s="671"/>
      <c r="H106" s="671"/>
      <c r="I106" s="671"/>
      <c r="J106" s="671"/>
      <c r="K106" s="671"/>
      <c r="L106" s="671"/>
      <c r="M106" s="671"/>
      <c r="N106" s="671"/>
      <c r="O106" s="671"/>
      <c r="P106" s="671"/>
      <c r="Q106" s="671"/>
      <c r="R106" s="671"/>
      <c r="S106" s="672"/>
      <c r="T106" s="736"/>
      <c r="U106" s="766"/>
      <c r="V106" s="338"/>
      <c r="W106" s="128"/>
      <c r="X106" s="128"/>
      <c r="Y106" s="128"/>
      <c r="Z106" s="128"/>
      <c r="AA106" s="128"/>
      <c r="AB106" s="129"/>
    </row>
    <row r="107" spans="1:28" hidden="1">
      <c r="A107" s="1167"/>
      <c r="B107" s="739"/>
      <c r="C107" s="665"/>
      <c r="D107" s="665"/>
      <c r="E107" s="669" t="s">
        <v>328</v>
      </c>
      <c r="F107" s="671"/>
      <c r="G107" s="671"/>
      <c r="H107" s="671"/>
      <c r="I107" s="671"/>
      <c r="J107" s="671"/>
      <c r="K107" s="671"/>
      <c r="L107" s="671"/>
      <c r="M107" s="671"/>
      <c r="N107" s="671"/>
      <c r="O107" s="671"/>
      <c r="P107" s="671"/>
      <c r="Q107" s="671"/>
      <c r="R107" s="671"/>
      <c r="S107" s="672"/>
      <c r="T107" s="736"/>
      <c r="U107" s="766"/>
      <c r="V107" s="338"/>
      <c r="W107" s="128"/>
      <c r="X107" s="128"/>
      <c r="Y107" s="128"/>
      <c r="Z107" s="128"/>
      <c r="AA107" s="128"/>
      <c r="AB107" s="129"/>
    </row>
    <row r="108" spans="1:28" hidden="1">
      <c r="A108" s="1167"/>
      <c r="B108" s="739"/>
      <c r="C108" s="665"/>
      <c r="D108" s="665"/>
      <c r="E108" s="669" t="s">
        <v>329</v>
      </c>
      <c r="F108" s="671"/>
      <c r="G108" s="671"/>
      <c r="H108" s="671"/>
      <c r="I108" s="671"/>
      <c r="J108" s="671"/>
      <c r="K108" s="671"/>
      <c r="L108" s="671"/>
      <c r="M108" s="671"/>
      <c r="N108" s="671"/>
      <c r="O108" s="671"/>
      <c r="P108" s="671"/>
      <c r="Q108" s="671"/>
      <c r="R108" s="671"/>
      <c r="S108" s="672"/>
      <c r="T108" s="736">
        <f t="shared" ref="T108:T114" si="58">SUM(S108,P108,O108,M108,L108,F108)</f>
        <v>0</v>
      </c>
      <c r="U108" s="766"/>
      <c r="V108" s="338">
        <f t="shared" ref="V108:V114" si="59">ROUNDUP(T108*1/12,-1)</f>
        <v>0</v>
      </c>
      <c r="W108" s="128">
        <f t="shared" ref="W108:W114" si="60">ROUND(T108*4.5%,-1)</f>
        <v>0</v>
      </c>
      <c r="X108" s="128">
        <f t="shared" ref="X108:X114" si="61">ROUNDUP((T108-L108)*2.82%,-1)</f>
        <v>0</v>
      </c>
      <c r="Y108" s="128">
        <f t="shared" ref="Y108:Y114" si="62">ROUNDUP(X108*6.55%,-1)</f>
        <v>0</v>
      </c>
      <c r="Z108" s="128">
        <f t="shared" ref="Z108:Z114" si="63">ROUND(T108*0.8%,-1)</f>
        <v>0</v>
      </c>
      <c r="AA108" s="128">
        <f t="shared" ref="AA108:AA114" si="64">ROUND(T108*0.785%,-1)</f>
        <v>0</v>
      </c>
      <c r="AB108" s="129">
        <f t="shared" ref="AB108:AB114" si="65">SUM(V108:AA108)</f>
        <v>0</v>
      </c>
    </row>
    <row r="109" spans="1:28" hidden="1">
      <c r="A109" s="1167"/>
      <c r="B109" s="739"/>
      <c r="C109" s="665"/>
      <c r="D109" s="665"/>
      <c r="E109" s="669" t="s">
        <v>330</v>
      </c>
      <c r="F109" s="671"/>
      <c r="G109" s="671"/>
      <c r="H109" s="670"/>
      <c r="I109" s="672"/>
      <c r="J109" s="671"/>
      <c r="K109" s="671"/>
      <c r="L109" s="671"/>
      <c r="M109" s="671"/>
      <c r="N109" s="671"/>
      <c r="O109" s="671"/>
      <c r="P109" s="671"/>
      <c r="Q109" s="671"/>
      <c r="R109" s="671"/>
      <c r="S109" s="672"/>
      <c r="T109" s="736">
        <f t="shared" si="58"/>
        <v>0</v>
      </c>
      <c r="U109" s="766"/>
      <c r="V109" s="338">
        <f t="shared" si="59"/>
        <v>0</v>
      </c>
      <c r="W109" s="128">
        <f t="shared" si="60"/>
        <v>0</v>
      </c>
      <c r="X109" s="128">
        <f t="shared" si="61"/>
        <v>0</v>
      </c>
      <c r="Y109" s="128">
        <f t="shared" si="62"/>
        <v>0</v>
      </c>
      <c r="Z109" s="128">
        <f t="shared" si="63"/>
        <v>0</v>
      </c>
      <c r="AA109" s="128">
        <f t="shared" si="64"/>
        <v>0</v>
      </c>
      <c r="AB109" s="129">
        <f t="shared" si="65"/>
        <v>0</v>
      </c>
    </row>
    <row r="110" spans="1:28" hidden="1">
      <c r="A110" s="1167"/>
      <c r="B110" s="739"/>
      <c r="C110" s="665"/>
      <c r="D110" s="665"/>
      <c r="E110" s="669" t="s">
        <v>331</v>
      </c>
      <c r="F110" s="671"/>
      <c r="G110" s="671"/>
      <c r="H110" s="671"/>
      <c r="I110" s="671"/>
      <c r="J110" s="671"/>
      <c r="K110" s="671"/>
      <c r="L110" s="671"/>
      <c r="M110" s="671"/>
      <c r="N110" s="671"/>
      <c r="O110" s="671"/>
      <c r="P110" s="671"/>
      <c r="Q110" s="671"/>
      <c r="R110" s="671"/>
      <c r="S110" s="672"/>
      <c r="T110" s="736">
        <f t="shared" si="58"/>
        <v>0</v>
      </c>
      <c r="U110" s="766"/>
      <c r="V110" s="338">
        <f t="shared" si="59"/>
        <v>0</v>
      </c>
      <c r="W110" s="128">
        <f t="shared" si="60"/>
        <v>0</v>
      </c>
      <c r="X110" s="128">
        <f t="shared" si="61"/>
        <v>0</v>
      </c>
      <c r="Y110" s="128">
        <f t="shared" si="62"/>
        <v>0</v>
      </c>
      <c r="Z110" s="128">
        <f t="shared" si="63"/>
        <v>0</v>
      </c>
      <c r="AA110" s="128">
        <f t="shared" si="64"/>
        <v>0</v>
      </c>
      <c r="AB110" s="129">
        <f t="shared" si="65"/>
        <v>0</v>
      </c>
    </row>
    <row r="111" spans="1:28" hidden="1">
      <c r="A111" s="1167"/>
      <c r="B111" s="739"/>
      <c r="C111" s="665"/>
      <c r="D111" s="665"/>
      <c r="E111" s="669" t="s">
        <v>62</v>
      </c>
      <c r="F111" s="671"/>
      <c r="G111" s="671"/>
      <c r="H111" s="671"/>
      <c r="I111" s="671"/>
      <c r="J111" s="671"/>
      <c r="K111" s="671"/>
      <c r="L111" s="671"/>
      <c r="M111" s="671"/>
      <c r="N111" s="671"/>
      <c r="O111" s="671"/>
      <c r="P111" s="671"/>
      <c r="Q111" s="671"/>
      <c r="R111" s="671"/>
      <c r="S111" s="672"/>
      <c r="T111" s="736">
        <f t="shared" si="58"/>
        <v>0</v>
      </c>
      <c r="U111" s="766"/>
      <c r="V111" s="338">
        <f t="shared" si="59"/>
        <v>0</v>
      </c>
      <c r="W111" s="128">
        <f t="shared" si="60"/>
        <v>0</v>
      </c>
      <c r="X111" s="128">
        <f t="shared" si="61"/>
        <v>0</v>
      </c>
      <c r="Y111" s="128">
        <f t="shared" si="62"/>
        <v>0</v>
      </c>
      <c r="Z111" s="128">
        <f t="shared" si="63"/>
        <v>0</v>
      </c>
      <c r="AA111" s="128">
        <f t="shared" si="64"/>
        <v>0</v>
      </c>
      <c r="AB111" s="129">
        <f t="shared" si="65"/>
        <v>0</v>
      </c>
    </row>
    <row r="112" spans="1:28" hidden="1">
      <c r="A112" s="1167"/>
      <c r="B112" s="739"/>
      <c r="C112" s="665"/>
      <c r="D112" s="665"/>
      <c r="E112" s="669" t="s">
        <v>63</v>
      </c>
      <c r="F112" s="671"/>
      <c r="G112" s="671"/>
      <c r="H112" s="671"/>
      <c r="I112" s="671"/>
      <c r="J112" s="671"/>
      <c r="K112" s="671"/>
      <c r="L112" s="671"/>
      <c r="M112" s="671"/>
      <c r="N112" s="671"/>
      <c r="O112" s="671"/>
      <c r="P112" s="671"/>
      <c r="Q112" s="671"/>
      <c r="R112" s="671"/>
      <c r="S112" s="672"/>
      <c r="T112" s="736">
        <f t="shared" si="58"/>
        <v>0</v>
      </c>
      <c r="U112" s="766"/>
      <c r="V112" s="338">
        <f t="shared" si="59"/>
        <v>0</v>
      </c>
      <c r="W112" s="128">
        <f t="shared" si="60"/>
        <v>0</v>
      </c>
      <c r="X112" s="128">
        <f t="shared" si="61"/>
        <v>0</v>
      </c>
      <c r="Y112" s="128">
        <f t="shared" si="62"/>
        <v>0</v>
      </c>
      <c r="Z112" s="128">
        <f t="shared" si="63"/>
        <v>0</v>
      </c>
      <c r="AA112" s="128">
        <f t="shared" si="64"/>
        <v>0</v>
      </c>
      <c r="AB112" s="129">
        <f t="shared" si="65"/>
        <v>0</v>
      </c>
    </row>
    <row r="113" spans="1:28" hidden="1">
      <c r="A113" s="1167"/>
      <c r="B113" s="739"/>
      <c r="C113" s="665"/>
      <c r="D113" s="665"/>
      <c r="E113" s="669" t="s">
        <v>64</v>
      </c>
      <c r="F113" s="671"/>
      <c r="G113" s="671"/>
      <c r="H113" s="671"/>
      <c r="I113" s="671"/>
      <c r="J113" s="671"/>
      <c r="K113" s="671"/>
      <c r="L113" s="671"/>
      <c r="M113" s="671"/>
      <c r="N113" s="671"/>
      <c r="O113" s="671"/>
      <c r="P113" s="671"/>
      <c r="Q113" s="671"/>
      <c r="R113" s="671"/>
      <c r="S113" s="672"/>
      <c r="T113" s="736">
        <f t="shared" si="58"/>
        <v>0</v>
      </c>
      <c r="U113" s="766"/>
      <c r="V113" s="338">
        <f t="shared" si="59"/>
        <v>0</v>
      </c>
      <c r="W113" s="128">
        <f t="shared" si="60"/>
        <v>0</v>
      </c>
      <c r="X113" s="128">
        <f t="shared" si="61"/>
        <v>0</v>
      </c>
      <c r="Y113" s="128">
        <f t="shared" si="62"/>
        <v>0</v>
      </c>
      <c r="Z113" s="128">
        <f t="shared" si="63"/>
        <v>0</v>
      </c>
      <c r="AA113" s="128">
        <f t="shared" si="64"/>
        <v>0</v>
      </c>
      <c r="AB113" s="129">
        <f t="shared" si="65"/>
        <v>0</v>
      </c>
    </row>
    <row r="114" spans="1:28" hidden="1">
      <c r="A114" s="1168"/>
      <c r="B114" s="737"/>
      <c r="C114" s="676"/>
      <c r="D114" s="676"/>
      <c r="E114" s="707" t="s">
        <v>332</v>
      </c>
      <c r="F114" s="671"/>
      <c r="G114" s="708"/>
      <c r="H114" s="708"/>
      <c r="I114" s="708"/>
      <c r="J114" s="708"/>
      <c r="K114" s="708"/>
      <c r="L114" s="671"/>
      <c r="M114" s="708"/>
      <c r="N114" s="708"/>
      <c r="O114" s="708"/>
      <c r="P114" s="708"/>
      <c r="Q114" s="708"/>
      <c r="R114" s="708"/>
      <c r="S114" s="709"/>
      <c r="T114" s="736">
        <f t="shared" si="58"/>
        <v>0</v>
      </c>
      <c r="U114" s="764"/>
      <c r="V114" s="345">
        <f t="shared" si="59"/>
        <v>0</v>
      </c>
      <c r="W114" s="346">
        <f t="shared" si="60"/>
        <v>0</v>
      </c>
      <c r="X114" s="346">
        <f t="shared" si="61"/>
        <v>0</v>
      </c>
      <c r="Y114" s="346">
        <f t="shared" si="62"/>
        <v>0</v>
      </c>
      <c r="Z114" s="346">
        <f t="shared" si="63"/>
        <v>0</v>
      </c>
      <c r="AA114" s="346">
        <f t="shared" si="64"/>
        <v>0</v>
      </c>
      <c r="AB114" s="347">
        <f t="shared" si="65"/>
        <v>0</v>
      </c>
    </row>
    <row r="115" spans="1:28" ht="18" customHeight="1">
      <c r="A115" s="1176">
        <v>2</v>
      </c>
      <c r="B115" s="737" t="s">
        <v>469</v>
      </c>
      <c r="C115" s="676">
        <v>1</v>
      </c>
      <c r="D115" s="676">
        <v>1</v>
      </c>
      <c r="E115" s="677" t="s">
        <v>651</v>
      </c>
      <c r="F115" s="678">
        <f>SUM(F116:F127)</f>
        <v>2000000</v>
      </c>
      <c r="G115" s="678">
        <f>SUM(G116:G127)</f>
        <v>0</v>
      </c>
      <c r="H115" s="678">
        <f>SUM(H116:H127)</f>
        <v>0</v>
      </c>
      <c r="I115" s="678">
        <f t="shared" ref="I115:O115" si="66">SUM(I116:I127)</f>
        <v>0</v>
      </c>
      <c r="J115" s="678">
        <f t="shared" si="66"/>
        <v>0</v>
      </c>
      <c r="K115" s="678">
        <f t="shared" si="66"/>
        <v>0</v>
      </c>
      <c r="L115" s="678">
        <f t="shared" si="66"/>
        <v>0</v>
      </c>
      <c r="M115" s="678">
        <f t="shared" si="66"/>
        <v>0</v>
      </c>
      <c r="N115" s="678">
        <f t="shared" si="66"/>
        <v>0</v>
      </c>
      <c r="O115" s="678">
        <f t="shared" si="66"/>
        <v>0</v>
      </c>
      <c r="P115" s="678"/>
      <c r="Q115" s="678">
        <f>SUM(Q116:Q127)</f>
        <v>0</v>
      </c>
      <c r="R115" s="678">
        <f>SUM(R116:R127)</f>
        <v>0</v>
      </c>
      <c r="S115" s="678">
        <f>SUM(F115:M115)</f>
        <v>2000000</v>
      </c>
      <c r="T115" s="679"/>
      <c r="U115" s="764"/>
      <c r="V115" s="350">
        <f>SUM(V116:V127)</f>
        <v>0</v>
      </c>
      <c r="W115" s="122">
        <f t="shared" ref="W115:AB115" si="67">SUM(W116:W127)</f>
        <v>0</v>
      </c>
      <c r="X115" s="122">
        <f t="shared" si="67"/>
        <v>0</v>
      </c>
      <c r="Y115" s="122">
        <f t="shared" si="67"/>
        <v>0</v>
      </c>
      <c r="Z115" s="325">
        <f t="shared" si="67"/>
        <v>0</v>
      </c>
      <c r="AA115" s="325">
        <f t="shared" si="67"/>
        <v>0</v>
      </c>
      <c r="AB115" s="123">
        <f t="shared" si="67"/>
        <v>0</v>
      </c>
    </row>
    <row r="116" spans="1:28" hidden="1">
      <c r="A116" s="1161"/>
      <c r="B116" s="738" t="s">
        <v>478</v>
      </c>
      <c r="C116" s="694"/>
      <c r="D116" s="694"/>
      <c r="E116" s="703" t="s">
        <v>324</v>
      </c>
      <c r="F116" s="695">
        <v>800000</v>
      </c>
      <c r="G116" s="696">
        <v>0</v>
      </c>
      <c r="H116" s="695"/>
      <c r="I116" s="695" t="s">
        <v>68</v>
      </c>
      <c r="J116" s="696">
        <v>0</v>
      </c>
      <c r="K116" s="696">
        <v>0</v>
      </c>
      <c r="L116" s="696">
        <v>0</v>
      </c>
      <c r="M116" s="696">
        <v>0</v>
      </c>
      <c r="N116" s="696">
        <v>0</v>
      </c>
      <c r="O116" s="696">
        <v>0</v>
      </c>
      <c r="P116" s="696"/>
      <c r="Q116" s="696">
        <v>0</v>
      </c>
      <c r="R116" s="696"/>
      <c r="S116" s="697"/>
      <c r="T116" s="736">
        <f t="shared" ref="T116:T127" si="68">SUM(S116,P116,O116,M116,F116)</f>
        <v>800000</v>
      </c>
      <c r="U116" s="765"/>
      <c r="V116" s="338"/>
      <c r="W116" s="128"/>
      <c r="X116" s="128"/>
      <c r="Y116" s="128"/>
      <c r="Z116" s="128"/>
      <c r="AA116" s="128"/>
      <c r="AB116" s="129">
        <f t="shared" ref="AB116:AB127" si="69">SUM(V116:AA116)</f>
        <v>0</v>
      </c>
    </row>
    <row r="117" spans="1:28" hidden="1">
      <c r="A117" s="1161"/>
      <c r="B117" s="739"/>
      <c r="C117" s="665"/>
      <c r="D117" s="665"/>
      <c r="E117" s="669" t="s">
        <v>325</v>
      </c>
      <c r="F117" s="671">
        <f>F116</f>
        <v>800000</v>
      </c>
      <c r="G117" s="671">
        <v>0</v>
      </c>
      <c r="H117" s="671">
        <v>0</v>
      </c>
      <c r="I117" s="671" t="str">
        <f>I116</f>
        <v>-</v>
      </c>
      <c r="J117" s="671">
        <v>0</v>
      </c>
      <c r="K117" s="671">
        <f>K116</f>
        <v>0</v>
      </c>
      <c r="L117" s="671">
        <f>L116</f>
        <v>0</v>
      </c>
      <c r="M117" s="671"/>
      <c r="N117" s="671">
        <f>N116</f>
        <v>0</v>
      </c>
      <c r="O117" s="671">
        <f>O116</f>
        <v>0</v>
      </c>
      <c r="P117" s="671">
        <v>0</v>
      </c>
      <c r="Q117" s="671">
        <f>P117*56</f>
        <v>0</v>
      </c>
      <c r="R117" s="671"/>
      <c r="S117" s="672"/>
      <c r="T117" s="736">
        <f t="shared" si="68"/>
        <v>800000</v>
      </c>
      <c r="U117" s="766"/>
      <c r="V117" s="338"/>
      <c r="W117" s="128"/>
      <c r="X117" s="128"/>
      <c r="Y117" s="128"/>
      <c r="Z117" s="128"/>
      <c r="AA117" s="128"/>
      <c r="AB117" s="129">
        <f t="shared" si="69"/>
        <v>0</v>
      </c>
    </row>
    <row r="118" spans="1:28" hidden="1">
      <c r="A118" s="1161"/>
      <c r="B118" s="739"/>
      <c r="C118" s="665"/>
      <c r="D118" s="665"/>
      <c r="E118" s="669" t="s">
        <v>326</v>
      </c>
      <c r="F118" s="671">
        <v>400000</v>
      </c>
      <c r="G118" s="671"/>
      <c r="H118" s="671">
        <v>0</v>
      </c>
      <c r="I118" s="671" t="str">
        <f>I116</f>
        <v>-</v>
      </c>
      <c r="J118" s="671">
        <v>0</v>
      </c>
      <c r="K118" s="671"/>
      <c r="L118" s="671"/>
      <c r="M118" s="671" t="s">
        <v>68</v>
      </c>
      <c r="N118" s="671"/>
      <c r="O118" s="671">
        <f t="shared" ref="O118:O123" si="70">O117</f>
        <v>0</v>
      </c>
      <c r="P118" s="671">
        <v>0</v>
      </c>
      <c r="Q118" s="671">
        <f t="shared" ref="Q118:Q126" si="71">P118*56</f>
        <v>0</v>
      </c>
      <c r="R118" s="671"/>
      <c r="S118" s="672"/>
      <c r="T118" s="736">
        <f t="shared" si="68"/>
        <v>400000</v>
      </c>
      <c r="U118" s="766"/>
      <c r="V118" s="338"/>
      <c r="W118" s="128"/>
      <c r="X118" s="128"/>
      <c r="Y118" s="128"/>
      <c r="Z118" s="128"/>
      <c r="AA118" s="128"/>
      <c r="AB118" s="129">
        <f t="shared" si="69"/>
        <v>0</v>
      </c>
    </row>
    <row r="119" spans="1:28" hidden="1">
      <c r="A119" s="1161"/>
      <c r="B119" s="739"/>
      <c r="C119" s="665"/>
      <c r="D119" s="665"/>
      <c r="E119" s="669" t="s">
        <v>327</v>
      </c>
      <c r="F119" s="671"/>
      <c r="G119" s="671">
        <v>0</v>
      </c>
      <c r="H119" s="671">
        <v>0</v>
      </c>
      <c r="I119" s="671" t="str">
        <f>I116</f>
        <v>-</v>
      </c>
      <c r="J119" s="671"/>
      <c r="K119" s="671"/>
      <c r="L119" s="671"/>
      <c r="M119" s="671">
        <v>0</v>
      </c>
      <c r="N119" s="671"/>
      <c r="O119" s="671">
        <f t="shared" si="70"/>
        <v>0</v>
      </c>
      <c r="P119" s="671">
        <v>0</v>
      </c>
      <c r="Q119" s="671">
        <f t="shared" si="71"/>
        <v>0</v>
      </c>
      <c r="R119" s="671"/>
      <c r="S119" s="672"/>
      <c r="T119" s="736">
        <f t="shared" si="68"/>
        <v>0</v>
      </c>
      <c r="U119" s="766"/>
      <c r="V119" s="338"/>
      <c r="W119" s="128"/>
      <c r="X119" s="128"/>
      <c r="Y119" s="128"/>
      <c r="Z119" s="128"/>
      <c r="AA119" s="128"/>
      <c r="AB119" s="129">
        <f t="shared" si="69"/>
        <v>0</v>
      </c>
    </row>
    <row r="120" spans="1:28" hidden="1">
      <c r="A120" s="1161"/>
      <c r="B120" s="739"/>
      <c r="C120" s="665"/>
      <c r="D120" s="665"/>
      <c r="E120" s="669" t="s">
        <v>328</v>
      </c>
      <c r="F120" s="671"/>
      <c r="G120" s="671">
        <v>0</v>
      </c>
      <c r="H120" s="671">
        <v>0</v>
      </c>
      <c r="I120" s="671" t="str">
        <f>I116</f>
        <v>-</v>
      </c>
      <c r="J120" s="671"/>
      <c r="K120" s="671"/>
      <c r="L120" s="671"/>
      <c r="M120" s="671">
        <v>0</v>
      </c>
      <c r="N120" s="671"/>
      <c r="O120" s="671">
        <f t="shared" si="70"/>
        <v>0</v>
      </c>
      <c r="P120" s="671">
        <v>0</v>
      </c>
      <c r="Q120" s="671">
        <f t="shared" si="71"/>
        <v>0</v>
      </c>
      <c r="R120" s="671"/>
      <c r="S120" s="672"/>
      <c r="T120" s="736">
        <f t="shared" si="68"/>
        <v>0</v>
      </c>
      <c r="U120" s="766"/>
      <c r="V120" s="338"/>
      <c r="W120" s="128"/>
      <c r="X120" s="128"/>
      <c r="Y120" s="128"/>
      <c r="Z120" s="128"/>
      <c r="AA120" s="128"/>
      <c r="AB120" s="129">
        <f t="shared" si="69"/>
        <v>0</v>
      </c>
    </row>
    <row r="121" spans="1:28" hidden="1">
      <c r="A121" s="1161"/>
      <c r="B121" s="739"/>
      <c r="C121" s="665"/>
      <c r="D121" s="665"/>
      <c r="E121" s="669" t="s">
        <v>329</v>
      </c>
      <c r="F121" s="671"/>
      <c r="G121" s="671"/>
      <c r="H121" s="671">
        <v>0</v>
      </c>
      <c r="I121" s="671" t="str">
        <f>I116</f>
        <v>-</v>
      </c>
      <c r="J121" s="671"/>
      <c r="K121" s="671"/>
      <c r="L121" s="671"/>
      <c r="M121" s="671">
        <v>0</v>
      </c>
      <c r="N121" s="671"/>
      <c r="O121" s="671">
        <f t="shared" si="70"/>
        <v>0</v>
      </c>
      <c r="P121" s="671">
        <v>0</v>
      </c>
      <c r="Q121" s="671">
        <f t="shared" si="71"/>
        <v>0</v>
      </c>
      <c r="R121" s="671"/>
      <c r="S121" s="672"/>
      <c r="T121" s="736">
        <f t="shared" si="68"/>
        <v>0</v>
      </c>
      <c r="U121" s="766"/>
      <c r="V121" s="338"/>
      <c r="W121" s="128"/>
      <c r="X121" s="128"/>
      <c r="Y121" s="128"/>
      <c r="Z121" s="128"/>
      <c r="AA121" s="128"/>
      <c r="AB121" s="129">
        <f t="shared" si="69"/>
        <v>0</v>
      </c>
    </row>
    <row r="122" spans="1:28" hidden="1">
      <c r="A122" s="1161"/>
      <c r="B122" s="739"/>
      <c r="C122" s="665"/>
      <c r="D122" s="665"/>
      <c r="E122" s="669" t="s">
        <v>330</v>
      </c>
      <c r="F122" s="671"/>
      <c r="G122" s="671">
        <v>0</v>
      </c>
      <c r="H122" s="670"/>
      <c r="I122" s="672" t="s">
        <v>68</v>
      </c>
      <c r="J122" s="671"/>
      <c r="K122" s="671"/>
      <c r="L122" s="671"/>
      <c r="M122" s="671">
        <v>0</v>
      </c>
      <c r="N122" s="671"/>
      <c r="O122" s="671">
        <f t="shared" si="70"/>
        <v>0</v>
      </c>
      <c r="P122" s="671">
        <v>0</v>
      </c>
      <c r="Q122" s="671">
        <f t="shared" si="71"/>
        <v>0</v>
      </c>
      <c r="R122" s="671"/>
      <c r="S122" s="672"/>
      <c r="T122" s="736">
        <f t="shared" si="68"/>
        <v>0</v>
      </c>
      <c r="U122" s="766"/>
      <c r="V122" s="338"/>
      <c r="W122" s="128"/>
      <c r="X122" s="128"/>
      <c r="Y122" s="128"/>
      <c r="Z122" s="128"/>
      <c r="AA122" s="128"/>
      <c r="AB122" s="129">
        <f t="shared" si="69"/>
        <v>0</v>
      </c>
    </row>
    <row r="123" spans="1:28" hidden="1">
      <c r="A123" s="1161"/>
      <c r="B123" s="739"/>
      <c r="C123" s="665"/>
      <c r="D123" s="665"/>
      <c r="E123" s="669" t="s">
        <v>331</v>
      </c>
      <c r="F123" s="671"/>
      <c r="G123" s="671">
        <v>0</v>
      </c>
      <c r="H123" s="671">
        <v>0</v>
      </c>
      <c r="I123" s="671" t="str">
        <f>I122</f>
        <v>-</v>
      </c>
      <c r="J123" s="671"/>
      <c r="K123" s="671"/>
      <c r="L123" s="671"/>
      <c r="M123" s="671">
        <v>0</v>
      </c>
      <c r="N123" s="671"/>
      <c r="O123" s="671">
        <f t="shared" si="70"/>
        <v>0</v>
      </c>
      <c r="P123" s="671">
        <v>0</v>
      </c>
      <c r="Q123" s="671">
        <f t="shared" si="71"/>
        <v>0</v>
      </c>
      <c r="R123" s="671"/>
      <c r="S123" s="672"/>
      <c r="T123" s="736">
        <f t="shared" si="68"/>
        <v>0</v>
      </c>
      <c r="U123" s="766"/>
      <c r="V123" s="338"/>
      <c r="W123" s="128"/>
      <c r="X123" s="128"/>
      <c r="Y123" s="128"/>
      <c r="Z123" s="128"/>
      <c r="AA123" s="128"/>
      <c r="AB123" s="129">
        <f t="shared" si="69"/>
        <v>0</v>
      </c>
    </row>
    <row r="124" spans="1:28" hidden="1">
      <c r="A124" s="1161"/>
      <c r="B124" s="739"/>
      <c r="C124" s="665"/>
      <c r="D124" s="665"/>
      <c r="E124" s="669" t="s">
        <v>62</v>
      </c>
      <c r="F124" s="671"/>
      <c r="G124" s="671"/>
      <c r="H124" s="671">
        <v>0</v>
      </c>
      <c r="I124" s="671" t="str">
        <f>I122</f>
        <v>-</v>
      </c>
      <c r="J124" s="671"/>
      <c r="K124" s="671"/>
      <c r="L124" s="671"/>
      <c r="M124" s="671"/>
      <c r="N124" s="671"/>
      <c r="O124" s="671">
        <v>0</v>
      </c>
      <c r="P124" s="671">
        <v>0</v>
      </c>
      <c r="Q124" s="671">
        <f t="shared" si="71"/>
        <v>0</v>
      </c>
      <c r="R124" s="671"/>
      <c r="S124" s="672"/>
      <c r="T124" s="736">
        <f t="shared" si="68"/>
        <v>0</v>
      </c>
      <c r="U124" s="766"/>
      <c r="V124" s="338"/>
      <c r="W124" s="128"/>
      <c r="X124" s="128"/>
      <c r="Y124" s="128"/>
      <c r="Z124" s="128"/>
      <c r="AA124" s="128"/>
      <c r="AB124" s="129">
        <f t="shared" si="69"/>
        <v>0</v>
      </c>
    </row>
    <row r="125" spans="1:28" hidden="1">
      <c r="A125" s="1161"/>
      <c r="B125" s="739"/>
      <c r="C125" s="665"/>
      <c r="D125" s="665"/>
      <c r="E125" s="669" t="s">
        <v>63</v>
      </c>
      <c r="F125" s="671"/>
      <c r="G125" s="671">
        <v>0</v>
      </c>
      <c r="H125" s="671">
        <v>0</v>
      </c>
      <c r="I125" s="671" t="str">
        <f>I122</f>
        <v>-</v>
      </c>
      <c r="J125" s="671"/>
      <c r="K125" s="671"/>
      <c r="L125" s="671"/>
      <c r="M125" s="671">
        <v>0</v>
      </c>
      <c r="N125" s="671"/>
      <c r="O125" s="671">
        <f>O124</f>
        <v>0</v>
      </c>
      <c r="P125" s="671">
        <v>0</v>
      </c>
      <c r="Q125" s="671">
        <f t="shared" si="71"/>
        <v>0</v>
      </c>
      <c r="R125" s="671"/>
      <c r="S125" s="672"/>
      <c r="T125" s="736">
        <f t="shared" si="68"/>
        <v>0</v>
      </c>
      <c r="U125" s="766"/>
      <c r="V125" s="338"/>
      <c r="W125" s="128"/>
      <c r="X125" s="128"/>
      <c r="Y125" s="128"/>
      <c r="Z125" s="128"/>
      <c r="AA125" s="128"/>
      <c r="AB125" s="129">
        <f t="shared" si="69"/>
        <v>0</v>
      </c>
    </row>
    <row r="126" spans="1:28" hidden="1">
      <c r="A126" s="1161"/>
      <c r="B126" s="739"/>
      <c r="C126" s="665"/>
      <c r="D126" s="665"/>
      <c r="E126" s="669" t="s">
        <v>64</v>
      </c>
      <c r="F126" s="671"/>
      <c r="G126" s="671">
        <v>0</v>
      </c>
      <c r="H126" s="671">
        <v>0</v>
      </c>
      <c r="I126" s="671" t="str">
        <f>I122</f>
        <v>-</v>
      </c>
      <c r="J126" s="671"/>
      <c r="K126" s="671"/>
      <c r="L126" s="671"/>
      <c r="M126" s="671">
        <v>0</v>
      </c>
      <c r="N126" s="671">
        <f>N125</f>
        <v>0</v>
      </c>
      <c r="O126" s="671">
        <f>O125</f>
        <v>0</v>
      </c>
      <c r="P126" s="671">
        <v>0</v>
      </c>
      <c r="Q126" s="671">
        <f t="shared" si="71"/>
        <v>0</v>
      </c>
      <c r="R126" s="671"/>
      <c r="S126" s="672"/>
      <c r="T126" s="736">
        <f t="shared" si="68"/>
        <v>0</v>
      </c>
      <c r="U126" s="766"/>
      <c r="V126" s="338"/>
      <c r="W126" s="128"/>
      <c r="X126" s="128"/>
      <c r="Y126" s="128"/>
      <c r="Z126" s="128"/>
      <c r="AA126" s="128"/>
      <c r="AB126" s="129">
        <f t="shared" si="69"/>
        <v>0</v>
      </c>
    </row>
    <row r="127" spans="1:28" ht="14.25" hidden="1" thickBot="1">
      <c r="A127" s="1162"/>
      <c r="B127" s="767"/>
      <c r="C127" s="768"/>
      <c r="D127" s="768"/>
      <c r="E127" s="769" t="s">
        <v>332</v>
      </c>
      <c r="F127" s="770"/>
      <c r="G127" s="770"/>
      <c r="H127" s="770">
        <v>0</v>
      </c>
      <c r="I127" s="770" t="str">
        <f>I122</f>
        <v>-</v>
      </c>
      <c r="J127" s="770"/>
      <c r="K127" s="770">
        <f>K126</f>
        <v>0</v>
      </c>
      <c r="L127" s="770"/>
      <c r="M127" s="770">
        <v>0</v>
      </c>
      <c r="N127" s="770">
        <f>N126</f>
        <v>0</v>
      </c>
      <c r="O127" s="770">
        <f>O126</f>
        <v>0</v>
      </c>
      <c r="P127" s="770">
        <v>0</v>
      </c>
      <c r="Q127" s="770">
        <f>P127*56*2</f>
        <v>0</v>
      </c>
      <c r="R127" s="770"/>
      <c r="S127" s="771"/>
      <c r="T127" s="772">
        <f t="shared" si="68"/>
        <v>0</v>
      </c>
      <c r="U127" s="773"/>
      <c r="V127" s="345"/>
      <c r="W127" s="346"/>
      <c r="X127" s="346"/>
      <c r="Y127" s="346"/>
      <c r="Z127" s="346"/>
      <c r="AA127" s="346"/>
      <c r="AB127" s="347">
        <f t="shared" si="69"/>
        <v>0</v>
      </c>
    </row>
  </sheetData>
  <mergeCells count="13">
    <mergeCell ref="A115:A127"/>
    <mergeCell ref="A50:A62"/>
    <mergeCell ref="A63:A75"/>
    <mergeCell ref="A76:A88"/>
    <mergeCell ref="A89:A101"/>
    <mergeCell ref="A102:A114"/>
    <mergeCell ref="A3:E3"/>
    <mergeCell ref="A47:E47"/>
    <mergeCell ref="A49:E49"/>
    <mergeCell ref="A32:A44"/>
    <mergeCell ref="A19:A31"/>
    <mergeCell ref="A5:E5"/>
    <mergeCell ref="A6:A11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2:AP145"/>
  <sheetViews>
    <sheetView topLeftCell="A66" workbookViewId="0">
      <selection activeCell="H83" sqref="H83"/>
    </sheetView>
  </sheetViews>
  <sheetFormatPr defaultRowHeight="13.5"/>
  <cols>
    <col min="1" max="1" width="3.88671875" style="47" customWidth="1"/>
    <col min="2" max="2" width="5.88671875" style="141" customWidth="1"/>
    <col min="3" max="3" width="8.109375" style="141" customWidth="1"/>
    <col min="4" max="4" width="9.77734375" style="139" hidden="1" customWidth="1"/>
    <col min="5" max="6" width="5.88671875" style="47" hidden="1" customWidth="1"/>
    <col min="7" max="7" width="8.44140625" style="71" customWidth="1"/>
    <col min="8" max="8" width="6.6640625" style="76" customWidth="1"/>
    <col min="9" max="9" width="2.109375" style="76" customWidth="1"/>
    <col min="10" max="10" width="2" style="139" customWidth="1"/>
    <col min="11" max="11" width="2.21875" style="76" customWidth="1"/>
    <col min="12" max="13" width="2.109375" style="139" customWidth="1"/>
    <col min="14" max="14" width="2.33203125" style="71" customWidth="1"/>
    <col min="15" max="15" width="3" style="139" customWidth="1"/>
    <col min="16" max="16" width="2" style="139" customWidth="1"/>
    <col min="17" max="17" width="4.109375" style="142" hidden="1" customWidth="1"/>
    <col min="18" max="18" width="8.21875" style="76" customWidth="1"/>
    <col min="19" max="19" width="8.88671875" style="76" hidden="1" customWidth="1"/>
    <col min="20" max="20" width="6.77734375" style="76" hidden="1" customWidth="1"/>
    <col min="21" max="21" width="9.88671875" style="76" hidden="1" customWidth="1"/>
    <col min="22" max="22" width="8.6640625" style="76" hidden="1" customWidth="1"/>
    <col min="23" max="25" width="9.77734375" style="76" hidden="1" customWidth="1"/>
    <col min="26" max="26" width="8.88671875" style="76" hidden="1" customWidth="1"/>
    <col min="27" max="27" width="7.88671875" style="76" hidden="1" customWidth="1"/>
    <col min="28" max="28" width="9.44140625" style="76" hidden="1" customWidth="1"/>
    <col min="29" max="29" width="7.44140625" style="76" hidden="1" customWidth="1"/>
    <col min="30" max="30" width="1.6640625" style="76" hidden="1" customWidth="1"/>
    <col min="31" max="31" width="19.88671875" style="140" customWidth="1"/>
    <col min="32" max="32" width="10.5546875" style="10" hidden="1" customWidth="1"/>
    <col min="33" max="33" width="6.21875" style="10" hidden="1" customWidth="1"/>
    <col min="34" max="34" width="4.77734375" style="10" hidden="1" customWidth="1"/>
    <col min="35" max="35" width="11.5546875" style="10" customWidth="1"/>
    <col min="36" max="36" width="13.44140625" style="10" customWidth="1"/>
    <col min="37" max="37" width="22.88671875" style="6" customWidth="1"/>
    <col min="38" max="38" width="11.21875" style="10" customWidth="1"/>
    <col min="39" max="39" width="11.44140625" style="10" customWidth="1"/>
    <col min="40" max="40" width="10" style="10" customWidth="1"/>
    <col min="41" max="42" width="8.88671875" style="10"/>
    <col min="43" max="43" width="9.33203125" bestFit="1" customWidth="1"/>
  </cols>
  <sheetData>
    <row r="2" spans="1:42" s="2" customFormat="1" ht="21.75" customHeight="1">
      <c r="A2" s="943" t="s">
        <v>666</v>
      </c>
      <c r="B2" s="943"/>
      <c r="C2" s="943"/>
      <c r="D2" s="943"/>
      <c r="E2" s="943"/>
      <c r="F2" s="943"/>
      <c r="G2" s="943"/>
      <c r="H2" s="943"/>
      <c r="I2" s="943"/>
      <c r="J2" s="943"/>
      <c r="K2" s="943"/>
      <c r="L2" s="943"/>
      <c r="M2" s="943"/>
      <c r="N2" s="943"/>
      <c r="O2" s="943"/>
      <c r="P2" s="943"/>
      <c r="Q2" s="138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40"/>
      <c r="AF2" s="8"/>
      <c r="AG2" s="8"/>
      <c r="AH2" s="8"/>
      <c r="AI2" s="8"/>
      <c r="AJ2" s="8"/>
      <c r="AL2" s="8"/>
      <c r="AM2" s="8"/>
      <c r="AN2" s="8"/>
      <c r="AO2" s="8"/>
      <c r="AP2" s="8"/>
    </row>
    <row r="3" spans="1:42" s="2" customFormat="1" ht="22.5" customHeight="1" thickBot="1">
      <c r="A3" s="136"/>
      <c r="B3" s="136"/>
      <c r="C3" s="136"/>
      <c r="D3" s="136"/>
      <c r="E3" s="136"/>
      <c r="F3" s="136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8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71" t="s">
        <v>667</v>
      </c>
      <c r="AF3" s="8"/>
      <c r="AG3" s="8"/>
      <c r="AH3" s="8"/>
      <c r="AI3" s="8"/>
      <c r="AJ3" s="8"/>
      <c r="AL3" s="8"/>
      <c r="AM3" s="8"/>
      <c r="AN3" s="8"/>
      <c r="AO3" s="8"/>
      <c r="AP3" s="8"/>
    </row>
    <row r="4" spans="1:42" s="2" customFormat="1" ht="20.25" customHeight="1" thickBot="1">
      <c r="A4" s="596" t="s">
        <v>668</v>
      </c>
      <c r="B4" s="1195" t="s">
        <v>669</v>
      </c>
      <c r="C4" s="1196"/>
      <c r="D4" s="597"/>
      <c r="E4" s="598"/>
      <c r="F4" s="598"/>
      <c r="G4" s="597" t="s">
        <v>670</v>
      </c>
      <c r="H4" s="1197"/>
      <c r="I4" s="1197"/>
      <c r="J4" s="1197"/>
      <c r="K4" s="1197"/>
      <c r="L4" s="1197"/>
      <c r="M4" s="1197"/>
      <c r="N4" s="1197"/>
      <c r="O4" s="1197"/>
      <c r="P4" s="1197"/>
      <c r="Q4" s="1197"/>
      <c r="R4" s="1198"/>
      <c r="S4" s="597"/>
      <c r="T4" s="597"/>
      <c r="U4" s="597"/>
      <c r="V4" s="597"/>
      <c r="W4" s="597"/>
      <c r="X4" s="597"/>
      <c r="Y4" s="597"/>
      <c r="Z4" s="597"/>
      <c r="AA4" s="597"/>
      <c r="AB4" s="597"/>
      <c r="AC4" s="597"/>
      <c r="AD4" s="597"/>
      <c r="AE4" s="599" t="s">
        <v>671</v>
      </c>
      <c r="AF4" s="8"/>
      <c r="AG4" s="8"/>
      <c r="AH4" s="8"/>
      <c r="AI4" s="8"/>
      <c r="AJ4" s="8"/>
      <c r="AL4" s="8"/>
      <c r="AM4" s="8"/>
      <c r="AN4" s="8"/>
      <c r="AO4" s="8"/>
      <c r="AP4" s="8"/>
    </row>
    <row r="5" spans="1:42" s="2" customFormat="1" ht="15.75" customHeight="1" thickTop="1">
      <c r="A5" s="1199" t="s">
        <v>672</v>
      </c>
      <c r="B5" s="1200"/>
      <c r="C5" s="1201"/>
      <c r="D5" s="192"/>
      <c r="E5" s="193"/>
      <c r="F5" s="193"/>
      <c r="G5" s="194">
        <f>ROUND(G16+G25+G34+G43+G52+G61+G70+G79+G88+G97+G107+G116,-1)</f>
        <v>133277470</v>
      </c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6"/>
      <c r="S5" s="192"/>
      <c r="T5" s="192"/>
      <c r="U5" s="192"/>
      <c r="V5" s="192"/>
      <c r="W5" s="192"/>
      <c r="X5" s="192"/>
      <c r="Y5" s="192"/>
      <c r="Z5" s="192"/>
      <c r="AA5" s="192"/>
      <c r="AB5" s="192"/>
      <c r="AC5" s="192"/>
      <c r="AD5" s="192"/>
      <c r="AE5" s="600"/>
      <c r="AF5" s="8"/>
      <c r="AG5" s="8"/>
      <c r="AH5" s="8"/>
      <c r="AI5" s="8"/>
      <c r="AJ5" s="8"/>
      <c r="AL5" s="8"/>
      <c r="AM5" s="8"/>
      <c r="AN5" s="8"/>
      <c r="AO5" s="8"/>
      <c r="AP5" s="8"/>
    </row>
    <row r="6" spans="1:42" s="7" customFormat="1" ht="15.75" customHeight="1">
      <c r="A6" s="1187" t="s">
        <v>673</v>
      </c>
      <c r="B6" s="1183" t="s">
        <v>674</v>
      </c>
      <c r="C6" s="1184"/>
      <c r="D6" s="143"/>
      <c r="E6" s="49"/>
      <c r="F6" s="49"/>
      <c r="G6" s="51">
        <f>G7+G9+G11+G13</f>
        <v>133277472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61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601" t="s">
        <v>675</v>
      </c>
      <c r="AF6" s="13"/>
      <c r="AG6" s="13"/>
      <c r="AH6" s="13"/>
      <c r="AI6" s="13"/>
      <c r="AJ6" s="13"/>
      <c r="AL6" s="13"/>
      <c r="AM6" s="13"/>
      <c r="AN6" s="13"/>
      <c r="AO6" s="13"/>
      <c r="AP6" s="13"/>
    </row>
    <row r="7" spans="1:42" s="7" customFormat="1" ht="15.75" customHeight="1">
      <c r="A7" s="1190"/>
      <c r="B7" s="1185" t="s">
        <v>676</v>
      </c>
      <c r="C7" s="49" t="s">
        <v>674</v>
      </c>
      <c r="D7" s="143"/>
      <c r="E7" s="49"/>
      <c r="F7" s="49"/>
      <c r="G7" s="51">
        <f>G8</f>
        <v>3305922</v>
      </c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61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3"/>
      <c r="AE7" s="601"/>
      <c r="AF7" s="13"/>
      <c r="AG7" s="13"/>
      <c r="AH7" s="13"/>
      <c r="AI7" s="13"/>
      <c r="AJ7" s="13"/>
      <c r="AL7" s="13"/>
      <c r="AM7" s="13"/>
      <c r="AN7" s="13"/>
      <c r="AO7" s="13"/>
      <c r="AP7" s="13"/>
    </row>
    <row r="8" spans="1:42" s="1" customFormat="1" ht="15.75" customHeight="1">
      <c r="A8" s="1190"/>
      <c r="B8" s="1186"/>
      <c r="C8" s="49" t="s">
        <v>677</v>
      </c>
      <c r="D8" s="144"/>
      <c r="E8" s="53"/>
      <c r="F8" s="53"/>
      <c r="G8" s="51">
        <f>G18+G27+G36+G45+G54+G63+G72+G81+G90+G99+G109+G118</f>
        <v>3305922</v>
      </c>
      <c r="H8" s="148">
        <v>34820</v>
      </c>
      <c r="I8" s="148" t="s">
        <v>400</v>
      </c>
      <c r="J8" s="149"/>
      <c r="K8" s="148"/>
      <c r="L8" s="149"/>
      <c r="M8" s="149"/>
      <c r="N8" s="151"/>
      <c r="O8" s="149"/>
      <c r="P8" s="149"/>
      <c r="Q8" s="152"/>
      <c r="R8" s="153">
        <f>G8</f>
        <v>3305922</v>
      </c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601" t="s">
        <v>678</v>
      </c>
      <c r="AF8" s="9"/>
      <c r="AG8" s="9"/>
      <c r="AH8" s="9"/>
      <c r="AI8" s="9"/>
      <c r="AJ8" s="9"/>
      <c r="AK8" s="2"/>
      <c r="AL8" s="9"/>
      <c r="AM8" s="9"/>
      <c r="AN8" s="9"/>
      <c r="AO8" s="9"/>
      <c r="AP8" s="9"/>
    </row>
    <row r="9" spans="1:42" s="1" customFormat="1" ht="15.75" customHeight="1">
      <c r="A9" s="1190"/>
      <c r="B9" s="1203" t="s">
        <v>34</v>
      </c>
      <c r="C9" s="49" t="s">
        <v>7</v>
      </c>
      <c r="D9" s="144"/>
      <c r="E9" s="53"/>
      <c r="F9" s="53"/>
      <c r="G9" s="51">
        <f>G10</f>
        <v>128423900</v>
      </c>
      <c r="H9" s="148"/>
      <c r="I9" s="148"/>
      <c r="J9" s="149"/>
      <c r="K9" s="148"/>
      <c r="L9" s="149"/>
      <c r="M9" s="149"/>
      <c r="N9" s="151"/>
      <c r="O9" s="149"/>
      <c r="P9" s="149"/>
      <c r="Q9" s="152"/>
      <c r="R9" s="153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601"/>
      <c r="AF9" s="9"/>
      <c r="AG9" s="9"/>
      <c r="AH9" s="9"/>
      <c r="AI9" s="9"/>
      <c r="AJ9" s="9"/>
      <c r="AK9" s="2"/>
      <c r="AL9" s="9"/>
      <c r="AM9" s="9"/>
      <c r="AN9" s="9"/>
      <c r="AO9" s="9"/>
      <c r="AP9" s="9"/>
    </row>
    <row r="10" spans="1:42" s="1" customFormat="1" ht="15.75" customHeight="1">
      <c r="A10" s="1190"/>
      <c r="B10" s="1204"/>
      <c r="C10" s="202" t="s">
        <v>34</v>
      </c>
      <c r="D10" s="144"/>
      <c r="E10" s="53"/>
      <c r="F10" s="53"/>
      <c r="G10" s="422">
        <f>ROUND(G20+G29+G38+G47+G56+G65+G74+G83+G92+G101+G111+G120,-1)</f>
        <v>128423900</v>
      </c>
      <c r="H10" s="154">
        <f>G10/12/51</f>
        <v>209842.97385620914</v>
      </c>
      <c r="I10" s="154" t="s">
        <v>400</v>
      </c>
      <c r="J10" s="149"/>
      <c r="K10" s="154"/>
      <c r="L10" s="149"/>
      <c r="M10" s="149"/>
      <c r="N10" s="151"/>
      <c r="O10" s="149"/>
      <c r="P10" s="149"/>
      <c r="Q10" s="152"/>
      <c r="R10" s="153">
        <f>G10</f>
        <v>128423900</v>
      </c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601" t="s">
        <v>604</v>
      </c>
      <c r="AF10" s="9"/>
      <c r="AG10" s="9"/>
      <c r="AH10" s="9"/>
      <c r="AI10" s="9"/>
      <c r="AJ10" s="9"/>
      <c r="AK10" s="2"/>
      <c r="AL10" s="9"/>
      <c r="AM10" s="9"/>
      <c r="AN10" s="9"/>
      <c r="AO10" s="9"/>
      <c r="AP10" s="9"/>
    </row>
    <row r="11" spans="1:42" s="1" customFormat="1" ht="15.75" customHeight="1">
      <c r="A11" s="1190"/>
      <c r="B11" s="1205" t="s">
        <v>139</v>
      </c>
      <c r="C11" s="49" t="s">
        <v>7</v>
      </c>
      <c r="D11" s="144"/>
      <c r="E11" s="53"/>
      <c r="F11" s="53"/>
      <c r="G11" s="422">
        <f>G12</f>
        <v>1547650</v>
      </c>
      <c r="H11" s="154"/>
      <c r="I11" s="154"/>
      <c r="J11" s="149"/>
      <c r="K11" s="154"/>
      <c r="L11" s="149"/>
      <c r="M11" s="149"/>
      <c r="N11" s="151"/>
      <c r="O11" s="149"/>
      <c r="P11" s="149"/>
      <c r="Q11" s="152"/>
      <c r="R11" s="153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601"/>
      <c r="AF11" s="9"/>
      <c r="AG11" s="9"/>
      <c r="AH11" s="9"/>
      <c r="AI11" s="9"/>
      <c r="AJ11" s="9"/>
      <c r="AK11" s="2"/>
      <c r="AL11" s="9"/>
      <c r="AM11" s="9"/>
      <c r="AN11" s="9"/>
      <c r="AO11" s="9"/>
      <c r="AP11" s="9"/>
    </row>
    <row r="12" spans="1:42" s="1" customFormat="1" ht="15.75" customHeight="1">
      <c r="A12" s="1190"/>
      <c r="B12" s="1206"/>
      <c r="C12" s="49" t="s">
        <v>139</v>
      </c>
      <c r="D12" s="144"/>
      <c r="E12" s="53"/>
      <c r="F12" s="53"/>
      <c r="G12" s="51">
        <f>G21+G30+G39+G48+G57+G66+G75+G84+G93+G103+G112+G121</f>
        <v>1547650</v>
      </c>
      <c r="H12" s="148">
        <v>30346</v>
      </c>
      <c r="I12" s="154" t="s">
        <v>400</v>
      </c>
      <c r="J12" s="149"/>
      <c r="K12" s="154"/>
      <c r="L12" s="149"/>
      <c r="M12" s="149"/>
      <c r="N12" s="151"/>
      <c r="O12" s="149"/>
      <c r="P12" s="149"/>
      <c r="Q12" s="152"/>
      <c r="R12" s="153">
        <f>G12</f>
        <v>1547650</v>
      </c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601" t="s">
        <v>605</v>
      </c>
      <c r="AF12" s="9"/>
      <c r="AG12" s="9"/>
      <c r="AH12" s="9"/>
      <c r="AI12" s="9"/>
      <c r="AJ12" s="9"/>
      <c r="AK12" s="2"/>
      <c r="AL12" s="9"/>
      <c r="AM12" s="9"/>
      <c r="AN12" s="9"/>
      <c r="AO12" s="9"/>
      <c r="AP12" s="9"/>
    </row>
    <row r="13" spans="1:42" s="1" customFormat="1" ht="15.75" customHeight="1">
      <c r="A13" s="1190"/>
      <c r="B13" s="49" t="s">
        <v>7</v>
      </c>
      <c r="C13" s="49" t="s">
        <v>7</v>
      </c>
      <c r="D13" s="144"/>
      <c r="E13" s="53"/>
      <c r="F13" s="53"/>
      <c r="G13" s="51">
        <f>G14+G15</f>
        <v>0</v>
      </c>
      <c r="H13" s="148"/>
      <c r="I13" s="148"/>
      <c r="J13" s="149"/>
      <c r="K13" s="148"/>
      <c r="L13" s="149"/>
      <c r="M13" s="149"/>
      <c r="N13" s="151"/>
      <c r="O13" s="149"/>
      <c r="P13" s="149"/>
      <c r="Q13" s="152"/>
      <c r="R13" s="153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601"/>
      <c r="AF13" s="9"/>
      <c r="AG13" s="9"/>
      <c r="AH13" s="9"/>
      <c r="AI13" s="9"/>
      <c r="AJ13" s="9"/>
      <c r="AK13" s="2"/>
      <c r="AL13" s="9"/>
      <c r="AM13" s="9"/>
      <c r="AN13" s="9"/>
      <c r="AO13" s="9"/>
      <c r="AP13" s="9"/>
    </row>
    <row r="14" spans="1:42" s="1" customFormat="1" ht="15.75" customHeight="1">
      <c r="A14" s="1190"/>
      <c r="B14" s="49" t="s">
        <v>26</v>
      </c>
      <c r="C14" s="49" t="s">
        <v>26</v>
      </c>
      <c r="D14" s="144"/>
      <c r="E14" s="53"/>
      <c r="F14" s="53"/>
      <c r="G14" s="51"/>
      <c r="H14" s="148">
        <f>G14/12/51</f>
        <v>0</v>
      </c>
      <c r="I14" s="148"/>
      <c r="J14" s="149"/>
      <c r="K14" s="148"/>
      <c r="L14" s="149"/>
      <c r="M14" s="149"/>
      <c r="N14" s="151"/>
      <c r="O14" s="149"/>
      <c r="P14" s="149"/>
      <c r="Q14" s="152"/>
      <c r="R14" s="153">
        <f>G14</f>
        <v>0</v>
      </c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601" t="s">
        <v>604</v>
      </c>
      <c r="AF14" s="9"/>
      <c r="AG14" s="9"/>
      <c r="AH14" s="9"/>
      <c r="AI14" s="9"/>
      <c r="AJ14" s="9"/>
      <c r="AK14" s="2"/>
      <c r="AL14" s="9"/>
      <c r="AM14" s="9"/>
      <c r="AN14" s="9"/>
      <c r="AO14" s="9"/>
      <c r="AP14" s="9"/>
    </row>
    <row r="15" spans="1:42" s="1" customFormat="1" ht="15.75" customHeight="1">
      <c r="A15" s="1202"/>
      <c r="B15" s="60"/>
      <c r="C15" s="60"/>
      <c r="D15" s="145"/>
      <c r="E15" s="59"/>
      <c r="F15" s="59"/>
      <c r="G15" s="146"/>
      <c r="H15" s="155"/>
      <c r="I15" s="155"/>
      <c r="J15" s="156"/>
      <c r="K15" s="155"/>
      <c r="L15" s="156"/>
      <c r="M15" s="156"/>
      <c r="N15" s="157"/>
      <c r="O15" s="156"/>
      <c r="P15" s="156"/>
      <c r="Q15" s="158"/>
      <c r="R15" s="159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602"/>
      <c r="AF15" s="9"/>
      <c r="AG15" s="9"/>
      <c r="AH15" s="9"/>
      <c r="AI15" s="9"/>
      <c r="AJ15" s="9"/>
      <c r="AK15" s="2"/>
      <c r="AL15" s="9"/>
      <c r="AM15" s="9"/>
      <c r="AN15" s="9"/>
      <c r="AO15" s="9"/>
      <c r="AP15" s="9"/>
    </row>
    <row r="16" spans="1:42" s="7" customFormat="1" ht="15.75" customHeight="1">
      <c r="A16" s="1190" t="s">
        <v>679</v>
      </c>
      <c r="B16" s="1193" t="s">
        <v>674</v>
      </c>
      <c r="C16" s="1194"/>
      <c r="D16" s="353"/>
      <c r="E16" s="102"/>
      <c r="F16" s="102"/>
      <c r="G16" s="352">
        <f>G17+G19+G22</f>
        <v>10450050</v>
      </c>
      <c r="H16" s="354"/>
      <c r="I16" s="354"/>
      <c r="J16" s="354"/>
      <c r="K16" s="354"/>
      <c r="L16" s="354"/>
      <c r="M16" s="354"/>
      <c r="N16" s="354"/>
      <c r="O16" s="354"/>
      <c r="P16" s="354"/>
      <c r="Q16" s="354"/>
      <c r="R16" s="355"/>
      <c r="S16" s="353"/>
      <c r="T16" s="353"/>
      <c r="U16" s="353"/>
      <c r="V16" s="353"/>
      <c r="W16" s="353"/>
      <c r="X16" s="353"/>
      <c r="Y16" s="353"/>
      <c r="Z16" s="353"/>
      <c r="AA16" s="353"/>
      <c r="AB16" s="353"/>
      <c r="AC16" s="353"/>
      <c r="AD16" s="353"/>
      <c r="AE16" s="603" t="s">
        <v>439</v>
      </c>
      <c r="AF16" s="13"/>
      <c r="AG16" s="13"/>
      <c r="AH16" s="13"/>
      <c r="AI16" s="13"/>
      <c r="AJ16" s="13"/>
      <c r="AL16" s="13"/>
      <c r="AM16" s="13"/>
      <c r="AN16" s="13"/>
      <c r="AO16" s="13"/>
      <c r="AP16" s="13"/>
    </row>
    <row r="17" spans="1:42" s="7" customFormat="1" ht="15.75" customHeight="1">
      <c r="A17" s="1190"/>
      <c r="B17" s="1185" t="s">
        <v>676</v>
      </c>
      <c r="C17" s="49" t="s">
        <v>674</v>
      </c>
      <c r="D17" s="143"/>
      <c r="E17" s="49"/>
      <c r="F17" s="49"/>
      <c r="G17" s="51">
        <f>G18</f>
        <v>0</v>
      </c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61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601"/>
      <c r="AF17" s="13"/>
      <c r="AG17" s="13"/>
      <c r="AH17" s="13"/>
      <c r="AI17" s="13"/>
      <c r="AJ17" s="13"/>
      <c r="AL17" s="13"/>
      <c r="AM17" s="13"/>
      <c r="AN17" s="13"/>
      <c r="AO17" s="13"/>
      <c r="AP17" s="13"/>
    </row>
    <row r="18" spans="1:42" s="1" customFormat="1" ht="15.75" customHeight="1">
      <c r="A18" s="1190"/>
      <c r="B18" s="1186"/>
      <c r="C18" s="49" t="s">
        <v>677</v>
      </c>
      <c r="D18" s="144"/>
      <c r="E18" s="53"/>
      <c r="F18" s="53"/>
      <c r="G18" s="51">
        <f>R18</f>
        <v>0</v>
      </c>
      <c r="H18" s="148"/>
      <c r="I18" s="148" t="s">
        <v>680</v>
      </c>
      <c r="J18" s="149" t="s">
        <v>681</v>
      </c>
      <c r="K18" s="148"/>
      <c r="L18" s="149" t="s">
        <v>682</v>
      </c>
      <c r="M18" s="149" t="s">
        <v>681</v>
      </c>
      <c r="N18" s="151"/>
      <c r="O18" s="149" t="s">
        <v>683</v>
      </c>
      <c r="P18" s="149" t="s">
        <v>684</v>
      </c>
      <c r="Q18" s="152"/>
      <c r="R18" s="153">
        <f>H18*K18*N18</f>
        <v>0</v>
      </c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601"/>
      <c r="AF18" s="9"/>
      <c r="AG18" s="9"/>
      <c r="AH18" s="9"/>
      <c r="AI18" s="9"/>
      <c r="AJ18" s="9"/>
      <c r="AK18" s="2"/>
      <c r="AL18" s="9"/>
      <c r="AM18" s="9"/>
      <c r="AN18" s="9"/>
      <c r="AO18" s="9"/>
      <c r="AP18" s="9"/>
    </row>
    <row r="19" spans="1:42" s="1" customFormat="1" ht="15.75" customHeight="1">
      <c r="A19" s="1190"/>
      <c r="B19" s="1185" t="s">
        <v>685</v>
      </c>
      <c r="C19" s="49" t="s">
        <v>674</v>
      </c>
      <c r="D19" s="144"/>
      <c r="E19" s="53"/>
      <c r="F19" s="53"/>
      <c r="G19" s="51">
        <f>SUM(G20:G21)</f>
        <v>10450050</v>
      </c>
      <c r="H19" s="148"/>
      <c r="I19" s="148"/>
      <c r="J19" s="149"/>
      <c r="K19" s="148"/>
      <c r="L19" s="149"/>
      <c r="M19" s="149"/>
      <c r="N19" s="151"/>
      <c r="O19" s="149"/>
      <c r="P19" s="149"/>
      <c r="Q19" s="152"/>
      <c r="R19" s="153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601"/>
      <c r="AF19" s="9"/>
      <c r="AG19" s="9"/>
      <c r="AH19" s="9"/>
      <c r="AI19" s="9"/>
      <c r="AJ19" s="9"/>
      <c r="AK19" s="2"/>
      <c r="AL19" s="9"/>
      <c r="AM19" s="9"/>
      <c r="AN19" s="9"/>
      <c r="AO19" s="9"/>
      <c r="AP19" s="9"/>
    </row>
    <row r="20" spans="1:42" s="1" customFormat="1" ht="24" customHeight="1">
      <c r="A20" s="1190"/>
      <c r="B20" s="1192"/>
      <c r="C20" s="689" t="s">
        <v>685</v>
      </c>
      <c r="D20" s="144"/>
      <c r="E20" s="53"/>
      <c r="F20" s="53"/>
      <c r="G20" s="422">
        <f>R20</f>
        <v>10450050</v>
      </c>
      <c r="H20" s="154">
        <v>204903</v>
      </c>
      <c r="I20" s="154" t="s">
        <v>680</v>
      </c>
      <c r="J20" s="149" t="s">
        <v>681</v>
      </c>
      <c r="K20" s="154">
        <v>51</v>
      </c>
      <c r="L20" s="149" t="s">
        <v>682</v>
      </c>
      <c r="M20" s="149" t="s">
        <v>37</v>
      </c>
      <c r="N20" s="151">
        <v>1</v>
      </c>
      <c r="O20" s="149" t="s">
        <v>668</v>
      </c>
      <c r="P20" s="149" t="s">
        <v>32</v>
      </c>
      <c r="Q20" s="152"/>
      <c r="R20" s="153">
        <f>ROUND(H20*K20*N20,-1)</f>
        <v>10450050</v>
      </c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601"/>
      <c r="AF20" s="9"/>
      <c r="AG20" s="9"/>
      <c r="AH20" s="9"/>
      <c r="AI20" s="9"/>
      <c r="AJ20" s="9"/>
      <c r="AK20" s="2"/>
      <c r="AL20" s="9"/>
      <c r="AM20" s="9"/>
      <c r="AN20" s="9"/>
      <c r="AO20" s="9"/>
      <c r="AP20" s="9"/>
    </row>
    <row r="21" spans="1:42" s="1" customFormat="1" ht="15.75" customHeight="1">
      <c r="A21" s="1190"/>
      <c r="B21" s="1186"/>
      <c r="C21" s="49" t="s">
        <v>686</v>
      </c>
      <c r="D21" s="144"/>
      <c r="E21" s="53"/>
      <c r="F21" s="53"/>
      <c r="G21" s="51"/>
      <c r="H21" s="148"/>
      <c r="I21" s="148"/>
      <c r="J21" s="149"/>
      <c r="K21" s="148"/>
      <c r="L21" s="149"/>
      <c r="M21" s="149"/>
      <c r="N21" s="151"/>
      <c r="O21" s="149"/>
      <c r="P21" s="149"/>
      <c r="Q21" s="152"/>
      <c r="R21" s="153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601"/>
      <c r="AF21" s="9"/>
      <c r="AG21" s="9"/>
      <c r="AH21" s="9"/>
      <c r="AI21" s="9"/>
      <c r="AJ21" s="9"/>
      <c r="AK21" s="2"/>
      <c r="AL21" s="9"/>
      <c r="AM21" s="9"/>
      <c r="AN21" s="9"/>
      <c r="AO21" s="9"/>
      <c r="AP21" s="9"/>
    </row>
    <row r="22" spans="1:42" s="1" customFormat="1" ht="15.75" hidden="1" customHeight="1">
      <c r="A22" s="1190"/>
      <c r="B22" s="1185" t="s">
        <v>26</v>
      </c>
      <c r="C22" s="49" t="s">
        <v>674</v>
      </c>
      <c r="D22" s="144"/>
      <c r="E22" s="53"/>
      <c r="F22" s="53"/>
      <c r="G22" s="51">
        <f>SUM(G23:G24)</f>
        <v>0</v>
      </c>
      <c r="H22" s="148"/>
      <c r="I22" s="148"/>
      <c r="J22" s="149"/>
      <c r="K22" s="148"/>
      <c r="L22" s="149"/>
      <c r="M22" s="149"/>
      <c r="N22" s="151"/>
      <c r="O22" s="149"/>
      <c r="P22" s="149"/>
      <c r="Q22" s="152"/>
      <c r="R22" s="153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601"/>
      <c r="AF22" s="9"/>
      <c r="AG22" s="9"/>
      <c r="AH22" s="9"/>
      <c r="AI22" s="9"/>
      <c r="AJ22" s="9"/>
      <c r="AK22" s="2"/>
      <c r="AL22" s="9"/>
      <c r="AM22" s="9"/>
      <c r="AN22" s="9"/>
      <c r="AO22" s="9"/>
      <c r="AP22" s="9"/>
    </row>
    <row r="23" spans="1:42" s="1" customFormat="1" ht="15.75" hidden="1" customHeight="1">
      <c r="A23" s="1190"/>
      <c r="B23" s="1192"/>
      <c r="C23" s="49" t="s">
        <v>26</v>
      </c>
      <c r="D23" s="144"/>
      <c r="E23" s="53"/>
      <c r="F23" s="53"/>
      <c r="G23" s="51">
        <f>R23</f>
        <v>0</v>
      </c>
      <c r="H23" s="148"/>
      <c r="I23" s="148" t="s">
        <v>680</v>
      </c>
      <c r="J23" s="149" t="s">
        <v>37</v>
      </c>
      <c r="K23" s="148">
        <v>51</v>
      </c>
      <c r="L23" s="149" t="s">
        <v>682</v>
      </c>
      <c r="M23" s="149" t="s">
        <v>37</v>
      </c>
      <c r="N23" s="151">
        <v>1</v>
      </c>
      <c r="O23" s="149" t="s">
        <v>687</v>
      </c>
      <c r="P23" s="149" t="s">
        <v>32</v>
      </c>
      <c r="Q23" s="152"/>
      <c r="R23" s="153">
        <f>ROUND(H23*K23*N23,-1)</f>
        <v>0</v>
      </c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601"/>
      <c r="AF23" s="9"/>
      <c r="AG23" s="9"/>
      <c r="AH23" s="9"/>
      <c r="AI23" s="9"/>
      <c r="AJ23" s="9"/>
      <c r="AK23" s="2"/>
      <c r="AL23" s="9"/>
      <c r="AM23" s="9"/>
      <c r="AN23" s="9"/>
      <c r="AO23" s="9"/>
      <c r="AP23" s="9"/>
    </row>
    <row r="24" spans="1:42" s="1" customFormat="1" ht="15.75" hidden="1" customHeight="1">
      <c r="A24" s="1191"/>
      <c r="B24" s="1186"/>
      <c r="C24" s="49" t="s">
        <v>688</v>
      </c>
      <c r="D24" s="144"/>
      <c r="E24" s="53"/>
      <c r="F24" s="53"/>
      <c r="G24" s="51">
        <f>R24</f>
        <v>0</v>
      </c>
      <c r="H24" s="148"/>
      <c r="I24" s="148" t="s">
        <v>36</v>
      </c>
      <c r="J24" s="149" t="s">
        <v>681</v>
      </c>
      <c r="K24" s="148"/>
      <c r="L24" s="149" t="s">
        <v>38</v>
      </c>
      <c r="M24" s="149" t="s">
        <v>681</v>
      </c>
      <c r="N24" s="151"/>
      <c r="O24" s="149" t="s">
        <v>613</v>
      </c>
      <c r="P24" s="149" t="s">
        <v>684</v>
      </c>
      <c r="Q24" s="152"/>
      <c r="R24" s="153">
        <f>H24*K24*N24</f>
        <v>0</v>
      </c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601"/>
      <c r="AF24" s="9"/>
      <c r="AG24" s="9"/>
      <c r="AH24" s="9"/>
      <c r="AI24" s="9"/>
      <c r="AJ24" s="9"/>
      <c r="AK24" s="2"/>
      <c r="AL24" s="9"/>
      <c r="AM24" s="9"/>
      <c r="AN24" s="9"/>
      <c r="AO24" s="9"/>
      <c r="AP24" s="9"/>
    </row>
    <row r="25" spans="1:42" s="7" customFormat="1" ht="15.75" customHeight="1">
      <c r="A25" s="1187" t="s">
        <v>325</v>
      </c>
      <c r="B25" s="1183" t="s">
        <v>674</v>
      </c>
      <c r="C25" s="1184"/>
      <c r="D25" s="353"/>
      <c r="E25" s="102"/>
      <c r="F25" s="102"/>
      <c r="G25" s="352">
        <f>G26+G28+G31</f>
        <v>11980050</v>
      </c>
      <c r="H25" s="354"/>
      <c r="I25" s="354"/>
      <c r="J25" s="354"/>
      <c r="K25" s="354"/>
      <c r="L25" s="354"/>
      <c r="M25" s="354"/>
      <c r="N25" s="354"/>
      <c r="O25" s="354"/>
      <c r="P25" s="354"/>
      <c r="Q25" s="354"/>
      <c r="R25" s="355"/>
      <c r="S25" s="353"/>
      <c r="T25" s="353"/>
      <c r="U25" s="353"/>
      <c r="V25" s="353"/>
      <c r="W25" s="353"/>
      <c r="X25" s="353"/>
      <c r="Y25" s="353"/>
      <c r="Z25" s="353"/>
      <c r="AA25" s="353"/>
      <c r="AB25" s="353"/>
      <c r="AC25" s="353"/>
      <c r="AD25" s="353"/>
      <c r="AE25" s="603" t="s">
        <v>439</v>
      </c>
      <c r="AF25" s="13"/>
      <c r="AG25" s="13"/>
      <c r="AH25" s="13"/>
      <c r="AI25" s="13"/>
      <c r="AJ25" s="13"/>
      <c r="AL25" s="13"/>
      <c r="AM25" s="13"/>
      <c r="AN25" s="13"/>
      <c r="AO25" s="13"/>
      <c r="AP25" s="13"/>
    </row>
    <row r="26" spans="1:42" s="7" customFormat="1" ht="15.75" customHeight="1">
      <c r="A26" s="1190"/>
      <c r="B26" s="1185" t="s">
        <v>676</v>
      </c>
      <c r="C26" s="49" t="s">
        <v>7</v>
      </c>
      <c r="D26" s="143"/>
      <c r="E26" s="49"/>
      <c r="F26" s="49"/>
      <c r="G26" s="51">
        <f>G27</f>
        <v>1530000</v>
      </c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61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  <c r="AD26" s="143"/>
      <c r="AE26" s="601"/>
      <c r="AF26" s="13"/>
      <c r="AG26" s="13"/>
      <c r="AH26" s="13"/>
      <c r="AI26" s="13"/>
      <c r="AJ26" s="13"/>
      <c r="AL26" s="13"/>
      <c r="AM26" s="13"/>
      <c r="AN26" s="13"/>
      <c r="AO26" s="13"/>
      <c r="AP26" s="13"/>
    </row>
    <row r="27" spans="1:42" s="1" customFormat="1" ht="15.75" customHeight="1">
      <c r="A27" s="1190"/>
      <c r="B27" s="1186"/>
      <c r="C27" s="49" t="s">
        <v>677</v>
      </c>
      <c r="D27" s="144"/>
      <c r="E27" s="53"/>
      <c r="F27" s="53"/>
      <c r="G27" s="51">
        <f>R27</f>
        <v>1530000</v>
      </c>
      <c r="H27" s="148">
        <v>30000</v>
      </c>
      <c r="I27" s="148" t="s">
        <v>36</v>
      </c>
      <c r="J27" s="149" t="s">
        <v>681</v>
      </c>
      <c r="K27" s="148">
        <v>51</v>
      </c>
      <c r="L27" s="149" t="s">
        <v>38</v>
      </c>
      <c r="M27" s="149" t="s">
        <v>681</v>
      </c>
      <c r="N27" s="151">
        <v>1</v>
      </c>
      <c r="O27" s="149" t="s">
        <v>39</v>
      </c>
      <c r="P27" s="149" t="s">
        <v>684</v>
      </c>
      <c r="Q27" s="152"/>
      <c r="R27" s="153">
        <f>H27*K27*N27</f>
        <v>1530000</v>
      </c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601" t="s">
        <v>614</v>
      </c>
      <c r="AF27" s="9"/>
      <c r="AG27" s="9"/>
      <c r="AH27" s="9"/>
      <c r="AI27" s="9"/>
      <c r="AJ27" s="9"/>
      <c r="AK27" s="2"/>
      <c r="AL27" s="9"/>
      <c r="AM27" s="9"/>
      <c r="AN27" s="9"/>
      <c r="AO27" s="9"/>
      <c r="AP27" s="9"/>
    </row>
    <row r="28" spans="1:42" s="1" customFormat="1" ht="15.75" customHeight="1">
      <c r="A28" s="1190"/>
      <c r="B28" s="1185" t="s">
        <v>685</v>
      </c>
      <c r="C28" s="49" t="s">
        <v>7</v>
      </c>
      <c r="D28" s="144"/>
      <c r="E28" s="53"/>
      <c r="F28" s="53"/>
      <c r="G28" s="51">
        <f>SUM(G29:G30)</f>
        <v>10450050</v>
      </c>
      <c r="H28" s="148"/>
      <c r="I28" s="148"/>
      <c r="J28" s="149"/>
      <c r="K28" s="148"/>
      <c r="L28" s="149"/>
      <c r="M28" s="149"/>
      <c r="N28" s="151"/>
      <c r="O28" s="149"/>
      <c r="P28" s="149"/>
      <c r="Q28" s="152"/>
      <c r="R28" s="153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601"/>
      <c r="AF28" s="9"/>
      <c r="AG28" s="9"/>
      <c r="AH28" s="9"/>
      <c r="AI28" s="9"/>
      <c r="AJ28" s="9"/>
      <c r="AK28" s="2"/>
      <c r="AL28" s="9"/>
      <c r="AM28" s="9"/>
      <c r="AN28" s="9"/>
      <c r="AO28" s="9"/>
      <c r="AP28" s="9"/>
    </row>
    <row r="29" spans="1:42" s="1" customFormat="1" ht="21.75" customHeight="1">
      <c r="A29" s="1190"/>
      <c r="B29" s="1192"/>
      <c r="C29" s="689" t="s">
        <v>685</v>
      </c>
      <c r="D29" s="144"/>
      <c r="E29" s="53"/>
      <c r="F29" s="53"/>
      <c r="G29" s="422">
        <f>R29</f>
        <v>10450050</v>
      </c>
      <c r="H29" s="154">
        <f>H20</f>
        <v>204903</v>
      </c>
      <c r="I29" s="154" t="s">
        <v>36</v>
      </c>
      <c r="J29" s="149" t="s">
        <v>681</v>
      </c>
      <c r="K29" s="154">
        <v>51</v>
      </c>
      <c r="L29" s="149" t="s">
        <v>38</v>
      </c>
      <c r="M29" s="149" t="s">
        <v>681</v>
      </c>
      <c r="N29" s="151">
        <v>1</v>
      </c>
      <c r="O29" s="149" t="s">
        <v>603</v>
      </c>
      <c r="P29" s="149" t="s">
        <v>684</v>
      </c>
      <c r="Q29" s="152"/>
      <c r="R29" s="153">
        <f>ROUND(H29*K29*N29,-1)</f>
        <v>10450050</v>
      </c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601"/>
      <c r="AF29" s="9"/>
      <c r="AG29" s="9"/>
      <c r="AH29" s="9"/>
      <c r="AI29" s="9"/>
      <c r="AJ29" s="9"/>
      <c r="AK29" s="2"/>
      <c r="AL29" s="9"/>
      <c r="AM29" s="9"/>
      <c r="AN29" s="9"/>
      <c r="AO29" s="9"/>
      <c r="AP29" s="9"/>
    </row>
    <row r="30" spans="1:42" s="1" customFormat="1" ht="15.75" customHeight="1">
      <c r="A30" s="1190"/>
      <c r="B30" s="1186"/>
      <c r="C30" s="49" t="s">
        <v>139</v>
      </c>
      <c r="D30" s="144"/>
      <c r="E30" s="53"/>
      <c r="F30" s="53"/>
      <c r="G30" s="51"/>
      <c r="H30" s="148"/>
      <c r="I30" s="148"/>
      <c r="J30" s="149"/>
      <c r="K30" s="148"/>
      <c r="L30" s="149"/>
      <c r="M30" s="149"/>
      <c r="N30" s="151"/>
      <c r="O30" s="149"/>
      <c r="P30" s="149"/>
      <c r="Q30" s="152"/>
      <c r="R30" s="153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601"/>
      <c r="AF30" s="9"/>
      <c r="AG30" s="9"/>
      <c r="AH30" s="9"/>
      <c r="AI30" s="9"/>
      <c r="AJ30" s="9"/>
      <c r="AK30" s="2"/>
      <c r="AL30" s="9"/>
      <c r="AM30" s="9"/>
      <c r="AN30" s="9"/>
      <c r="AO30" s="9"/>
      <c r="AP30" s="9"/>
    </row>
    <row r="31" spans="1:42" s="1" customFormat="1" ht="15.75" hidden="1" customHeight="1">
      <c r="A31" s="1190"/>
      <c r="B31" s="1185" t="s">
        <v>689</v>
      </c>
      <c r="C31" s="49" t="s">
        <v>7</v>
      </c>
      <c r="D31" s="144"/>
      <c r="E31" s="53"/>
      <c r="F31" s="53"/>
      <c r="G31" s="51">
        <f>SUM(G32:G33)</f>
        <v>0</v>
      </c>
      <c r="H31" s="148"/>
      <c r="I31" s="148"/>
      <c r="J31" s="149"/>
      <c r="K31" s="148"/>
      <c r="L31" s="149"/>
      <c r="M31" s="149"/>
      <c r="N31" s="151"/>
      <c r="O31" s="149"/>
      <c r="P31" s="149"/>
      <c r="Q31" s="152"/>
      <c r="R31" s="153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601"/>
      <c r="AF31" s="9"/>
      <c r="AG31" s="9"/>
      <c r="AH31" s="9"/>
      <c r="AI31" s="9"/>
      <c r="AJ31" s="9"/>
      <c r="AK31" s="2"/>
      <c r="AL31" s="9"/>
      <c r="AM31" s="9"/>
      <c r="AN31" s="9"/>
      <c r="AO31" s="9"/>
      <c r="AP31" s="9"/>
    </row>
    <row r="32" spans="1:42" s="1" customFormat="1" ht="15.75" hidden="1" customHeight="1">
      <c r="A32" s="1190"/>
      <c r="B32" s="1192"/>
      <c r="C32" s="49" t="s">
        <v>689</v>
      </c>
      <c r="D32" s="144"/>
      <c r="E32" s="53"/>
      <c r="F32" s="53"/>
      <c r="G32" s="51">
        <f>R32</f>
        <v>0</v>
      </c>
      <c r="H32" s="148">
        <f>H23</f>
        <v>0</v>
      </c>
      <c r="I32" s="148" t="s">
        <v>36</v>
      </c>
      <c r="J32" s="149" t="s">
        <v>681</v>
      </c>
      <c r="K32" s="148">
        <v>51</v>
      </c>
      <c r="L32" s="149" t="s">
        <v>38</v>
      </c>
      <c r="M32" s="149" t="s">
        <v>681</v>
      </c>
      <c r="N32" s="151">
        <v>1</v>
      </c>
      <c r="O32" s="149" t="s">
        <v>612</v>
      </c>
      <c r="P32" s="149" t="s">
        <v>684</v>
      </c>
      <c r="Q32" s="152"/>
      <c r="R32" s="153">
        <f>ROUND(H32*K32*N32,-1)</f>
        <v>0</v>
      </c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601"/>
      <c r="AF32" s="9"/>
      <c r="AG32" s="9"/>
      <c r="AH32" s="9"/>
      <c r="AI32" s="9"/>
      <c r="AJ32" s="9"/>
      <c r="AK32" s="2"/>
      <c r="AL32" s="9"/>
      <c r="AM32" s="9"/>
      <c r="AN32" s="9"/>
      <c r="AO32" s="9"/>
      <c r="AP32" s="9"/>
    </row>
    <row r="33" spans="1:42" s="1" customFormat="1" ht="15.75" hidden="1" customHeight="1">
      <c r="A33" s="1191"/>
      <c r="B33" s="1186"/>
      <c r="C33" s="49" t="s">
        <v>142</v>
      </c>
      <c r="D33" s="144"/>
      <c r="E33" s="53"/>
      <c r="F33" s="53"/>
      <c r="G33" s="51">
        <f>R33</f>
        <v>0</v>
      </c>
      <c r="H33" s="148"/>
      <c r="I33" s="148" t="s">
        <v>680</v>
      </c>
      <c r="J33" s="149" t="s">
        <v>37</v>
      </c>
      <c r="K33" s="148"/>
      <c r="L33" s="149" t="s">
        <v>682</v>
      </c>
      <c r="M33" s="149" t="s">
        <v>37</v>
      </c>
      <c r="N33" s="151"/>
      <c r="O33" s="149" t="s">
        <v>690</v>
      </c>
      <c r="P33" s="149" t="s">
        <v>32</v>
      </c>
      <c r="Q33" s="152"/>
      <c r="R33" s="153">
        <f>H33*K33*N33</f>
        <v>0</v>
      </c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601"/>
      <c r="AF33" s="9"/>
      <c r="AG33" s="9"/>
      <c r="AH33" s="9"/>
      <c r="AI33" s="9"/>
      <c r="AJ33" s="9"/>
      <c r="AK33" s="2"/>
      <c r="AL33" s="9"/>
      <c r="AM33" s="9"/>
      <c r="AN33" s="9"/>
      <c r="AO33" s="9"/>
      <c r="AP33" s="9"/>
    </row>
    <row r="34" spans="1:42" s="7" customFormat="1" ht="15.75" customHeight="1">
      <c r="A34" s="1187" t="s">
        <v>691</v>
      </c>
      <c r="B34" s="1183" t="s">
        <v>7</v>
      </c>
      <c r="C34" s="1184"/>
      <c r="D34" s="353"/>
      <c r="E34" s="102"/>
      <c r="F34" s="102"/>
      <c r="G34" s="352">
        <f>G35+G37+G40</f>
        <v>10450050</v>
      </c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5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603" t="s">
        <v>675</v>
      </c>
      <c r="AF34" s="13"/>
      <c r="AG34" s="13"/>
      <c r="AH34" s="13"/>
      <c r="AI34" s="13"/>
      <c r="AJ34" s="13"/>
      <c r="AL34" s="13"/>
      <c r="AM34" s="13"/>
      <c r="AN34" s="13"/>
      <c r="AO34" s="13"/>
      <c r="AP34" s="13"/>
    </row>
    <row r="35" spans="1:42" s="7" customFormat="1" ht="15.75" customHeight="1">
      <c r="A35" s="1190"/>
      <c r="B35" s="1185" t="s">
        <v>676</v>
      </c>
      <c r="C35" s="49" t="s">
        <v>674</v>
      </c>
      <c r="D35" s="143"/>
      <c r="E35" s="49"/>
      <c r="F35" s="49"/>
      <c r="G35" s="51">
        <f>G36</f>
        <v>0</v>
      </c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61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143"/>
      <c r="AE35" s="601"/>
      <c r="AF35" s="13"/>
      <c r="AG35" s="13"/>
      <c r="AH35" s="13"/>
      <c r="AI35" s="13"/>
      <c r="AJ35" s="13"/>
      <c r="AL35" s="13"/>
      <c r="AM35" s="13"/>
      <c r="AN35" s="13"/>
      <c r="AO35" s="13"/>
      <c r="AP35" s="13"/>
    </row>
    <row r="36" spans="1:42" s="1" customFormat="1" ht="15.75" customHeight="1">
      <c r="A36" s="1190"/>
      <c r="B36" s="1186"/>
      <c r="C36" s="49" t="s">
        <v>677</v>
      </c>
      <c r="D36" s="144"/>
      <c r="E36" s="53"/>
      <c r="F36" s="53"/>
      <c r="G36" s="51">
        <f>R36</f>
        <v>0</v>
      </c>
      <c r="H36" s="148"/>
      <c r="I36" s="148" t="s">
        <v>680</v>
      </c>
      <c r="J36" s="149" t="s">
        <v>681</v>
      </c>
      <c r="K36" s="148"/>
      <c r="L36" s="149" t="s">
        <v>682</v>
      </c>
      <c r="M36" s="149" t="s">
        <v>681</v>
      </c>
      <c r="N36" s="151"/>
      <c r="O36" s="149" t="s">
        <v>683</v>
      </c>
      <c r="P36" s="149" t="s">
        <v>684</v>
      </c>
      <c r="Q36" s="152"/>
      <c r="R36" s="153">
        <f>H36*K36*N36</f>
        <v>0</v>
      </c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601"/>
      <c r="AF36" s="9"/>
      <c r="AG36" s="9"/>
      <c r="AH36" s="9"/>
      <c r="AI36" s="9"/>
      <c r="AJ36" s="9"/>
      <c r="AK36" s="2"/>
      <c r="AL36" s="9"/>
      <c r="AM36" s="9"/>
      <c r="AN36" s="9"/>
      <c r="AO36" s="9"/>
      <c r="AP36" s="9"/>
    </row>
    <row r="37" spans="1:42" s="1" customFormat="1" ht="15.75" customHeight="1">
      <c r="A37" s="1190"/>
      <c r="B37" s="1185" t="s">
        <v>685</v>
      </c>
      <c r="C37" s="49" t="s">
        <v>674</v>
      </c>
      <c r="D37" s="144"/>
      <c r="E37" s="53"/>
      <c r="F37" s="53"/>
      <c r="G37" s="51">
        <f>SUM(G38:G39)</f>
        <v>10450050</v>
      </c>
      <c r="H37" s="148"/>
      <c r="I37" s="148"/>
      <c r="J37" s="149"/>
      <c r="K37" s="148"/>
      <c r="L37" s="149"/>
      <c r="M37" s="149"/>
      <c r="N37" s="151"/>
      <c r="O37" s="149"/>
      <c r="P37" s="149"/>
      <c r="Q37" s="152"/>
      <c r="R37" s="153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601"/>
      <c r="AF37" s="9"/>
      <c r="AG37" s="9"/>
      <c r="AH37" s="9"/>
      <c r="AI37" s="9"/>
      <c r="AJ37" s="9"/>
      <c r="AK37" s="2"/>
      <c r="AL37" s="9"/>
      <c r="AM37" s="9"/>
      <c r="AN37" s="9"/>
      <c r="AO37" s="9"/>
      <c r="AP37" s="9"/>
    </row>
    <row r="38" spans="1:42" s="1" customFormat="1" ht="21.75" customHeight="1">
      <c r="A38" s="1190"/>
      <c r="B38" s="1192"/>
      <c r="C38" s="689" t="s">
        <v>685</v>
      </c>
      <c r="D38" s="144"/>
      <c r="E38" s="53"/>
      <c r="F38" s="53"/>
      <c r="G38" s="422">
        <f>R38</f>
        <v>10450050</v>
      </c>
      <c r="H38" s="154">
        <f>H29</f>
        <v>204903</v>
      </c>
      <c r="I38" s="154" t="s">
        <v>680</v>
      </c>
      <c r="J38" s="149" t="s">
        <v>681</v>
      </c>
      <c r="K38" s="154">
        <v>51</v>
      </c>
      <c r="L38" s="149" t="s">
        <v>682</v>
      </c>
      <c r="M38" s="149" t="s">
        <v>681</v>
      </c>
      <c r="N38" s="151">
        <v>1</v>
      </c>
      <c r="O38" s="149" t="s">
        <v>668</v>
      </c>
      <c r="P38" s="149" t="s">
        <v>684</v>
      </c>
      <c r="Q38" s="152"/>
      <c r="R38" s="153">
        <f>ROUND(H38*K38*N38,-1)</f>
        <v>10450050</v>
      </c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601"/>
      <c r="AF38" s="9"/>
      <c r="AG38" s="9"/>
      <c r="AH38" s="9"/>
      <c r="AI38" s="9"/>
      <c r="AJ38" s="9"/>
      <c r="AK38" s="2"/>
      <c r="AL38" s="9"/>
      <c r="AM38" s="9"/>
      <c r="AN38" s="9"/>
      <c r="AO38" s="9"/>
      <c r="AP38" s="9"/>
    </row>
    <row r="39" spans="1:42" s="1" customFormat="1" ht="15.75" customHeight="1">
      <c r="A39" s="1190"/>
      <c r="B39" s="1186"/>
      <c r="C39" s="49" t="s">
        <v>686</v>
      </c>
      <c r="D39" s="144"/>
      <c r="E39" s="53"/>
      <c r="F39" s="53"/>
      <c r="G39" s="51"/>
      <c r="H39" s="148"/>
      <c r="I39" s="148"/>
      <c r="J39" s="149"/>
      <c r="K39" s="148"/>
      <c r="L39" s="149"/>
      <c r="M39" s="149"/>
      <c r="N39" s="151"/>
      <c r="O39" s="149"/>
      <c r="P39" s="149"/>
      <c r="Q39" s="152"/>
      <c r="R39" s="153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601"/>
      <c r="AF39" s="9"/>
      <c r="AG39" s="9"/>
      <c r="AH39" s="9"/>
      <c r="AI39" s="9"/>
      <c r="AJ39" s="9"/>
      <c r="AK39" s="2"/>
      <c r="AL39" s="9"/>
      <c r="AM39" s="9"/>
      <c r="AN39" s="9"/>
      <c r="AO39" s="9"/>
      <c r="AP39" s="9"/>
    </row>
    <row r="40" spans="1:42" s="1" customFormat="1" ht="15.75" hidden="1" customHeight="1">
      <c r="A40" s="1190"/>
      <c r="B40" s="1185" t="s">
        <v>689</v>
      </c>
      <c r="C40" s="49" t="s">
        <v>674</v>
      </c>
      <c r="D40" s="144"/>
      <c r="E40" s="53"/>
      <c r="F40" s="53"/>
      <c r="G40" s="51">
        <f>SUM(G41:G42)</f>
        <v>0</v>
      </c>
      <c r="H40" s="148"/>
      <c r="I40" s="148"/>
      <c r="J40" s="149"/>
      <c r="K40" s="148"/>
      <c r="L40" s="149"/>
      <c r="M40" s="149"/>
      <c r="N40" s="151"/>
      <c r="O40" s="149"/>
      <c r="P40" s="149"/>
      <c r="Q40" s="152"/>
      <c r="R40" s="153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601"/>
      <c r="AF40" s="9"/>
      <c r="AG40" s="9"/>
      <c r="AH40" s="9"/>
      <c r="AI40" s="9"/>
      <c r="AJ40" s="9"/>
      <c r="AK40" s="2"/>
      <c r="AL40" s="9"/>
      <c r="AM40" s="9"/>
      <c r="AN40" s="9"/>
      <c r="AO40" s="9"/>
      <c r="AP40" s="9"/>
    </row>
    <row r="41" spans="1:42" s="1" customFormat="1" ht="15.75" hidden="1" customHeight="1">
      <c r="A41" s="1190"/>
      <c r="B41" s="1192"/>
      <c r="C41" s="49" t="s">
        <v>689</v>
      </c>
      <c r="D41" s="144"/>
      <c r="E41" s="53"/>
      <c r="F41" s="53"/>
      <c r="G41" s="51">
        <f>R41</f>
        <v>0</v>
      </c>
      <c r="H41" s="148">
        <f>H32</f>
        <v>0</v>
      </c>
      <c r="I41" s="148" t="s">
        <v>680</v>
      </c>
      <c r="J41" s="149" t="s">
        <v>681</v>
      </c>
      <c r="K41" s="148">
        <v>51</v>
      </c>
      <c r="L41" s="149" t="s">
        <v>682</v>
      </c>
      <c r="M41" s="149" t="s">
        <v>681</v>
      </c>
      <c r="N41" s="151">
        <v>1</v>
      </c>
      <c r="O41" s="149" t="s">
        <v>687</v>
      </c>
      <c r="P41" s="149" t="s">
        <v>684</v>
      </c>
      <c r="Q41" s="152"/>
      <c r="R41" s="153">
        <f>ROUND(H41*K41*N41,-1)</f>
        <v>0</v>
      </c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601"/>
      <c r="AF41" s="9"/>
      <c r="AG41" s="9"/>
      <c r="AH41" s="9"/>
      <c r="AI41" s="9"/>
      <c r="AJ41" s="9"/>
      <c r="AK41" s="2"/>
      <c r="AL41" s="9"/>
      <c r="AM41" s="9"/>
      <c r="AN41" s="9"/>
      <c r="AO41" s="9"/>
      <c r="AP41" s="9"/>
    </row>
    <row r="42" spans="1:42" s="1" customFormat="1" ht="15.75" hidden="1" customHeight="1">
      <c r="A42" s="1191"/>
      <c r="B42" s="1186"/>
      <c r="C42" s="49" t="s">
        <v>688</v>
      </c>
      <c r="D42" s="144"/>
      <c r="E42" s="53"/>
      <c r="F42" s="53"/>
      <c r="G42" s="51">
        <f>R42</f>
        <v>0</v>
      </c>
      <c r="H42" s="148"/>
      <c r="I42" s="148" t="s">
        <v>680</v>
      </c>
      <c r="J42" s="149" t="s">
        <v>681</v>
      </c>
      <c r="K42" s="148"/>
      <c r="L42" s="149" t="s">
        <v>682</v>
      </c>
      <c r="M42" s="149" t="s">
        <v>681</v>
      </c>
      <c r="N42" s="151"/>
      <c r="O42" s="149" t="s">
        <v>690</v>
      </c>
      <c r="P42" s="149" t="s">
        <v>684</v>
      </c>
      <c r="Q42" s="152"/>
      <c r="R42" s="153">
        <f>H42*K42*N42</f>
        <v>0</v>
      </c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601"/>
      <c r="AF42" s="9"/>
      <c r="AG42" s="9"/>
      <c r="AH42" s="9"/>
      <c r="AI42" s="9"/>
      <c r="AJ42" s="9"/>
      <c r="AK42" s="2"/>
      <c r="AL42" s="9"/>
      <c r="AM42" s="9"/>
      <c r="AN42" s="9"/>
      <c r="AO42" s="9"/>
      <c r="AP42" s="9"/>
    </row>
    <row r="43" spans="1:42" s="7" customFormat="1" ht="15.75" customHeight="1">
      <c r="A43" s="1187" t="s">
        <v>692</v>
      </c>
      <c r="B43" s="1183" t="s">
        <v>674</v>
      </c>
      <c r="C43" s="1184"/>
      <c r="D43" s="353"/>
      <c r="E43" s="102"/>
      <c r="F43" s="102"/>
      <c r="G43" s="352">
        <f>G44+G46+G49</f>
        <v>10450050</v>
      </c>
      <c r="H43" s="354"/>
      <c r="I43" s="354"/>
      <c r="J43" s="354"/>
      <c r="K43" s="354"/>
      <c r="L43" s="354"/>
      <c r="M43" s="354"/>
      <c r="N43" s="354"/>
      <c r="O43" s="354"/>
      <c r="P43" s="354"/>
      <c r="Q43" s="354"/>
      <c r="R43" s="355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3"/>
      <c r="AE43" s="603" t="s">
        <v>675</v>
      </c>
      <c r="AF43" s="13"/>
      <c r="AG43" s="13"/>
      <c r="AH43" s="13"/>
      <c r="AI43" s="13"/>
      <c r="AJ43" s="13"/>
      <c r="AL43" s="13"/>
      <c r="AM43" s="13"/>
      <c r="AN43" s="13"/>
      <c r="AO43" s="13"/>
      <c r="AP43" s="13"/>
    </row>
    <row r="44" spans="1:42" s="7" customFormat="1" ht="15.75" customHeight="1">
      <c r="A44" s="1188"/>
      <c r="B44" s="1185" t="s">
        <v>676</v>
      </c>
      <c r="C44" s="49" t="s">
        <v>674</v>
      </c>
      <c r="D44" s="143"/>
      <c r="E44" s="49"/>
      <c r="F44" s="49"/>
      <c r="G44" s="51">
        <f>G45</f>
        <v>0</v>
      </c>
      <c r="H44" s="147"/>
      <c r="I44" s="147"/>
      <c r="J44" s="147"/>
      <c r="K44" s="147"/>
      <c r="L44" s="147"/>
      <c r="M44" s="147"/>
      <c r="N44" s="147"/>
      <c r="O44" s="147"/>
      <c r="P44" s="147"/>
      <c r="Q44" s="147"/>
      <c r="R44" s="61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601"/>
      <c r="AF44" s="13"/>
      <c r="AG44" s="13"/>
      <c r="AH44" s="13"/>
      <c r="AI44" s="13"/>
      <c r="AJ44" s="13"/>
      <c r="AL44" s="13"/>
      <c r="AM44" s="13"/>
      <c r="AN44" s="13"/>
      <c r="AO44" s="13"/>
      <c r="AP44" s="13"/>
    </row>
    <row r="45" spans="1:42" s="1" customFormat="1" ht="15.75" customHeight="1">
      <c r="A45" s="1188"/>
      <c r="B45" s="1186"/>
      <c r="C45" s="49" t="s">
        <v>677</v>
      </c>
      <c r="D45" s="144"/>
      <c r="E45" s="53"/>
      <c r="F45" s="53"/>
      <c r="G45" s="51">
        <f>R45</f>
        <v>0</v>
      </c>
      <c r="H45" s="148"/>
      <c r="I45" s="148" t="s">
        <v>680</v>
      </c>
      <c r="J45" s="149" t="s">
        <v>681</v>
      </c>
      <c r="K45" s="148"/>
      <c r="L45" s="149" t="s">
        <v>682</v>
      </c>
      <c r="M45" s="149" t="s">
        <v>681</v>
      </c>
      <c r="N45" s="151"/>
      <c r="O45" s="149" t="s">
        <v>683</v>
      </c>
      <c r="P45" s="149" t="s">
        <v>684</v>
      </c>
      <c r="Q45" s="152"/>
      <c r="R45" s="153">
        <f>H45*K45*N45</f>
        <v>0</v>
      </c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601"/>
      <c r="AF45" s="9"/>
      <c r="AG45" s="9"/>
      <c r="AH45" s="9"/>
      <c r="AI45" s="9"/>
      <c r="AJ45" s="9"/>
      <c r="AK45" s="2"/>
      <c r="AL45" s="9"/>
      <c r="AM45" s="9"/>
      <c r="AN45" s="9"/>
      <c r="AO45" s="9"/>
      <c r="AP45" s="9"/>
    </row>
    <row r="46" spans="1:42" s="1" customFormat="1" ht="15.75" customHeight="1">
      <c r="A46" s="1188"/>
      <c r="B46" s="1180" t="s">
        <v>685</v>
      </c>
      <c r="C46" s="49" t="s">
        <v>674</v>
      </c>
      <c r="D46" s="144"/>
      <c r="E46" s="53"/>
      <c r="F46" s="53"/>
      <c r="G46" s="51">
        <f>SUM(G47:G48)</f>
        <v>10450050</v>
      </c>
      <c r="H46" s="148"/>
      <c r="I46" s="148"/>
      <c r="J46" s="149"/>
      <c r="K46" s="148"/>
      <c r="L46" s="149"/>
      <c r="M46" s="149"/>
      <c r="N46" s="151"/>
      <c r="O46" s="149"/>
      <c r="P46" s="149"/>
      <c r="Q46" s="152"/>
      <c r="R46" s="153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601"/>
      <c r="AF46" s="9"/>
      <c r="AG46" s="9"/>
      <c r="AH46" s="9"/>
      <c r="AI46" s="9"/>
      <c r="AJ46" s="9"/>
      <c r="AK46" s="2"/>
      <c r="AL46" s="9"/>
      <c r="AM46" s="9"/>
      <c r="AN46" s="9"/>
      <c r="AO46" s="9"/>
      <c r="AP46" s="9"/>
    </row>
    <row r="47" spans="1:42" s="1" customFormat="1" ht="21.75" customHeight="1">
      <c r="A47" s="1188"/>
      <c r="B47" s="1180"/>
      <c r="C47" s="210" t="s">
        <v>739</v>
      </c>
      <c r="D47" s="144"/>
      <c r="E47" s="53"/>
      <c r="F47" s="53"/>
      <c r="G47" s="422">
        <f>R47</f>
        <v>10450050</v>
      </c>
      <c r="H47" s="154">
        <f>H38</f>
        <v>204903</v>
      </c>
      <c r="I47" s="154" t="s">
        <v>680</v>
      </c>
      <c r="J47" s="149" t="s">
        <v>681</v>
      </c>
      <c r="K47" s="154">
        <v>51</v>
      </c>
      <c r="L47" s="149" t="s">
        <v>682</v>
      </c>
      <c r="M47" s="149" t="s">
        <v>681</v>
      </c>
      <c r="N47" s="151">
        <v>1</v>
      </c>
      <c r="O47" s="149" t="s">
        <v>668</v>
      </c>
      <c r="P47" s="149" t="s">
        <v>684</v>
      </c>
      <c r="Q47" s="152"/>
      <c r="R47" s="153">
        <f>ROUND(H47*K47*N47,-1)</f>
        <v>10450050</v>
      </c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601"/>
      <c r="AF47" s="9"/>
      <c r="AG47" s="9"/>
      <c r="AH47" s="9"/>
      <c r="AI47" s="9"/>
      <c r="AJ47" s="9"/>
      <c r="AK47" s="2"/>
      <c r="AL47" s="9"/>
      <c r="AM47" s="9"/>
      <c r="AN47" s="9"/>
      <c r="AO47" s="9"/>
      <c r="AP47" s="9"/>
    </row>
    <row r="48" spans="1:42" s="1" customFormat="1" ht="15.75" customHeight="1">
      <c r="A48" s="1188"/>
      <c r="B48" s="1180"/>
      <c r="C48" s="49" t="s">
        <v>686</v>
      </c>
      <c r="D48" s="144"/>
      <c r="E48" s="53"/>
      <c r="F48" s="53"/>
      <c r="G48" s="51"/>
      <c r="H48" s="148"/>
      <c r="I48" s="148"/>
      <c r="J48" s="149"/>
      <c r="K48" s="148"/>
      <c r="L48" s="149"/>
      <c r="M48" s="149"/>
      <c r="N48" s="151"/>
      <c r="O48" s="149"/>
      <c r="P48" s="149"/>
      <c r="Q48" s="152"/>
      <c r="R48" s="153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601"/>
      <c r="AF48" s="9"/>
      <c r="AG48" s="9"/>
      <c r="AH48" s="9"/>
      <c r="AI48" s="9"/>
      <c r="AJ48" s="9"/>
      <c r="AK48" s="2"/>
      <c r="AL48" s="9"/>
      <c r="AM48" s="9"/>
      <c r="AN48" s="9"/>
      <c r="AO48" s="9"/>
      <c r="AP48" s="9"/>
    </row>
    <row r="49" spans="1:42" s="1" customFormat="1" ht="15.75" hidden="1" customHeight="1">
      <c r="A49" s="1188"/>
      <c r="B49" s="1180" t="s">
        <v>689</v>
      </c>
      <c r="C49" s="49" t="s">
        <v>674</v>
      </c>
      <c r="D49" s="144"/>
      <c r="E49" s="53"/>
      <c r="F49" s="53"/>
      <c r="G49" s="51">
        <f>SUM(G50:G51)</f>
        <v>0</v>
      </c>
      <c r="H49" s="148"/>
      <c r="I49" s="148"/>
      <c r="J49" s="149"/>
      <c r="K49" s="148"/>
      <c r="L49" s="149"/>
      <c r="M49" s="149"/>
      <c r="N49" s="151"/>
      <c r="O49" s="149"/>
      <c r="P49" s="149"/>
      <c r="Q49" s="152"/>
      <c r="R49" s="153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601"/>
      <c r="AF49" s="9"/>
      <c r="AG49" s="9"/>
      <c r="AH49" s="9"/>
      <c r="AI49" s="9"/>
      <c r="AJ49" s="9"/>
      <c r="AK49" s="2"/>
      <c r="AL49" s="9"/>
      <c r="AM49" s="9"/>
      <c r="AN49" s="9"/>
      <c r="AO49" s="9"/>
      <c r="AP49" s="9"/>
    </row>
    <row r="50" spans="1:42" s="1" customFormat="1" ht="15.75" hidden="1" customHeight="1">
      <c r="A50" s="1188"/>
      <c r="B50" s="1180"/>
      <c r="C50" s="49" t="s">
        <v>689</v>
      </c>
      <c r="D50" s="144"/>
      <c r="E50" s="53"/>
      <c r="F50" s="53"/>
      <c r="G50" s="51">
        <f>R50</f>
        <v>0</v>
      </c>
      <c r="H50" s="148">
        <f>H41</f>
        <v>0</v>
      </c>
      <c r="I50" s="148" t="s">
        <v>680</v>
      </c>
      <c r="J50" s="149" t="s">
        <v>681</v>
      </c>
      <c r="K50" s="148">
        <v>51</v>
      </c>
      <c r="L50" s="149" t="s">
        <v>682</v>
      </c>
      <c r="M50" s="149" t="s">
        <v>681</v>
      </c>
      <c r="N50" s="151">
        <v>1</v>
      </c>
      <c r="O50" s="149" t="s">
        <v>687</v>
      </c>
      <c r="P50" s="149" t="s">
        <v>684</v>
      </c>
      <c r="Q50" s="152"/>
      <c r="R50" s="153">
        <f>ROUND(H50*K50*N50,-1)</f>
        <v>0</v>
      </c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601"/>
      <c r="AF50" s="9"/>
      <c r="AG50" s="9"/>
      <c r="AH50" s="9"/>
      <c r="AI50" s="9"/>
      <c r="AJ50" s="9"/>
      <c r="AK50" s="2"/>
      <c r="AL50" s="9"/>
      <c r="AM50" s="9"/>
      <c r="AN50" s="9"/>
      <c r="AO50" s="9"/>
      <c r="AP50" s="9"/>
    </row>
    <row r="51" spans="1:42" s="1" customFormat="1" ht="15.75" hidden="1" customHeight="1">
      <c r="A51" s="1189"/>
      <c r="B51" s="1180"/>
      <c r="C51" s="49" t="s">
        <v>688</v>
      </c>
      <c r="D51" s="144"/>
      <c r="E51" s="53"/>
      <c r="F51" s="53"/>
      <c r="G51" s="51">
        <f>R51</f>
        <v>0</v>
      </c>
      <c r="H51" s="148"/>
      <c r="I51" s="148" t="s">
        <v>680</v>
      </c>
      <c r="J51" s="149" t="s">
        <v>681</v>
      </c>
      <c r="K51" s="148"/>
      <c r="L51" s="149" t="s">
        <v>682</v>
      </c>
      <c r="M51" s="149" t="s">
        <v>681</v>
      </c>
      <c r="N51" s="151"/>
      <c r="O51" s="149" t="s">
        <v>690</v>
      </c>
      <c r="P51" s="149" t="s">
        <v>684</v>
      </c>
      <c r="Q51" s="152"/>
      <c r="R51" s="153">
        <f>H51*K51*N51</f>
        <v>0</v>
      </c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601"/>
      <c r="AF51" s="9"/>
      <c r="AG51" s="9"/>
      <c r="AH51" s="9"/>
      <c r="AI51" s="9"/>
      <c r="AJ51" s="9"/>
      <c r="AK51" s="2"/>
      <c r="AL51" s="9"/>
      <c r="AM51" s="9"/>
      <c r="AN51" s="9"/>
      <c r="AO51" s="9"/>
      <c r="AP51" s="9"/>
    </row>
    <row r="52" spans="1:42" s="7" customFormat="1" ht="15.75" customHeight="1">
      <c r="A52" s="1182" t="s">
        <v>693</v>
      </c>
      <c r="B52" s="1180" t="s">
        <v>674</v>
      </c>
      <c r="C52" s="1180"/>
      <c r="D52" s="143"/>
      <c r="E52" s="49"/>
      <c r="F52" s="49"/>
      <c r="G52" s="51">
        <f>G53+G55+G58</f>
        <v>10450050</v>
      </c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61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601" t="s">
        <v>675</v>
      </c>
      <c r="AF52" s="13"/>
      <c r="AG52" s="13"/>
      <c r="AH52" s="13"/>
      <c r="AI52" s="13"/>
      <c r="AJ52" s="13"/>
      <c r="AL52" s="13"/>
      <c r="AM52" s="13"/>
      <c r="AN52" s="13"/>
      <c r="AO52" s="13"/>
      <c r="AP52" s="13"/>
    </row>
    <row r="53" spans="1:42" s="7" customFormat="1" ht="15.75" customHeight="1">
      <c r="A53" s="1182"/>
      <c r="B53" s="1180" t="s">
        <v>676</v>
      </c>
      <c r="C53" s="49" t="s">
        <v>674</v>
      </c>
      <c r="D53" s="143"/>
      <c r="E53" s="49"/>
      <c r="F53" s="49"/>
      <c r="G53" s="51">
        <f>G54</f>
        <v>0</v>
      </c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61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601"/>
      <c r="AF53" s="13"/>
      <c r="AG53" s="13"/>
      <c r="AH53" s="13"/>
      <c r="AI53" s="13"/>
      <c r="AJ53" s="13"/>
      <c r="AL53" s="13"/>
      <c r="AM53" s="13"/>
      <c r="AN53" s="13"/>
      <c r="AO53" s="13"/>
      <c r="AP53" s="13"/>
    </row>
    <row r="54" spans="1:42" s="1" customFormat="1" ht="15.75" customHeight="1">
      <c r="A54" s="1182"/>
      <c r="B54" s="1180"/>
      <c r="C54" s="49" t="s">
        <v>677</v>
      </c>
      <c r="D54" s="144"/>
      <c r="E54" s="53"/>
      <c r="F54" s="53"/>
      <c r="G54" s="51">
        <f>R54</f>
        <v>0</v>
      </c>
      <c r="H54" s="148"/>
      <c r="I54" s="148" t="s">
        <v>680</v>
      </c>
      <c r="J54" s="149" t="s">
        <v>681</v>
      </c>
      <c r="K54" s="148"/>
      <c r="L54" s="149" t="s">
        <v>682</v>
      </c>
      <c r="M54" s="149" t="s">
        <v>681</v>
      </c>
      <c r="N54" s="151"/>
      <c r="O54" s="149" t="s">
        <v>683</v>
      </c>
      <c r="P54" s="149" t="s">
        <v>684</v>
      </c>
      <c r="Q54" s="152"/>
      <c r="R54" s="153">
        <f>H54*K54*N54</f>
        <v>0</v>
      </c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601"/>
      <c r="AF54" s="9"/>
      <c r="AG54" s="9"/>
      <c r="AH54" s="9"/>
      <c r="AI54" s="9"/>
      <c r="AJ54" s="9"/>
      <c r="AK54" s="2"/>
      <c r="AL54" s="9"/>
      <c r="AM54" s="9"/>
      <c r="AN54" s="9"/>
      <c r="AO54" s="9"/>
      <c r="AP54" s="9"/>
    </row>
    <row r="55" spans="1:42" s="1" customFormat="1" ht="15.75" customHeight="1">
      <c r="A55" s="1182"/>
      <c r="B55" s="1180" t="s">
        <v>685</v>
      </c>
      <c r="C55" s="49" t="s">
        <v>674</v>
      </c>
      <c r="D55" s="144"/>
      <c r="E55" s="53"/>
      <c r="F55" s="53"/>
      <c r="G55" s="51">
        <f>SUM(G56:G57)</f>
        <v>10450050</v>
      </c>
      <c r="H55" s="148"/>
      <c r="I55" s="148"/>
      <c r="J55" s="149"/>
      <c r="K55" s="148"/>
      <c r="L55" s="149"/>
      <c r="M55" s="149"/>
      <c r="N55" s="151"/>
      <c r="O55" s="149"/>
      <c r="P55" s="149"/>
      <c r="Q55" s="152"/>
      <c r="R55" s="153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601"/>
      <c r="AF55" s="9"/>
      <c r="AG55" s="9"/>
      <c r="AH55" s="9"/>
      <c r="AI55" s="9"/>
      <c r="AJ55" s="9"/>
      <c r="AK55" s="2"/>
      <c r="AL55" s="9"/>
      <c r="AM55" s="9"/>
      <c r="AN55" s="9"/>
      <c r="AO55" s="9"/>
      <c r="AP55" s="9"/>
    </row>
    <row r="56" spans="1:42" s="1" customFormat="1" ht="21.75" customHeight="1">
      <c r="A56" s="1182"/>
      <c r="B56" s="1180"/>
      <c r="C56" s="689" t="s">
        <v>685</v>
      </c>
      <c r="D56" s="144"/>
      <c r="E56" s="53"/>
      <c r="F56" s="53"/>
      <c r="G56" s="422">
        <f>R56</f>
        <v>10450050</v>
      </c>
      <c r="H56" s="154">
        <f>H47</f>
        <v>204903</v>
      </c>
      <c r="I56" s="154" t="s">
        <v>680</v>
      </c>
      <c r="J56" s="149" t="s">
        <v>681</v>
      </c>
      <c r="K56" s="154">
        <v>51</v>
      </c>
      <c r="L56" s="149" t="s">
        <v>682</v>
      </c>
      <c r="M56" s="149" t="s">
        <v>681</v>
      </c>
      <c r="N56" s="151">
        <v>1</v>
      </c>
      <c r="O56" s="149" t="s">
        <v>668</v>
      </c>
      <c r="P56" s="149" t="s">
        <v>684</v>
      </c>
      <c r="Q56" s="152"/>
      <c r="R56" s="153">
        <f>ROUND(H56*K56*N56,-1)</f>
        <v>10450050</v>
      </c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601"/>
      <c r="AF56" s="9"/>
      <c r="AG56" s="9"/>
      <c r="AH56" s="9"/>
      <c r="AI56" s="9"/>
      <c r="AJ56" s="9"/>
      <c r="AK56" s="2"/>
      <c r="AL56" s="9"/>
      <c r="AM56" s="9"/>
      <c r="AN56" s="9"/>
      <c r="AO56" s="9"/>
      <c r="AP56" s="9"/>
    </row>
    <row r="57" spans="1:42" s="1" customFormat="1" ht="15.75" customHeight="1">
      <c r="A57" s="1182"/>
      <c r="B57" s="1180"/>
      <c r="C57" s="49" t="s">
        <v>686</v>
      </c>
      <c r="D57" s="144"/>
      <c r="E57" s="53"/>
      <c r="F57" s="53"/>
      <c r="G57" s="51"/>
      <c r="H57" s="148"/>
      <c r="I57" s="148"/>
      <c r="J57" s="149"/>
      <c r="K57" s="148"/>
      <c r="L57" s="149"/>
      <c r="M57" s="149"/>
      <c r="N57" s="151"/>
      <c r="O57" s="149"/>
      <c r="P57" s="149"/>
      <c r="Q57" s="152"/>
      <c r="R57" s="153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601"/>
      <c r="AF57" s="9"/>
      <c r="AG57" s="9"/>
      <c r="AH57" s="9"/>
      <c r="AI57" s="9"/>
      <c r="AJ57" s="9"/>
      <c r="AK57" s="2"/>
      <c r="AL57" s="9"/>
      <c r="AM57" s="9"/>
      <c r="AN57" s="9"/>
      <c r="AO57" s="9"/>
      <c r="AP57" s="9"/>
    </row>
    <row r="58" spans="1:42" s="1" customFormat="1" ht="15.75" hidden="1" customHeight="1">
      <c r="A58" s="1182"/>
      <c r="B58" s="1180" t="s">
        <v>689</v>
      </c>
      <c r="C58" s="49" t="s">
        <v>674</v>
      </c>
      <c r="D58" s="144"/>
      <c r="E58" s="53"/>
      <c r="F58" s="53"/>
      <c r="G58" s="51">
        <f>SUM(G59:G60)</f>
        <v>0</v>
      </c>
      <c r="H58" s="148"/>
      <c r="I58" s="148"/>
      <c r="J58" s="149"/>
      <c r="K58" s="148"/>
      <c r="L58" s="149"/>
      <c r="M58" s="149"/>
      <c r="N58" s="151"/>
      <c r="O58" s="149"/>
      <c r="P58" s="149"/>
      <c r="Q58" s="152"/>
      <c r="R58" s="153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601"/>
      <c r="AF58" s="9"/>
      <c r="AG58" s="9"/>
      <c r="AH58" s="9"/>
      <c r="AI58" s="9"/>
      <c r="AJ58" s="9"/>
      <c r="AK58" s="2"/>
      <c r="AL58" s="9"/>
      <c r="AM58" s="9"/>
      <c r="AN58" s="9"/>
      <c r="AO58" s="9"/>
      <c r="AP58" s="9"/>
    </row>
    <row r="59" spans="1:42" s="1" customFormat="1" ht="15.75" hidden="1" customHeight="1">
      <c r="A59" s="1182"/>
      <c r="B59" s="1180"/>
      <c r="C59" s="49" t="s">
        <v>689</v>
      </c>
      <c r="D59" s="144"/>
      <c r="E59" s="53"/>
      <c r="F59" s="53"/>
      <c r="G59" s="51">
        <f>R59</f>
        <v>0</v>
      </c>
      <c r="H59" s="148">
        <f>H50</f>
        <v>0</v>
      </c>
      <c r="I59" s="148" t="s">
        <v>680</v>
      </c>
      <c r="J59" s="149" t="s">
        <v>681</v>
      </c>
      <c r="K59" s="148">
        <v>51</v>
      </c>
      <c r="L59" s="149" t="s">
        <v>682</v>
      </c>
      <c r="M59" s="149" t="s">
        <v>681</v>
      </c>
      <c r="N59" s="151">
        <v>1</v>
      </c>
      <c r="O59" s="149" t="s">
        <v>687</v>
      </c>
      <c r="P59" s="149" t="s">
        <v>684</v>
      </c>
      <c r="Q59" s="152"/>
      <c r="R59" s="153">
        <f>ROUND(H59*K59*N59,-1)</f>
        <v>0</v>
      </c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601"/>
      <c r="AF59" s="9"/>
      <c r="AG59" s="9"/>
      <c r="AH59" s="9"/>
      <c r="AI59" s="9"/>
      <c r="AJ59" s="9"/>
      <c r="AK59" s="2"/>
      <c r="AL59" s="9"/>
      <c r="AM59" s="9"/>
      <c r="AN59" s="9"/>
      <c r="AO59" s="9"/>
      <c r="AP59" s="9"/>
    </row>
    <row r="60" spans="1:42" s="1" customFormat="1" ht="15.75" hidden="1" customHeight="1">
      <c r="A60" s="1182"/>
      <c r="B60" s="1180"/>
      <c r="C60" s="49" t="s">
        <v>688</v>
      </c>
      <c r="D60" s="144"/>
      <c r="E60" s="53"/>
      <c r="F60" s="53"/>
      <c r="G60" s="51">
        <f>R60</f>
        <v>0</v>
      </c>
      <c r="H60" s="148"/>
      <c r="I60" s="148" t="s">
        <v>680</v>
      </c>
      <c r="J60" s="149" t="s">
        <v>681</v>
      </c>
      <c r="K60" s="148"/>
      <c r="L60" s="149" t="s">
        <v>682</v>
      </c>
      <c r="M60" s="149" t="s">
        <v>681</v>
      </c>
      <c r="N60" s="151"/>
      <c r="O60" s="149" t="s">
        <v>690</v>
      </c>
      <c r="P60" s="149" t="s">
        <v>684</v>
      </c>
      <c r="Q60" s="152"/>
      <c r="R60" s="153">
        <f>H60*K60*N60</f>
        <v>0</v>
      </c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601"/>
      <c r="AF60" s="9"/>
      <c r="AG60" s="9"/>
      <c r="AH60" s="9"/>
      <c r="AI60" s="9"/>
      <c r="AJ60" s="9"/>
      <c r="AK60" s="2"/>
      <c r="AL60" s="9"/>
      <c r="AM60" s="9"/>
      <c r="AN60" s="9"/>
      <c r="AO60" s="9"/>
      <c r="AP60" s="9"/>
    </row>
    <row r="61" spans="1:42" s="7" customFormat="1" ht="15.75" customHeight="1">
      <c r="A61" s="1182" t="s">
        <v>694</v>
      </c>
      <c r="B61" s="1180" t="s">
        <v>674</v>
      </c>
      <c r="C61" s="1180"/>
      <c r="D61" s="143"/>
      <c r="E61" s="49"/>
      <c r="F61" s="49"/>
      <c r="G61" s="51">
        <f>G62+G64+G67</f>
        <v>10450050</v>
      </c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61"/>
      <c r="S61" s="143"/>
      <c r="T61" s="143"/>
      <c r="U61" s="143"/>
      <c r="V61" s="143"/>
      <c r="W61" s="143"/>
      <c r="X61" s="143"/>
      <c r="Y61" s="143"/>
      <c r="Z61" s="143"/>
      <c r="AA61" s="143"/>
      <c r="AB61" s="143"/>
      <c r="AC61" s="143"/>
      <c r="AD61" s="143"/>
      <c r="AE61" s="601" t="s">
        <v>675</v>
      </c>
      <c r="AF61" s="13"/>
      <c r="AG61" s="13"/>
      <c r="AH61" s="13"/>
      <c r="AI61" s="13"/>
      <c r="AJ61" s="13"/>
      <c r="AL61" s="13"/>
      <c r="AM61" s="13"/>
      <c r="AN61" s="13"/>
      <c r="AO61" s="13"/>
      <c r="AP61" s="13"/>
    </row>
    <row r="62" spans="1:42" s="7" customFormat="1" ht="15.75" customHeight="1">
      <c r="A62" s="1178"/>
      <c r="B62" s="1180" t="s">
        <v>676</v>
      </c>
      <c r="C62" s="49" t="s">
        <v>674</v>
      </c>
      <c r="D62" s="143"/>
      <c r="E62" s="49"/>
      <c r="F62" s="49"/>
      <c r="G62" s="51">
        <f>G63</f>
        <v>0</v>
      </c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61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  <c r="AD62" s="143"/>
      <c r="AE62" s="601"/>
      <c r="AF62" s="13"/>
      <c r="AG62" s="13"/>
      <c r="AH62" s="13"/>
      <c r="AI62" s="13"/>
      <c r="AJ62" s="13"/>
      <c r="AL62" s="13"/>
      <c r="AM62" s="13"/>
      <c r="AN62" s="13"/>
      <c r="AO62" s="13"/>
      <c r="AP62" s="13"/>
    </row>
    <row r="63" spans="1:42" s="1" customFormat="1" ht="15.75" customHeight="1">
      <c r="A63" s="1178"/>
      <c r="B63" s="1180"/>
      <c r="C63" s="49" t="s">
        <v>677</v>
      </c>
      <c r="D63" s="144"/>
      <c r="E63" s="53"/>
      <c r="F63" s="53"/>
      <c r="G63" s="51">
        <f>R63</f>
        <v>0</v>
      </c>
      <c r="H63" s="148"/>
      <c r="I63" s="148" t="s">
        <v>680</v>
      </c>
      <c r="J63" s="149" t="s">
        <v>681</v>
      </c>
      <c r="K63" s="148"/>
      <c r="L63" s="149" t="s">
        <v>682</v>
      </c>
      <c r="M63" s="149" t="s">
        <v>681</v>
      </c>
      <c r="N63" s="151">
        <v>1</v>
      </c>
      <c r="O63" s="149" t="s">
        <v>690</v>
      </c>
      <c r="P63" s="149" t="s">
        <v>684</v>
      </c>
      <c r="Q63" s="152"/>
      <c r="R63" s="153">
        <f>H63*K63*N63</f>
        <v>0</v>
      </c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601"/>
      <c r="AF63" s="9"/>
      <c r="AG63" s="9"/>
      <c r="AH63" s="9"/>
      <c r="AI63" s="9"/>
      <c r="AJ63" s="9"/>
      <c r="AK63" s="2"/>
      <c r="AL63" s="9"/>
      <c r="AM63" s="9"/>
      <c r="AN63" s="9"/>
      <c r="AO63" s="9"/>
      <c r="AP63" s="9"/>
    </row>
    <row r="64" spans="1:42" s="1" customFormat="1" ht="15.75" customHeight="1">
      <c r="A64" s="1178"/>
      <c r="B64" s="1180" t="s">
        <v>685</v>
      </c>
      <c r="C64" s="49" t="s">
        <v>674</v>
      </c>
      <c r="D64" s="144"/>
      <c r="E64" s="53"/>
      <c r="F64" s="53"/>
      <c r="G64" s="51">
        <f>SUM(G65:G66)</f>
        <v>10450050</v>
      </c>
      <c r="H64" s="148"/>
      <c r="I64" s="148"/>
      <c r="J64" s="149"/>
      <c r="K64" s="148"/>
      <c r="L64" s="149"/>
      <c r="M64" s="149"/>
      <c r="N64" s="151"/>
      <c r="O64" s="149"/>
      <c r="P64" s="149"/>
      <c r="Q64" s="152"/>
      <c r="R64" s="153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601"/>
      <c r="AF64" s="9"/>
      <c r="AG64" s="9"/>
      <c r="AH64" s="9"/>
      <c r="AI64" s="9"/>
      <c r="AJ64" s="9"/>
      <c r="AK64" s="2"/>
      <c r="AL64" s="9"/>
      <c r="AM64" s="9"/>
      <c r="AN64" s="9"/>
      <c r="AO64" s="9"/>
      <c r="AP64" s="9"/>
    </row>
    <row r="65" spans="1:42" s="1" customFormat="1" ht="21" customHeight="1">
      <c r="A65" s="1178"/>
      <c r="B65" s="1180"/>
      <c r="C65" s="210" t="s">
        <v>739</v>
      </c>
      <c r="D65" s="144"/>
      <c r="E65" s="53"/>
      <c r="F65" s="53"/>
      <c r="G65" s="422">
        <f>R65</f>
        <v>10450050</v>
      </c>
      <c r="H65" s="154">
        <f>H56</f>
        <v>204903</v>
      </c>
      <c r="I65" s="154" t="s">
        <v>680</v>
      </c>
      <c r="J65" s="149" t="s">
        <v>681</v>
      </c>
      <c r="K65" s="154">
        <v>51</v>
      </c>
      <c r="L65" s="149" t="s">
        <v>682</v>
      </c>
      <c r="M65" s="149" t="s">
        <v>681</v>
      </c>
      <c r="N65" s="151">
        <v>1</v>
      </c>
      <c r="O65" s="149" t="s">
        <v>668</v>
      </c>
      <c r="P65" s="149" t="s">
        <v>684</v>
      </c>
      <c r="Q65" s="152"/>
      <c r="R65" s="153">
        <f>ROUND(H65*K65*N65,-1)</f>
        <v>10450050</v>
      </c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601"/>
      <c r="AF65" s="9"/>
      <c r="AG65" s="9"/>
      <c r="AH65" s="9"/>
      <c r="AI65" s="9"/>
      <c r="AJ65" s="9"/>
      <c r="AK65" s="2"/>
      <c r="AL65" s="9"/>
      <c r="AM65" s="9"/>
      <c r="AN65" s="9"/>
      <c r="AO65" s="9"/>
      <c r="AP65" s="9"/>
    </row>
    <row r="66" spans="1:42" s="1" customFormat="1" ht="15.75" customHeight="1">
      <c r="A66" s="1178"/>
      <c r="B66" s="1180"/>
      <c r="C66" s="49" t="s">
        <v>686</v>
      </c>
      <c r="D66" s="144"/>
      <c r="E66" s="53"/>
      <c r="F66" s="53"/>
      <c r="G66" s="51"/>
      <c r="H66" s="148"/>
      <c r="I66" s="148"/>
      <c r="J66" s="149"/>
      <c r="K66" s="148"/>
      <c r="L66" s="149"/>
      <c r="M66" s="149"/>
      <c r="N66" s="151"/>
      <c r="O66" s="149"/>
      <c r="P66" s="149"/>
      <c r="Q66" s="152"/>
      <c r="R66" s="153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601"/>
      <c r="AF66" s="9"/>
      <c r="AG66" s="9"/>
      <c r="AH66" s="9"/>
      <c r="AI66" s="9"/>
      <c r="AJ66" s="9"/>
      <c r="AK66" s="2"/>
      <c r="AL66" s="9"/>
      <c r="AM66" s="9"/>
      <c r="AN66" s="9"/>
      <c r="AO66" s="9"/>
      <c r="AP66" s="9"/>
    </row>
    <row r="67" spans="1:42" s="1" customFormat="1" ht="15.75" hidden="1" customHeight="1">
      <c r="A67" s="1178"/>
      <c r="B67" s="1180" t="s">
        <v>689</v>
      </c>
      <c r="C67" s="49" t="s">
        <v>674</v>
      </c>
      <c r="D67" s="144"/>
      <c r="E67" s="53">
        <v>0</v>
      </c>
      <c r="F67" s="53"/>
      <c r="G67" s="51">
        <f>SUM(G68:G69)</f>
        <v>0</v>
      </c>
      <c r="H67" s="148"/>
      <c r="I67" s="148"/>
      <c r="J67" s="149"/>
      <c r="K67" s="148"/>
      <c r="L67" s="149"/>
      <c r="M67" s="149"/>
      <c r="N67" s="151"/>
      <c r="O67" s="149"/>
      <c r="P67" s="149"/>
      <c r="Q67" s="152"/>
      <c r="R67" s="153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601"/>
      <c r="AF67" s="9"/>
      <c r="AG67" s="9"/>
      <c r="AH67" s="9"/>
      <c r="AI67" s="9"/>
      <c r="AJ67" s="9"/>
      <c r="AK67" s="2"/>
      <c r="AL67" s="9"/>
      <c r="AM67" s="9"/>
      <c r="AN67" s="9"/>
      <c r="AO67" s="9"/>
      <c r="AP67" s="9"/>
    </row>
    <row r="68" spans="1:42" s="1" customFormat="1" ht="15.75" hidden="1" customHeight="1">
      <c r="A68" s="1178"/>
      <c r="B68" s="1180"/>
      <c r="C68" s="49" t="s">
        <v>689</v>
      </c>
      <c r="D68" s="144"/>
      <c r="E68" s="53"/>
      <c r="F68" s="53"/>
      <c r="G68" s="51">
        <f>R68</f>
        <v>0</v>
      </c>
      <c r="H68" s="148">
        <f>H59</f>
        <v>0</v>
      </c>
      <c r="I68" s="148" t="s">
        <v>680</v>
      </c>
      <c r="J68" s="149" t="s">
        <v>681</v>
      </c>
      <c r="K68" s="148">
        <v>51</v>
      </c>
      <c r="L68" s="149" t="s">
        <v>682</v>
      </c>
      <c r="M68" s="149" t="s">
        <v>681</v>
      </c>
      <c r="N68" s="151">
        <v>1</v>
      </c>
      <c r="O68" s="149" t="s">
        <v>687</v>
      </c>
      <c r="P68" s="149" t="s">
        <v>684</v>
      </c>
      <c r="Q68" s="152"/>
      <c r="R68" s="153">
        <f>ROUND(H68*K68*N68,-1)</f>
        <v>0</v>
      </c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601"/>
      <c r="AF68" s="9"/>
      <c r="AG68" s="9"/>
      <c r="AH68" s="9"/>
      <c r="AI68" s="9"/>
      <c r="AJ68" s="9"/>
      <c r="AK68" s="2"/>
      <c r="AL68" s="9"/>
      <c r="AM68" s="9"/>
      <c r="AN68" s="9"/>
      <c r="AO68" s="9"/>
      <c r="AP68" s="9"/>
    </row>
    <row r="69" spans="1:42" s="1" customFormat="1" ht="15.75" hidden="1" customHeight="1">
      <c r="A69" s="1178"/>
      <c r="B69" s="1180"/>
      <c r="C69" s="49" t="s">
        <v>688</v>
      </c>
      <c r="D69" s="144"/>
      <c r="E69" s="53"/>
      <c r="F69" s="53"/>
      <c r="G69" s="51">
        <f>R69</f>
        <v>0</v>
      </c>
      <c r="H69" s="148"/>
      <c r="I69" s="148" t="s">
        <v>680</v>
      </c>
      <c r="J69" s="149" t="s">
        <v>681</v>
      </c>
      <c r="K69" s="148"/>
      <c r="L69" s="149" t="s">
        <v>682</v>
      </c>
      <c r="M69" s="149" t="s">
        <v>681</v>
      </c>
      <c r="N69" s="151"/>
      <c r="O69" s="149" t="s">
        <v>690</v>
      </c>
      <c r="P69" s="149" t="s">
        <v>684</v>
      </c>
      <c r="Q69" s="152"/>
      <c r="R69" s="153">
        <f>H69*K69*N69</f>
        <v>0</v>
      </c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601"/>
      <c r="AF69" s="9"/>
      <c r="AG69" s="9"/>
      <c r="AH69" s="9"/>
      <c r="AI69" s="9"/>
      <c r="AJ69" s="9"/>
      <c r="AK69" s="2"/>
      <c r="AL69" s="9"/>
      <c r="AM69" s="9"/>
      <c r="AN69" s="9"/>
      <c r="AO69" s="9"/>
      <c r="AP69" s="9"/>
    </row>
    <row r="70" spans="1:42" s="7" customFormat="1" ht="15.75" customHeight="1">
      <c r="A70" s="1177" t="s">
        <v>695</v>
      </c>
      <c r="B70" s="1180" t="s">
        <v>674</v>
      </c>
      <c r="C70" s="1180"/>
      <c r="D70" s="143"/>
      <c r="E70" s="49"/>
      <c r="F70" s="49"/>
      <c r="G70" s="51">
        <f>G71+G73+G76</f>
        <v>10450050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61"/>
      <c r="S70" s="143"/>
      <c r="T70" s="143"/>
      <c r="U70" s="143"/>
      <c r="V70" s="143"/>
      <c r="W70" s="143"/>
      <c r="X70" s="143"/>
      <c r="Y70" s="143"/>
      <c r="Z70" s="143"/>
      <c r="AA70" s="143"/>
      <c r="AB70" s="143"/>
      <c r="AC70" s="143"/>
      <c r="AD70" s="143"/>
      <c r="AE70" s="601" t="s">
        <v>675</v>
      </c>
      <c r="AF70" s="13"/>
      <c r="AG70" s="13"/>
      <c r="AH70" s="13"/>
      <c r="AI70" s="13"/>
      <c r="AJ70" s="13"/>
      <c r="AL70" s="13"/>
      <c r="AM70" s="13"/>
      <c r="AN70" s="13"/>
      <c r="AO70" s="13"/>
      <c r="AP70" s="13"/>
    </row>
    <row r="71" spans="1:42" s="7" customFormat="1" ht="15.75" customHeight="1">
      <c r="A71" s="1178"/>
      <c r="B71" s="1180" t="s">
        <v>676</v>
      </c>
      <c r="C71" s="49" t="s">
        <v>674</v>
      </c>
      <c r="D71" s="143"/>
      <c r="E71" s="49"/>
      <c r="F71" s="49"/>
      <c r="G71" s="51">
        <f>G72</f>
        <v>0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61"/>
      <c r="S71" s="143"/>
      <c r="T71" s="143"/>
      <c r="U71" s="143"/>
      <c r="V71" s="143"/>
      <c r="W71" s="143"/>
      <c r="X71" s="143"/>
      <c r="Y71" s="143"/>
      <c r="Z71" s="143"/>
      <c r="AA71" s="143"/>
      <c r="AB71" s="143"/>
      <c r="AC71" s="143"/>
      <c r="AD71" s="143"/>
      <c r="AE71" s="601"/>
      <c r="AF71" s="13"/>
      <c r="AG71" s="13"/>
      <c r="AH71" s="13"/>
      <c r="AI71" s="13"/>
      <c r="AJ71" s="13"/>
      <c r="AL71" s="13"/>
      <c r="AM71" s="13"/>
      <c r="AN71" s="13"/>
      <c r="AO71" s="13"/>
      <c r="AP71" s="13"/>
    </row>
    <row r="72" spans="1:42" s="1" customFormat="1" ht="15.75" customHeight="1">
      <c r="A72" s="1178"/>
      <c r="B72" s="1180"/>
      <c r="C72" s="49" t="s">
        <v>677</v>
      </c>
      <c r="D72" s="144"/>
      <c r="E72" s="53"/>
      <c r="F72" s="53"/>
      <c r="G72" s="51">
        <f>R72</f>
        <v>0</v>
      </c>
      <c r="H72" s="148"/>
      <c r="I72" s="148" t="s">
        <v>680</v>
      </c>
      <c r="J72" s="149" t="s">
        <v>681</v>
      </c>
      <c r="K72" s="148"/>
      <c r="L72" s="149" t="s">
        <v>682</v>
      </c>
      <c r="M72" s="149" t="s">
        <v>681</v>
      </c>
      <c r="N72" s="151"/>
      <c r="O72" s="149" t="s">
        <v>683</v>
      </c>
      <c r="P72" s="149" t="s">
        <v>684</v>
      </c>
      <c r="Q72" s="152"/>
      <c r="R72" s="153">
        <f>H72*K72*N72</f>
        <v>0</v>
      </c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601"/>
      <c r="AF72" s="9"/>
      <c r="AG72" s="9"/>
      <c r="AH72" s="9"/>
      <c r="AI72" s="9"/>
      <c r="AJ72" s="9"/>
      <c r="AK72" s="2"/>
      <c r="AL72" s="9"/>
      <c r="AM72" s="9"/>
      <c r="AN72" s="9"/>
      <c r="AO72" s="9"/>
      <c r="AP72" s="9"/>
    </row>
    <row r="73" spans="1:42" s="1" customFormat="1" ht="15.75" hidden="1" customHeight="1">
      <c r="A73" s="1178"/>
      <c r="B73" s="1180" t="s">
        <v>685</v>
      </c>
      <c r="C73" s="49" t="s">
        <v>674</v>
      </c>
      <c r="D73" s="144"/>
      <c r="E73" s="53"/>
      <c r="F73" s="53"/>
      <c r="G73" s="51">
        <f>SUM(G74:G75)</f>
        <v>10450050</v>
      </c>
      <c r="H73" s="148"/>
      <c r="I73" s="148"/>
      <c r="J73" s="149"/>
      <c r="K73" s="148"/>
      <c r="L73" s="149"/>
      <c r="M73" s="149"/>
      <c r="N73" s="151"/>
      <c r="O73" s="149"/>
      <c r="P73" s="149"/>
      <c r="Q73" s="152"/>
      <c r="R73" s="153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601"/>
      <c r="AF73" s="9"/>
      <c r="AG73" s="9"/>
      <c r="AH73" s="9"/>
      <c r="AI73" s="9"/>
      <c r="AJ73" s="9"/>
      <c r="AK73" s="2"/>
      <c r="AL73" s="9"/>
      <c r="AM73" s="9"/>
      <c r="AN73" s="9"/>
      <c r="AO73" s="9"/>
      <c r="AP73" s="9"/>
    </row>
    <row r="74" spans="1:42" s="1" customFormat="1" ht="21" customHeight="1">
      <c r="A74" s="1178"/>
      <c r="B74" s="1180"/>
      <c r="C74" s="689" t="s">
        <v>685</v>
      </c>
      <c r="D74" s="144"/>
      <c r="E74" s="53"/>
      <c r="F74" s="53"/>
      <c r="G74" s="422">
        <f>R74</f>
        <v>10450050</v>
      </c>
      <c r="H74" s="154">
        <f>H65</f>
        <v>204903</v>
      </c>
      <c r="I74" s="154" t="s">
        <v>680</v>
      </c>
      <c r="J74" s="149" t="s">
        <v>681</v>
      </c>
      <c r="K74" s="154">
        <v>51</v>
      </c>
      <c r="L74" s="149" t="s">
        <v>682</v>
      </c>
      <c r="M74" s="149" t="s">
        <v>681</v>
      </c>
      <c r="N74" s="151">
        <v>1</v>
      </c>
      <c r="O74" s="149" t="s">
        <v>668</v>
      </c>
      <c r="P74" s="149" t="s">
        <v>684</v>
      </c>
      <c r="Q74" s="152"/>
      <c r="R74" s="153">
        <f>ROUND(H74*K74*N74,-1)</f>
        <v>10450050</v>
      </c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601"/>
      <c r="AF74" s="9"/>
      <c r="AG74" s="9"/>
      <c r="AH74" s="9"/>
      <c r="AI74" s="9"/>
      <c r="AJ74" s="9"/>
      <c r="AK74" s="2"/>
      <c r="AL74" s="9"/>
      <c r="AM74" s="9"/>
      <c r="AN74" s="9"/>
      <c r="AO74" s="9"/>
      <c r="AP74" s="9"/>
    </row>
    <row r="75" spans="1:42" s="1" customFormat="1" ht="15.75" customHeight="1">
      <c r="A75" s="1178"/>
      <c r="B75" s="1180"/>
      <c r="C75" s="49" t="s">
        <v>686</v>
      </c>
      <c r="D75" s="144"/>
      <c r="E75" s="53"/>
      <c r="F75" s="53"/>
      <c r="G75" s="51"/>
      <c r="H75" s="148"/>
      <c r="I75" s="148" t="s">
        <v>680</v>
      </c>
      <c r="J75" s="149" t="s">
        <v>681</v>
      </c>
      <c r="K75" s="148">
        <v>51</v>
      </c>
      <c r="L75" s="149" t="s">
        <v>682</v>
      </c>
      <c r="M75" s="149" t="s">
        <v>681</v>
      </c>
      <c r="N75" s="151">
        <v>1</v>
      </c>
      <c r="O75" s="149" t="s">
        <v>690</v>
      </c>
      <c r="P75" s="149" t="s">
        <v>684</v>
      </c>
      <c r="Q75" s="152"/>
      <c r="R75" s="153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601"/>
      <c r="AF75" s="9"/>
      <c r="AG75" s="9"/>
      <c r="AH75" s="9"/>
      <c r="AI75" s="9"/>
      <c r="AJ75" s="9"/>
      <c r="AK75" s="2"/>
      <c r="AL75" s="9"/>
      <c r="AM75" s="9"/>
      <c r="AN75" s="9"/>
      <c r="AO75" s="9"/>
      <c r="AP75" s="9"/>
    </row>
    <row r="76" spans="1:42" s="1" customFormat="1" ht="15.75" hidden="1" customHeight="1">
      <c r="A76" s="1178"/>
      <c r="B76" s="1180" t="s">
        <v>689</v>
      </c>
      <c r="C76" s="49" t="s">
        <v>674</v>
      </c>
      <c r="D76" s="144"/>
      <c r="E76" s="53"/>
      <c r="F76" s="53"/>
      <c r="G76" s="51">
        <f>SUM(G77:G78)</f>
        <v>0</v>
      </c>
      <c r="H76" s="148"/>
      <c r="I76" s="148"/>
      <c r="J76" s="149"/>
      <c r="K76" s="148"/>
      <c r="L76" s="149"/>
      <c r="M76" s="149"/>
      <c r="N76" s="151"/>
      <c r="O76" s="149"/>
      <c r="P76" s="149"/>
      <c r="Q76" s="152"/>
      <c r="R76" s="153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601"/>
      <c r="AF76" s="9"/>
      <c r="AG76" s="9"/>
      <c r="AH76" s="9"/>
      <c r="AI76" s="9"/>
      <c r="AJ76" s="9"/>
      <c r="AK76" s="2"/>
      <c r="AL76" s="9"/>
      <c r="AM76" s="9"/>
      <c r="AN76" s="9"/>
      <c r="AO76" s="9"/>
      <c r="AP76" s="9"/>
    </row>
    <row r="77" spans="1:42" s="1" customFormat="1" ht="15.75" hidden="1" customHeight="1">
      <c r="A77" s="1178"/>
      <c r="B77" s="1180"/>
      <c r="C77" s="49" t="s">
        <v>689</v>
      </c>
      <c r="D77" s="144"/>
      <c r="E77" s="53"/>
      <c r="F77" s="53"/>
      <c r="G77" s="51">
        <f>R77</f>
        <v>0</v>
      </c>
      <c r="H77" s="148">
        <f>H68</f>
        <v>0</v>
      </c>
      <c r="I77" s="148" t="s">
        <v>680</v>
      </c>
      <c r="J77" s="149" t="s">
        <v>681</v>
      </c>
      <c r="K77" s="148">
        <v>51</v>
      </c>
      <c r="L77" s="149" t="s">
        <v>682</v>
      </c>
      <c r="M77" s="149" t="s">
        <v>681</v>
      </c>
      <c r="N77" s="151">
        <v>1</v>
      </c>
      <c r="O77" s="149" t="s">
        <v>687</v>
      </c>
      <c r="P77" s="149" t="s">
        <v>684</v>
      </c>
      <c r="Q77" s="152"/>
      <c r="R77" s="153">
        <f>ROUND(H77*K77*N77,-1)</f>
        <v>0</v>
      </c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601"/>
      <c r="AF77" s="9"/>
      <c r="AG77" s="9"/>
      <c r="AH77" s="9"/>
      <c r="AI77" s="9"/>
      <c r="AJ77" s="9"/>
      <c r="AK77" s="2"/>
      <c r="AL77" s="9"/>
      <c r="AM77" s="9"/>
      <c r="AN77" s="9"/>
      <c r="AO77" s="9"/>
      <c r="AP77" s="9"/>
    </row>
    <row r="78" spans="1:42" s="1" customFormat="1" ht="15.75" hidden="1" customHeight="1">
      <c r="A78" s="1178"/>
      <c r="B78" s="1180"/>
      <c r="C78" s="49" t="s">
        <v>688</v>
      </c>
      <c r="D78" s="144"/>
      <c r="E78" s="53"/>
      <c r="F78" s="53"/>
      <c r="G78" s="51">
        <f>R78</f>
        <v>0</v>
      </c>
      <c r="H78" s="148"/>
      <c r="I78" s="148" t="s">
        <v>680</v>
      </c>
      <c r="J78" s="149" t="s">
        <v>681</v>
      </c>
      <c r="K78" s="148"/>
      <c r="L78" s="149" t="s">
        <v>682</v>
      </c>
      <c r="M78" s="149" t="s">
        <v>681</v>
      </c>
      <c r="N78" s="151">
        <v>1</v>
      </c>
      <c r="O78" s="149" t="s">
        <v>690</v>
      </c>
      <c r="P78" s="149" t="s">
        <v>684</v>
      </c>
      <c r="Q78" s="152"/>
      <c r="R78" s="153">
        <f>H78*K78*N78</f>
        <v>0</v>
      </c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601"/>
      <c r="AF78" s="9"/>
      <c r="AG78" s="9"/>
      <c r="AH78" s="9"/>
      <c r="AI78" s="9"/>
      <c r="AJ78" s="9"/>
      <c r="AK78" s="2"/>
      <c r="AL78" s="9"/>
      <c r="AM78" s="9"/>
      <c r="AN78" s="9"/>
      <c r="AO78" s="9"/>
      <c r="AP78" s="9"/>
    </row>
    <row r="79" spans="1:42" s="7" customFormat="1" ht="15.75" customHeight="1">
      <c r="A79" s="1177" t="s">
        <v>696</v>
      </c>
      <c r="B79" s="1180" t="s">
        <v>674</v>
      </c>
      <c r="C79" s="1180"/>
      <c r="D79" s="143"/>
      <c r="E79" s="49"/>
      <c r="F79" s="49"/>
      <c r="G79" s="51">
        <f>G80+G82+G85</f>
        <v>11054710</v>
      </c>
      <c r="H79" s="147"/>
      <c r="I79" s="147"/>
      <c r="J79" s="147"/>
      <c r="K79" s="147"/>
      <c r="L79" s="147"/>
      <c r="M79" s="147"/>
      <c r="N79" s="147"/>
      <c r="O79" s="147"/>
      <c r="P79" s="147"/>
      <c r="Q79" s="147"/>
      <c r="R79" s="61"/>
      <c r="S79" s="143"/>
      <c r="T79" s="143"/>
      <c r="U79" s="143"/>
      <c r="V79" s="143"/>
      <c r="W79" s="143"/>
      <c r="X79" s="143"/>
      <c r="Y79" s="143"/>
      <c r="Z79" s="143"/>
      <c r="AA79" s="143"/>
      <c r="AB79" s="143"/>
      <c r="AC79" s="143"/>
      <c r="AD79" s="143"/>
      <c r="AE79" s="601" t="s">
        <v>675</v>
      </c>
      <c r="AF79" s="13"/>
      <c r="AG79" s="13"/>
      <c r="AH79" s="13"/>
      <c r="AI79" s="13"/>
      <c r="AJ79" s="13"/>
      <c r="AL79" s="13"/>
      <c r="AM79" s="13"/>
      <c r="AN79" s="13"/>
      <c r="AO79" s="13"/>
      <c r="AP79" s="13"/>
    </row>
    <row r="80" spans="1:42" s="7" customFormat="1" ht="15.75" customHeight="1">
      <c r="A80" s="1178"/>
      <c r="B80" s="1180" t="s">
        <v>676</v>
      </c>
      <c r="C80" s="49" t="s">
        <v>674</v>
      </c>
      <c r="D80" s="143"/>
      <c r="E80" s="49"/>
      <c r="F80" s="49"/>
      <c r="G80" s="51">
        <f>G81</f>
        <v>0</v>
      </c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61"/>
      <c r="S80" s="143"/>
      <c r="T80" s="143"/>
      <c r="U80" s="143"/>
      <c r="V80" s="143"/>
      <c r="W80" s="143"/>
      <c r="X80" s="143"/>
      <c r="Y80" s="143"/>
      <c r="Z80" s="143"/>
      <c r="AA80" s="143"/>
      <c r="AB80" s="143"/>
      <c r="AC80" s="143"/>
      <c r="AD80" s="143"/>
      <c r="AE80" s="601"/>
      <c r="AF80" s="13"/>
      <c r="AG80" s="13"/>
      <c r="AH80" s="13"/>
      <c r="AI80" s="13"/>
      <c r="AJ80" s="13"/>
      <c r="AL80" s="13"/>
      <c r="AM80" s="13"/>
      <c r="AN80" s="13"/>
      <c r="AO80" s="13"/>
      <c r="AP80" s="13"/>
    </row>
    <row r="81" spans="1:42" s="1" customFormat="1" ht="15.75" customHeight="1">
      <c r="A81" s="1178"/>
      <c r="B81" s="1180"/>
      <c r="C81" s="49" t="s">
        <v>677</v>
      </c>
      <c r="D81" s="144"/>
      <c r="E81" s="53"/>
      <c r="F81" s="53"/>
      <c r="G81" s="51">
        <f>R81</f>
        <v>0</v>
      </c>
      <c r="H81" s="148"/>
      <c r="I81" s="148" t="s">
        <v>680</v>
      </c>
      <c r="J81" s="149" t="s">
        <v>681</v>
      </c>
      <c r="K81" s="148"/>
      <c r="L81" s="149" t="s">
        <v>682</v>
      </c>
      <c r="M81" s="149" t="s">
        <v>681</v>
      </c>
      <c r="N81" s="151"/>
      <c r="O81" s="149" t="s">
        <v>683</v>
      </c>
      <c r="P81" s="149" t="s">
        <v>684</v>
      </c>
      <c r="Q81" s="152"/>
      <c r="R81" s="153">
        <f>H81*K81*N81</f>
        <v>0</v>
      </c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601"/>
      <c r="AF81" s="9"/>
      <c r="AG81" s="9"/>
      <c r="AH81" s="9"/>
      <c r="AI81" s="9"/>
      <c r="AJ81" s="9"/>
      <c r="AK81" s="2"/>
      <c r="AL81" s="9"/>
      <c r="AM81" s="9"/>
      <c r="AN81" s="9"/>
      <c r="AO81" s="9"/>
      <c r="AP81" s="9"/>
    </row>
    <row r="82" spans="1:42" s="1" customFormat="1" ht="15.75" customHeight="1">
      <c r="A82" s="1178"/>
      <c r="B82" s="1180" t="s">
        <v>685</v>
      </c>
      <c r="C82" s="49" t="s">
        <v>674</v>
      </c>
      <c r="D82" s="144"/>
      <c r="E82" s="53"/>
      <c r="F82" s="53"/>
      <c r="G82" s="51">
        <f>SUM(G83:G84)</f>
        <v>11054710</v>
      </c>
      <c r="H82" s="148"/>
      <c r="I82" s="148"/>
      <c r="J82" s="149"/>
      <c r="K82" s="148"/>
      <c r="L82" s="149"/>
      <c r="M82" s="149"/>
      <c r="N82" s="151"/>
      <c r="O82" s="149"/>
      <c r="P82" s="149"/>
      <c r="Q82" s="152"/>
      <c r="R82" s="153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601"/>
      <c r="AF82" s="9"/>
      <c r="AG82" s="9"/>
      <c r="AH82" s="9"/>
      <c r="AI82" s="9"/>
      <c r="AJ82" s="9"/>
      <c r="AK82" s="2"/>
      <c r="AL82" s="9"/>
      <c r="AM82" s="9"/>
      <c r="AN82" s="9"/>
      <c r="AO82" s="9"/>
      <c r="AP82" s="9"/>
    </row>
    <row r="83" spans="1:42" s="1" customFormat="1" ht="21" customHeight="1">
      <c r="A83" s="1178"/>
      <c r="B83" s="1180"/>
      <c r="C83" s="689" t="s">
        <v>685</v>
      </c>
      <c r="D83" s="144"/>
      <c r="E83" s="53"/>
      <c r="F83" s="53"/>
      <c r="G83" s="422">
        <f>R83</f>
        <v>11054710</v>
      </c>
      <c r="H83" s="154">
        <v>216759</v>
      </c>
      <c r="I83" s="154" t="s">
        <v>680</v>
      </c>
      <c r="J83" s="149" t="s">
        <v>681</v>
      </c>
      <c r="K83" s="154">
        <v>51</v>
      </c>
      <c r="L83" s="149" t="s">
        <v>682</v>
      </c>
      <c r="M83" s="149" t="s">
        <v>681</v>
      </c>
      <c r="N83" s="151">
        <v>1</v>
      </c>
      <c r="O83" s="149" t="s">
        <v>668</v>
      </c>
      <c r="P83" s="149" t="s">
        <v>684</v>
      </c>
      <c r="Q83" s="152"/>
      <c r="R83" s="153">
        <f>ROUND(H83*K83*N83,-1)</f>
        <v>11054710</v>
      </c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601"/>
      <c r="AF83" s="9"/>
      <c r="AG83" s="9"/>
      <c r="AH83" s="9"/>
      <c r="AI83" s="9"/>
      <c r="AJ83" s="9"/>
      <c r="AK83" s="2"/>
      <c r="AL83" s="9"/>
      <c r="AM83" s="9"/>
      <c r="AN83" s="9"/>
      <c r="AO83" s="9"/>
      <c r="AP83" s="9"/>
    </row>
    <row r="84" spans="1:42" s="1" customFormat="1" ht="15.75" customHeight="1">
      <c r="A84" s="1178"/>
      <c r="B84" s="1180"/>
      <c r="C84" s="49" t="s">
        <v>686</v>
      </c>
      <c r="D84" s="144"/>
      <c r="E84" s="53"/>
      <c r="F84" s="53"/>
      <c r="G84" s="51"/>
      <c r="H84" s="148"/>
      <c r="I84" s="148" t="s">
        <v>680</v>
      </c>
      <c r="J84" s="149" t="s">
        <v>681</v>
      </c>
      <c r="K84" s="148"/>
      <c r="L84" s="149" t="s">
        <v>682</v>
      </c>
      <c r="M84" s="149" t="s">
        <v>681</v>
      </c>
      <c r="N84" s="151"/>
      <c r="O84" s="149" t="s">
        <v>690</v>
      </c>
      <c r="P84" s="149" t="s">
        <v>684</v>
      </c>
      <c r="Q84" s="152"/>
      <c r="R84" s="153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601"/>
      <c r="AF84" s="9"/>
      <c r="AG84" s="9"/>
      <c r="AH84" s="9"/>
      <c r="AI84" s="9"/>
      <c r="AJ84" s="9"/>
      <c r="AK84" s="2"/>
      <c r="AL84" s="9"/>
      <c r="AM84" s="9"/>
      <c r="AN84" s="9"/>
      <c r="AO84" s="9"/>
      <c r="AP84" s="9"/>
    </row>
    <row r="85" spans="1:42" s="1" customFormat="1" ht="15.75" hidden="1" customHeight="1">
      <c r="A85" s="1178"/>
      <c r="B85" s="1180" t="s">
        <v>689</v>
      </c>
      <c r="C85" s="49" t="s">
        <v>674</v>
      </c>
      <c r="D85" s="144"/>
      <c r="E85" s="53"/>
      <c r="F85" s="53"/>
      <c r="G85" s="51">
        <f>SUM(G86:G87)</f>
        <v>0</v>
      </c>
      <c r="H85" s="148"/>
      <c r="I85" s="148"/>
      <c r="J85" s="149"/>
      <c r="K85" s="148"/>
      <c r="L85" s="149"/>
      <c r="M85" s="149"/>
      <c r="N85" s="151"/>
      <c r="O85" s="149"/>
      <c r="P85" s="149"/>
      <c r="Q85" s="152"/>
      <c r="R85" s="153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601"/>
      <c r="AF85" s="9"/>
      <c r="AG85" s="9"/>
      <c r="AH85" s="9"/>
      <c r="AI85" s="9"/>
      <c r="AJ85" s="9"/>
      <c r="AK85" s="2"/>
      <c r="AL85" s="9"/>
      <c r="AM85" s="9"/>
      <c r="AN85" s="9"/>
      <c r="AO85" s="9"/>
      <c r="AP85" s="9"/>
    </row>
    <row r="86" spans="1:42" s="1" customFormat="1" ht="15.75" hidden="1" customHeight="1">
      <c r="A86" s="1178"/>
      <c r="B86" s="1180"/>
      <c r="C86" s="49" t="s">
        <v>689</v>
      </c>
      <c r="D86" s="144"/>
      <c r="E86" s="53"/>
      <c r="F86" s="53"/>
      <c r="G86" s="51">
        <f>R86</f>
        <v>0</v>
      </c>
      <c r="H86" s="148">
        <f>H77</f>
        <v>0</v>
      </c>
      <c r="I86" s="148" t="s">
        <v>680</v>
      </c>
      <c r="J86" s="149" t="s">
        <v>681</v>
      </c>
      <c r="K86" s="148">
        <v>51</v>
      </c>
      <c r="L86" s="149" t="s">
        <v>682</v>
      </c>
      <c r="M86" s="149" t="s">
        <v>681</v>
      </c>
      <c r="N86" s="151">
        <v>1</v>
      </c>
      <c r="O86" s="149" t="s">
        <v>687</v>
      </c>
      <c r="P86" s="149" t="s">
        <v>684</v>
      </c>
      <c r="Q86" s="152"/>
      <c r="R86" s="153">
        <f>ROUND(H86*K86*N86,-1)</f>
        <v>0</v>
      </c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601"/>
      <c r="AF86" s="9"/>
      <c r="AG86" s="9"/>
      <c r="AH86" s="9"/>
      <c r="AI86" s="9"/>
      <c r="AJ86" s="9"/>
      <c r="AK86" s="2"/>
      <c r="AL86" s="9"/>
      <c r="AM86" s="9"/>
      <c r="AN86" s="9"/>
      <c r="AO86" s="9"/>
      <c r="AP86" s="9"/>
    </row>
    <row r="87" spans="1:42" s="1" customFormat="1" ht="15.75" hidden="1" customHeight="1">
      <c r="A87" s="1178"/>
      <c r="B87" s="1180"/>
      <c r="C87" s="49" t="s">
        <v>688</v>
      </c>
      <c r="D87" s="144"/>
      <c r="E87" s="53"/>
      <c r="F87" s="53"/>
      <c r="G87" s="51">
        <f>R87</f>
        <v>0</v>
      </c>
      <c r="H87" s="148"/>
      <c r="I87" s="148" t="s">
        <v>680</v>
      </c>
      <c r="J87" s="149" t="s">
        <v>681</v>
      </c>
      <c r="K87" s="148"/>
      <c r="L87" s="149" t="s">
        <v>682</v>
      </c>
      <c r="M87" s="149" t="s">
        <v>681</v>
      </c>
      <c r="N87" s="151"/>
      <c r="O87" s="149" t="s">
        <v>690</v>
      </c>
      <c r="P87" s="149" t="s">
        <v>684</v>
      </c>
      <c r="Q87" s="152"/>
      <c r="R87" s="153">
        <f>H87*K87*N87</f>
        <v>0</v>
      </c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601"/>
      <c r="AF87" s="9"/>
      <c r="AG87" s="9"/>
      <c r="AH87" s="9"/>
      <c r="AI87" s="9"/>
      <c r="AJ87" s="9"/>
      <c r="AK87" s="2"/>
      <c r="AL87" s="9"/>
      <c r="AM87" s="9"/>
      <c r="AN87" s="9"/>
      <c r="AO87" s="9"/>
      <c r="AP87" s="9"/>
    </row>
    <row r="88" spans="1:42" s="7" customFormat="1" ht="15.75" customHeight="1">
      <c r="A88" s="1177" t="s">
        <v>697</v>
      </c>
      <c r="B88" s="1180" t="s">
        <v>674</v>
      </c>
      <c r="C88" s="1180"/>
      <c r="D88" s="143"/>
      <c r="E88" s="49"/>
      <c r="F88" s="49"/>
      <c r="G88" s="51">
        <f>G89+G91+G94</f>
        <v>12830632</v>
      </c>
      <c r="H88" s="147"/>
      <c r="I88" s="147"/>
      <c r="J88" s="147"/>
      <c r="K88" s="147"/>
      <c r="L88" s="147"/>
      <c r="M88" s="147"/>
      <c r="N88" s="147"/>
      <c r="O88" s="147"/>
      <c r="P88" s="147"/>
      <c r="Q88" s="147"/>
      <c r="R88" s="61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601" t="s">
        <v>675</v>
      </c>
      <c r="AF88" s="13"/>
      <c r="AG88" s="13"/>
      <c r="AH88" s="13"/>
      <c r="AI88" s="13"/>
      <c r="AJ88" s="13"/>
      <c r="AL88" s="13"/>
      <c r="AM88" s="13"/>
      <c r="AN88" s="13"/>
      <c r="AO88" s="13"/>
      <c r="AP88" s="13"/>
    </row>
    <row r="89" spans="1:42" s="7" customFormat="1" ht="15.75" customHeight="1">
      <c r="A89" s="1178"/>
      <c r="B89" s="1180" t="s">
        <v>676</v>
      </c>
      <c r="C89" s="49" t="s">
        <v>674</v>
      </c>
      <c r="D89" s="143"/>
      <c r="E89" s="49"/>
      <c r="F89" s="49"/>
      <c r="G89" s="51">
        <f>G90</f>
        <v>1775922</v>
      </c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61"/>
      <c r="S89" s="143"/>
      <c r="T89" s="143"/>
      <c r="U89" s="143"/>
      <c r="V89" s="143"/>
      <c r="W89" s="143"/>
      <c r="X89" s="143"/>
      <c r="Y89" s="143"/>
      <c r="Z89" s="143"/>
      <c r="AA89" s="143"/>
      <c r="AB89" s="143"/>
      <c r="AC89" s="143"/>
      <c r="AD89" s="143"/>
      <c r="AE89" s="601"/>
      <c r="AF89" s="13"/>
      <c r="AG89" s="13"/>
      <c r="AH89" s="13"/>
      <c r="AI89" s="13"/>
      <c r="AJ89" s="13"/>
      <c r="AL89" s="13"/>
      <c r="AM89" s="13"/>
      <c r="AN89" s="13"/>
      <c r="AO89" s="13"/>
      <c r="AP89" s="13"/>
    </row>
    <row r="90" spans="1:42" s="1" customFormat="1" ht="15.75" customHeight="1">
      <c r="A90" s="1178"/>
      <c r="B90" s="1180"/>
      <c r="C90" s="49" t="s">
        <v>677</v>
      </c>
      <c r="D90" s="144"/>
      <c r="E90" s="53"/>
      <c r="F90" s="53"/>
      <c r="G90" s="51">
        <f>R90</f>
        <v>1775922</v>
      </c>
      <c r="H90" s="148">
        <v>34822</v>
      </c>
      <c r="I90" s="148" t="s">
        <v>680</v>
      </c>
      <c r="J90" s="149" t="s">
        <v>681</v>
      </c>
      <c r="K90" s="148">
        <v>51</v>
      </c>
      <c r="L90" s="149" t="s">
        <v>682</v>
      </c>
      <c r="M90" s="149" t="s">
        <v>681</v>
      </c>
      <c r="N90" s="151">
        <v>1</v>
      </c>
      <c r="O90" s="149" t="s">
        <v>683</v>
      </c>
      <c r="P90" s="149" t="s">
        <v>684</v>
      </c>
      <c r="Q90" s="152"/>
      <c r="R90" s="153">
        <f>H90*K90*N90</f>
        <v>1775922</v>
      </c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601" t="s">
        <v>698</v>
      </c>
      <c r="AF90" s="9"/>
      <c r="AG90" s="9"/>
      <c r="AH90" s="9"/>
      <c r="AI90" s="9"/>
      <c r="AJ90" s="9"/>
      <c r="AK90" s="2"/>
      <c r="AL90" s="9"/>
      <c r="AM90" s="9"/>
      <c r="AN90" s="9"/>
      <c r="AO90" s="9"/>
      <c r="AP90" s="9"/>
    </row>
    <row r="91" spans="1:42" s="1" customFormat="1" ht="15.75" customHeight="1">
      <c r="A91" s="1178"/>
      <c r="B91" s="1180" t="s">
        <v>685</v>
      </c>
      <c r="C91" s="49" t="s">
        <v>674</v>
      </c>
      <c r="D91" s="144"/>
      <c r="E91" s="53"/>
      <c r="F91" s="53"/>
      <c r="G91" s="51">
        <f>SUM(G92:G93)</f>
        <v>11054710</v>
      </c>
      <c r="H91" s="148"/>
      <c r="I91" s="148"/>
      <c r="J91" s="149"/>
      <c r="K91" s="148"/>
      <c r="L91" s="149"/>
      <c r="M91" s="149"/>
      <c r="N91" s="151"/>
      <c r="O91" s="149"/>
      <c r="P91" s="149"/>
      <c r="Q91" s="152"/>
      <c r="R91" s="153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601"/>
      <c r="AF91" s="9"/>
      <c r="AG91" s="9"/>
      <c r="AH91" s="9"/>
      <c r="AI91" s="9"/>
      <c r="AJ91" s="9"/>
      <c r="AK91" s="2"/>
      <c r="AL91" s="9"/>
      <c r="AM91" s="9"/>
      <c r="AN91" s="9"/>
      <c r="AO91" s="9"/>
      <c r="AP91" s="9"/>
    </row>
    <row r="92" spans="1:42" s="1" customFormat="1" ht="21" customHeight="1">
      <c r="A92" s="1178"/>
      <c r="B92" s="1180"/>
      <c r="C92" s="689" t="s">
        <v>685</v>
      </c>
      <c r="D92" s="144"/>
      <c r="E92" s="53"/>
      <c r="F92" s="53"/>
      <c r="G92" s="51">
        <f>R92</f>
        <v>11054710</v>
      </c>
      <c r="H92" s="154">
        <f>H83</f>
        <v>216759</v>
      </c>
      <c r="I92" s="154" t="s">
        <v>680</v>
      </c>
      <c r="J92" s="149" t="s">
        <v>681</v>
      </c>
      <c r="K92" s="154">
        <v>51</v>
      </c>
      <c r="L92" s="149" t="s">
        <v>682</v>
      </c>
      <c r="M92" s="149" t="s">
        <v>681</v>
      </c>
      <c r="N92" s="151">
        <v>1</v>
      </c>
      <c r="O92" s="149" t="s">
        <v>668</v>
      </c>
      <c r="P92" s="149" t="s">
        <v>684</v>
      </c>
      <c r="Q92" s="152"/>
      <c r="R92" s="153">
        <f>ROUND(H92*K92*N92,-1)</f>
        <v>11054710</v>
      </c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601"/>
      <c r="AF92" s="9"/>
      <c r="AG92" s="9"/>
      <c r="AH92" s="9"/>
      <c r="AI92" s="9"/>
      <c r="AJ92" s="9"/>
      <c r="AK92" s="2"/>
      <c r="AL92" s="9"/>
      <c r="AM92" s="9"/>
      <c r="AN92" s="9"/>
      <c r="AO92" s="9"/>
      <c r="AP92" s="9"/>
    </row>
    <row r="93" spans="1:42" s="1" customFormat="1" ht="15.75" customHeight="1">
      <c r="A93" s="1178"/>
      <c r="B93" s="1180"/>
      <c r="C93" s="49" t="s">
        <v>686</v>
      </c>
      <c r="D93" s="144"/>
      <c r="E93" s="53"/>
      <c r="F93" s="53"/>
      <c r="G93" s="51">
        <f>R93</f>
        <v>0</v>
      </c>
      <c r="H93" s="148"/>
      <c r="I93" s="148" t="s">
        <v>680</v>
      </c>
      <c r="J93" s="149" t="s">
        <v>681</v>
      </c>
      <c r="K93" s="148"/>
      <c r="L93" s="149" t="s">
        <v>682</v>
      </c>
      <c r="M93" s="149" t="s">
        <v>681</v>
      </c>
      <c r="N93" s="151">
        <v>1</v>
      </c>
      <c r="O93" s="149" t="s">
        <v>690</v>
      </c>
      <c r="P93" s="149" t="s">
        <v>684</v>
      </c>
      <c r="Q93" s="152"/>
      <c r="R93" s="153">
        <f>ROUND(H93*K93*N93,-1)</f>
        <v>0</v>
      </c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601"/>
      <c r="AF93" s="9"/>
      <c r="AG93" s="9"/>
      <c r="AH93" s="9"/>
      <c r="AI93" s="9"/>
      <c r="AJ93" s="9"/>
      <c r="AK93" s="2"/>
      <c r="AL93" s="9"/>
      <c r="AM93" s="9"/>
      <c r="AN93" s="9"/>
      <c r="AO93" s="9"/>
      <c r="AP93" s="9"/>
    </row>
    <row r="94" spans="1:42" s="1" customFormat="1" ht="15.75" hidden="1" customHeight="1">
      <c r="A94" s="1178"/>
      <c r="B94" s="1180" t="s">
        <v>689</v>
      </c>
      <c r="C94" s="49" t="s">
        <v>674</v>
      </c>
      <c r="D94" s="144"/>
      <c r="E94" s="53"/>
      <c r="F94" s="53"/>
      <c r="G94" s="51">
        <f>SUM(G95:G96)</f>
        <v>0</v>
      </c>
      <c r="H94" s="148"/>
      <c r="I94" s="148"/>
      <c r="J94" s="149"/>
      <c r="K94" s="148"/>
      <c r="L94" s="149"/>
      <c r="M94" s="149"/>
      <c r="N94" s="151"/>
      <c r="O94" s="149"/>
      <c r="P94" s="149"/>
      <c r="Q94" s="152"/>
      <c r="R94" s="153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601"/>
      <c r="AF94" s="9"/>
      <c r="AG94" s="9"/>
      <c r="AH94" s="9"/>
      <c r="AI94" s="9"/>
      <c r="AJ94" s="9"/>
      <c r="AK94" s="2"/>
      <c r="AL94" s="9"/>
      <c r="AM94" s="9"/>
      <c r="AN94" s="9"/>
      <c r="AO94" s="9"/>
      <c r="AP94" s="9"/>
    </row>
    <row r="95" spans="1:42" s="1" customFormat="1" ht="15.75" hidden="1" customHeight="1">
      <c r="A95" s="1178"/>
      <c r="B95" s="1180"/>
      <c r="C95" s="49" t="s">
        <v>689</v>
      </c>
      <c r="D95" s="144"/>
      <c r="E95" s="53"/>
      <c r="F95" s="53"/>
      <c r="G95" s="51">
        <f>R95</f>
        <v>0</v>
      </c>
      <c r="H95" s="148">
        <f>H86</f>
        <v>0</v>
      </c>
      <c r="I95" s="148" t="s">
        <v>680</v>
      </c>
      <c r="J95" s="149" t="s">
        <v>681</v>
      </c>
      <c r="K95" s="148">
        <v>51</v>
      </c>
      <c r="L95" s="149" t="s">
        <v>682</v>
      </c>
      <c r="M95" s="149" t="s">
        <v>681</v>
      </c>
      <c r="N95" s="151">
        <v>1</v>
      </c>
      <c r="O95" s="149" t="s">
        <v>687</v>
      </c>
      <c r="P95" s="149" t="s">
        <v>684</v>
      </c>
      <c r="Q95" s="152"/>
      <c r="R95" s="153">
        <f>ROUND(H95*K95*N95,-1)</f>
        <v>0</v>
      </c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601"/>
      <c r="AF95" s="9"/>
      <c r="AG95" s="9"/>
      <c r="AH95" s="9"/>
      <c r="AI95" s="9"/>
      <c r="AJ95" s="9"/>
      <c r="AK95" s="2"/>
      <c r="AL95" s="9"/>
      <c r="AM95" s="9"/>
      <c r="AN95" s="9"/>
      <c r="AO95" s="9"/>
      <c r="AP95" s="9"/>
    </row>
    <row r="96" spans="1:42" s="1" customFormat="1" ht="15.75" hidden="1" customHeight="1">
      <c r="A96" s="1178"/>
      <c r="B96" s="1180"/>
      <c r="C96" s="49" t="s">
        <v>688</v>
      </c>
      <c r="D96" s="144"/>
      <c r="E96" s="53"/>
      <c r="F96" s="53"/>
      <c r="G96" s="51">
        <f>R96</f>
        <v>0</v>
      </c>
      <c r="H96" s="148"/>
      <c r="I96" s="148" t="s">
        <v>680</v>
      </c>
      <c r="J96" s="149" t="s">
        <v>681</v>
      </c>
      <c r="K96" s="148"/>
      <c r="L96" s="149" t="s">
        <v>682</v>
      </c>
      <c r="M96" s="149" t="s">
        <v>681</v>
      </c>
      <c r="N96" s="151">
        <v>1</v>
      </c>
      <c r="O96" s="149" t="s">
        <v>690</v>
      </c>
      <c r="P96" s="149" t="s">
        <v>684</v>
      </c>
      <c r="Q96" s="152"/>
      <c r="R96" s="153">
        <f>H96*K96*N96</f>
        <v>0</v>
      </c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601"/>
      <c r="AF96" s="9"/>
      <c r="AG96" s="9"/>
      <c r="AH96" s="9"/>
      <c r="AI96" s="9"/>
      <c r="AJ96" s="9"/>
      <c r="AK96" s="2"/>
      <c r="AL96" s="9"/>
      <c r="AM96" s="9"/>
      <c r="AN96" s="9"/>
      <c r="AO96" s="9"/>
      <c r="AP96" s="9"/>
    </row>
    <row r="97" spans="1:42" s="7" customFormat="1" ht="15.75" customHeight="1">
      <c r="A97" s="1177" t="s">
        <v>699</v>
      </c>
      <c r="B97" s="1180" t="s">
        <v>674</v>
      </c>
      <c r="C97" s="1180"/>
      <c r="D97" s="143"/>
      <c r="E97" s="49"/>
      <c r="F97" s="49"/>
      <c r="G97" s="51">
        <f>G98+G100+G102+G104</f>
        <v>12602360</v>
      </c>
      <c r="H97" s="147"/>
      <c r="I97" s="147"/>
      <c r="J97" s="147"/>
      <c r="K97" s="147"/>
      <c r="L97" s="147"/>
      <c r="M97" s="147"/>
      <c r="N97" s="147"/>
      <c r="O97" s="147"/>
      <c r="P97" s="147"/>
      <c r="Q97" s="147"/>
      <c r="R97" s="61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601" t="s">
        <v>675</v>
      </c>
      <c r="AF97" s="13"/>
      <c r="AG97" s="13"/>
      <c r="AH97" s="13"/>
      <c r="AI97" s="13"/>
      <c r="AJ97" s="13"/>
      <c r="AL97" s="13"/>
      <c r="AM97" s="13"/>
      <c r="AN97" s="13"/>
      <c r="AO97" s="13"/>
      <c r="AP97" s="13"/>
    </row>
    <row r="98" spans="1:42" s="7" customFormat="1" ht="15.75" customHeight="1">
      <c r="A98" s="1178"/>
      <c r="B98" s="1180" t="s">
        <v>676</v>
      </c>
      <c r="C98" s="49" t="s">
        <v>674</v>
      </c>
      <c r="D98" s="143"/>
      <c r="E98" s="49"/>
      <c r="F98" s="49"/>
      <c r="G98" s="51">
        <f>G99</f>
        <v>0</v>
      </c>
      <c r="H98" s="147"/>
      <c r="I98" s="147"/>
      <c r="J98" s="147"/>
      <c r="K98" s="147"/>
      <c r="L98" s="147"/>
      <c r="M98" s="147"/>
      <c r="N98" s="147"/>
      <c r="O98" s="147"/>
      <c r="P98" s="147"/>
      <c r="Q98" s="147"/>
      <c r="R98" s="61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601"/>
      <c r="AF98" s="13"/>
      <c r="AG98" s="13"/>
      <c r="AH98" s="13"/>
      <c r="AI98" s="13"/>
      <c r="AJ98" s="13"/>
      <c r="AL98" s="13"/>
      <c r="AM98" s="13"/>
      <c r="AN98" s="13"/>
      <c r="AO98" s="13"/>
      <c r="AP98" s="13"/>
    </row>
    <row r="99" spans="1:42" s="1" customFormat="1" ht="15.75" customHeight="1">
      <c r="A99" s="1178"/>
      <c r="B99" s="1180"/>
      <c r="C99" s="49" t="s">
        <v>677</v>
      </c>
      <c r="D99" s="144"/>
      <c r="E99" s="53"/>
      <c r="F99" s="53"/>
      <c r="G99" s="51">
        <f>R99</f>
        <v>0</v>
      </c>
      <c r="H99" s="148"/>
      <c r="I99" s="148" t="s">
        <v>680</v>
      </c>
      <c r="J99" s="149" t="s">
        <v>681</v>
      </c>
      <c r="K99" s="148"/>
      <c r="L99" s="149" t="s">
        <v>682</v>
      </c>
      <c r="M99" s="149" t="s">
        <v>681</v>
      </c>
      <c r="N99" s="151"/>
      <c r="O99" s="149" t="s">
        <v>683</v>
      </c>
      <c r="P99" s="149" t="s">
        <v>684</v>
      </c>
      <c r="Q99" s="152"/>
      <c r="R99" s="153">
        <f>H99*K99*N99</f>
        <v>0</v>
      </c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601"/>
      <c r="AF99" s="9"/>
      <c r="AG99" s="9"/>
      <c r="AH99" s="9"/>
      <c r="AI99" s="9"/>
      <c r="AJ99" s="9"/>
      <c r="AK99" s="2"/>
      <c r="AL99" s="9"/>
      <c r="AM99" s="9"/>
      <c r="AN99" s="9"/>
      <c r="AO99" s="9"/>
      <c r="AP99" s="9"/>
    </row>
    <row r="100" spans="1:42" s="1" customFormat="1" ht="15.75" customHeight="1">
      <c r="A100" s="1178"/>
      <c r="B100" s="49" t="s">
        <v>674</v>
      </c>
      <c r="C100" s="49" t="s">
        <v>674</v>
      </c>
      <c r="D100" s="144"/>
      <c r="E100" s="53"/>
      <c r="F100" s="53"/>
      <c r="G100" s="51">
        <f>G101</f>
        <v>11054710</v>
      </c>
      <c r="H100" s="148"/>
      <c r="I100" s="148"/>
      <c r="J100" s="149"/>
      <c r="K100" s="148"/>
      <c r="L100" s="149"/>
      <c r="M100" s="149"/>
      <c r="N100" s="151"/>
      <c r="O100" s="149"/>
      <c r="P100" s="149"/>
      <c r="Q100" s="152"/>
      <c r="R100" s="153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601"/>
      <c r="AF100" s="9"/>
      <c r="AG100" s="9"/>
      <c r="AH100" s="9"/>
      <c r="AI100" s="9"/>
      <c r="AJ100" s="9"/>
      <c r="AK100" s="2"/>
      <c r="AL100" s="9"/>
      <c r="AM100" s="9"/>
      <c r="AN100" s="9"/>
      <c r="AO100" s="9"/>
      <c r="AP100" s="9"/>
    </row>
    <row r="101" spans="1:42" s="1" customFormat="1" ht="21" customHeight="1">
      <c r="A101" s="1178"/>
      <c r="B101" s="49" t="s">
        <v>685</v>
      </c>
      <c r="C101" s="689" t="s">
        <v>685</v>
      </c>
      <c r="D101" s="144"/>
      <c r="E101" s="53"/>
      <c r="F101" s="53"/>
      <c r="G101" s="51">
        <f>R101</f>
        <v>11054710</v>
      </c>
      <c r="H101" s="154">
        <f>H92</f>
        <v>216759</v>
      </c>
      <c r="I101" s="154" t="s">
        <v>680</v>
      </c>
      <c r="J101" s="149" t="s">
        <v>681</v>
      </c>
      <c r="K101" s="154">
        <v>51</v>
      </c>
      <c r="L101" s="149" t="s">
        <v>682</v>
      </c>
      <c r="M101" s="149" t="s">
        <v>681</v>
      </c>
      <c r="N101" s="151">
        <v>1</v>
      </c>
      <c r="O101" s="149" t="s">
        <v>668</v>
      </c>
      <c r="P101" s="149" t="s">
        <v>684</v>
      </c>
      <c r="Q101" s="152"/>
      <c r="R101" s="153">
        <f>ROUND(H101*K101*N101,-1)</f>
        <v>11054710</v>
      </c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601"/>
      <c r="AF101" s="9"/>
      <c r="AG101" s="9"/>
      <c r="AH101" s="9"/>
      <c r="AI101" s="9"/>
      <c r="AJ101" s="9"/>
      <c r="AK101" s="2"/>
      <c r="AL101" s="9"/>
      <c r="AM101" s="9"/>
      <c r="AN101" s="9"/>
      <c r="AO101" s="9"/>
      <c r="AP101" s="9"/>
    </row>
    <row r="102" spans="1:42" s="1" customFormat="1" ht="15.75" customHeight="1">
      <c r="A102" s="1178"/>
      <c r="B102" s="49" t="s">
        <v>674</v>
      </c>
      <c r="C102" s="49" t="s">
        <v>674</v>
      </c>
      <c r="D102" s="144"/>
      <c r="E102" s="53"/>
      <c r="F102" s="53"/>
      <c r="G102" s="51">
        <f>G103</f>
        <v>1547650</v>
      </c>
      <c r="H102" s="154"/>
      <c r="I102" s="154"/>
      <c r="J102" s="149"/>
      <c r="K102" s="154"/>
      <c r="L102" s="149"/>
      <c r="M102" s="149"/>
      <c r="N102" s="151"/>
      <c r="O102" s="149"/>
      <c r="P102" s="149"/>
      <c r="Q102" s="152"/>
      <c r="R102" s="153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601"/>
      <c r="AF102" s="9"/>
      <c r="AG102" s="9"/>
      <c r="AH102" s="9"/>
      <c r="AI102" s="9"/>
      <c r="AJ102" s="9"/>
      <c r="AK102" s="2"/>
      <c r="AL102" s="9"/>
      <c r="AM102" s="9"/>
      <c r="AN102" s="9"/>
      <c r="AO102" s="9"/>
      <c r="AP102" s="9"/>
    </row>
    <row r="103" spans="1:42" s="1" customFormat="1" ht="15.75" customHeight="1">
      <c r="A103" s="1178"/>
      <c r="B103" s="49" t="s">
        <v>686</v>
      </c>
      <c r="C103" s="49" t="s">
        <v>686</v>
      </c>
      <c r="D103" s="144"/>
      <c r="E103" s="53"/>
      <c r="F103" s="53"/>
      <c r="G103" s="51">
        <f>R103</f>
        <v>1547650</v>
      </c>
      <c r="H103" s="148">
        <v>30346</v>
      </c>
      <c r="I103" s="148" t="s">
        <v>680</v>
      </c>
      <c r="J103" s="149" t="s">
        <v>681</v>
      </c>
      <c r="K103" s="148">
        <v>51</v>
      </c>
      <c r="L103" s="149" t="s">
        <v>682</v>
      </c>
      <c r="M103" s="149" t="s">
        <v>681</v>
      </c>
      <c r="N103" s="151">
        <v>1</v>
      </c>
      <c r="O103" s="149" t="s">
        <v>690</v>
      </c>
      <c r="P103" s="149" t="s">
        <v>684</v>
      </c>
      <c r="Q103" s="152"/>
      <c r="R103" s="153">
        <f>ROUND(H103*K103*N103,-1)</f>
        <v>1547650</v>
      </c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601" t="s">
        <v>700</v>
      </c>
      <c r="AF103" s="9"/>
      <c r="AG103" s="9"/>
      <c r="AH103" s="9"/>
      <c r="AI103" s="9"/>
      <c r="AJ103" s="9"/>
      <c r="AK103" s="2"/>
      <c r="AL103" s="9"/>
      <c r="AM103" s="9"/>
      <c r="AN103" s="9"/>
      <c r="AO103" s="9"/>
      <c r="AP103" s="9"/>
    </row>
    <row r="104" spans="1:42" s="1" customFormat="1" ht="15.75" hidden="1" customHeight="1">
      <c r="A104" s="1178"/>
      <c r="B104" s="1180" t="s">
        <v>689</v>
      </c>
      <c r="C104" s="49" t="s">
        <v>674</v>
      </c>
      <c r="D104" s="144"/>
      <c r="E104" s="53"/>
      <c r="F104" s="53"/>
      <c r="G104" s="51">
        <f>SUM(G105:G106)</f>
        <v>0</v>
      </c>
      <c r="H104" s="148"/>
      <c r="I104" s="148"/>
      <c r="J104" s="149"/>
      <c r="K104" s="148"/>
      <c r="L104" s="149"/>
      <c r="M104" s="149"/>
      <c r="N104" s="151"/>
      <c r="O104" s="149"/>
      <c r="P104" s="149"/>
      <c r="Q104" s="152"/>
      <c r="R104" s="153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601"/>
      <c r="AF104" s="9"/>
      <c r="AG104" s="9"/>
      <c r="AH104" s="9"/>
      <c r="AI104" s="9"/>
      <c r="AJ104" s="9"/>
      <c r="AK104" s="2"/>
      <c r="AL104" s="9"/>
      <c r="AM104" s="9"/>
      <c r="AN104" s="9"/>
      <c r="AO104" s="9"/>
      <c r="AP104" s="9"/>
    </row>
    <row r="105" spans="1:42" s="1" customFormat="1" ht="15.75" hidden="1" customHeight="1">
      <c r="A105" s="1178"/>
      <c r="B105" s="1180"/>
      <c r="C105" s="49" t="s">
        <v>689</v>
      </c>
      <c r="D105" s="144"/>
      <c r="E105" s="53"/>
      <c r="F105" s="53"/>
      <c r="G105" s="51">
        <f>R105</f>
        <v>0</v>
      </c>
      <c r="H105" s="148">
        <f>H95</f>
        <v>0</v>
      </c>
      <c r="I105" s="148" t="s">
        <v>680</v>
      </c>
      <c r="J105" s="149" t="s">
        <v>681</v>
      </c>
      <c r="K105" s="148">
        <v>51</v>
      </c>
      <c r="L105" s="149" t="s">
        <v>682</v>
      </c>
      <c r="M105" s="149" t="s">
        <v>681</v>
      </c>
      <c r="N105" s="151">
        <v>1</v>
      </c>
      <c r="O105" s="149" t="s">
        <v>687</v>
      </c>
      <c r="P105" s="149" t="s">
        <v>684</v>
      </c>
      <c r="Q105" s="152"/>
      <c r="R105" s="153">
        <f>ROUND(H105*K105*N105,-1)</f>
        <v>0</v>
      </c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601"/>
      <c r="AF105" s="9"/>
      <c r="AG105" s="9"/>
      <c r="AH105" s="9"/>
      <c r="AI105" s="9"/>
      <c r="AJ105" s="9"/>
      <c r="AK105" s="2"/>
      <c r="AL105" s="9"/>
      <c r="AM105" s="9"/>
      <c r="AN105" s="9"/>
      <c r="AO105" s="9"/>
      <c r="AP105" s="9"/>
    </row>
    <row r="106" spans="1:42" s="1" customFormat="1" ht="15.75" hidden="1" customHeight="1">
      <c r="A106" s="1178"/>
      <c r="B106" s="1180"/>
      <c r="C106" s="49" t="s">
        <v>688</v>
      </c>
      <c r="D106" s="144"/>
      <c r="E106" s="53"/>
      <c r="F106" s="53"/>
      <c r="G106" s="51">
        <f>R106</f>
        <v>0</v>
      </c>
      <c r="H106" s="148"/>
      <c r="I106" s="148" t="s">
        <v>680</v>
      </c>
      <c r="J106" s="149" t="s">
        <v>681</v>
      </c>
      <c r="K106" s="148">
        <v>51</v>
      </c>
      <c r="L106" s="149" t="s">
        <v>682</v>
      </c>
      <c r="M106" s="149" t="s">
        <v>681</v>
      </c>
      <c r="N106" s="151">
        <v>1</v>
      </c>
      <c r="O106" s="149" t="s">
        <v>690</v>
      </c>
      <c r="P106" s="149" t="s">
        <v>684</v>
      </c>
      <c r="Q106" s="152"/>
      <c r="R106" s="153">
        <f>H106*K106*N106</f>
        <v>0</v>
      </c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601" t="s">
        <v>701</v>
      </c>
      <c r="AF106" s="9"/>
      <c r="AG106" s="9"/>
      <c r="AH106" s="9"/>
      <c r="AI106" s="9"/>
      <c r="AJ106" s="9"/>
      <c r="AK106" s="2"/>
      <c r="AL106" s="9"/>
      <c r="AM106" s="9"/>
      <c r="AN106" s="9"/>
      <c r="AO106" s="9"/>
      <c r="AP106" s="9"/>
    </row>
    <row r="107" spans="1:42" s="7" customFormat="1" ht="15.75" customHeight="1">
      <c r="A107" s="1177" t="s">
        <v>702</v>
      </c>
      <c r="B107" s="1180" t="s">
        <v>703</v>
      </c>
      <c r="C107" s="1180"/>
      <c r="D107" s="143"/>
      <c r="E107" s="49"/>
      <c r="F107" s="49"/>
      <c r="G107" s="51">
        <f>G108+G110+G113</f>
        <v>11054710</v>
      </c>
      <c r="H107" s="147"/>
      <c r="I107" s="147"/>
      <c r="J107" s="147"/>
      <c r="K107" s="147"/>
      <c r="L107" s="147"/>
      <c r="M107" s="147"/>
      <c r="N107" s="147"/>
      <c r="O107" s="147"/>
      <c r="P107" s="147"/>
      <c r="Q107" s="147"/>
      <c r="R107" s="61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601" t="s">
        <v>704</v>
      </c>
      <c r="AF107" s="13"/>
      <c r="AG107" s="13"/>
      <c r="AH107" s="13"/>
      <c r="AI107" s="13"/>
      <c r="AJ107" s="13"/>
      <c r="AL107" s="13"/>
      <c r="AM107" s="13"/>
      <c r="AN107" s="13"/>
      <c r="AO107" s="13"/>
      <c r="AP107" s="13"/>
    </row>
    <row r="108" spans="1:42" s="7" customFormat="1" ht="15.75" customHeight="1">
      <c r="A108" s="1178"/>
      <c r="B108" s="1180" t="s">
        <v>705</v>
      </c>
      <c r="C108" s="49" t="s">
        <v>703</v>
      </c>
      <c r="D108" s="143"/>
      <c r="E108" s="49"/>
      <c r="F108" s="49"/>
      <c r="G108" s="51">
        <f>G109</f>
        <v>0</v>
      </c>
      <c r="H108" s="147"/>
      <c r="I108" s="147"/>
      <c r="J108" s="147"/>
      <c r="K108" s="147"/>
      <c r="L108" s="147"/>
      <c r="M108" s="147"/>
      <c r="N108" s="147"/>
      <c r="O108" s="147"/>
      <c r="P108" s="147"/>
      <c r="Q108" s="147"/>
      <c r="R108" s="61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601"/>
      <c r="AF108" s="13"/>
      <c r="AG108" s="13"/>
      <c r="AH108" s="13"/>
      <c r="AI108" s="13"/>
      <c r="AJ108" s="13"/>
      <c r="AL108" s="13"/>
      <c r="AM108" s="13"/>
      <c r="AN108" s="13"/>
      <c r="AO108" s="13"/>
      <c r="AP108" s="13"/>
    </row>
    <row r="109" spans="1:42" s="1" customFormat="1" ht="15.75" customHeight="1">
      <c r="A109" s="1178"/>
      <c r="B109" s="1180"/>
      <c r="C109" s="49" t="s">
        <v>706</v>
      </c>
      <c r="D109" s="144"/>
      <c r="E109" s="53"/>
      <c r="F109" s="53"/>
      <c r="G109" s="51">
        <f>R109</f>
        <v>0</v>
      </c>
      <c r="H109" s="148"/>
      <c r="I109" s="148" t="s">
        <v>707</v>
      </c>
      <c r="J109" s="149" t="s">
        <v>708</v>
      </c>
      <c r="K109" s="148"/>
      <c r="L109" s="149" t="s">
        <v>709</v>
      </c>
      <c r="M109" s="149" t="s">
        <v>708</v>
      </c>
      <c r="N109" s="151">
        <v>1</v>
      </c>
      <c r="O109" s="149" t="s">
        <v>710</v>
      </c>
      <c r="P109" s="149" t="s">
        <v>711</v>
      </c>
      <c r="Q109" s="152"/>
      <c r="R109" s="153">
        <f>H109*K109*N109</f>
        <v>0</v>
      </c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601"/>
      <c r="AF109" s="9"/>
      <c r="AG109" s="9"/>
      <c r="AH109" s="9"/>
      <c r="AI109" s="9"/>
      <c r="AJ109" s="9"/>
      <c r="AK109" s="2"/>
      <c r="AL109" s="9"/>
      <c r="AM109" s="9"/>
      <c r="AN109" s="9"/>
      <c r="AO109" s="9"/>
      <c r="AP109" s="9"/>
    </row>
    <row r="110" spans="1:42" s="1" customFormat="1" ht="15.75" customHeight="1">
      <c r="A110" s="1178"/>
      <c r="B110" s="1180" t="s">
        <v>712</v>
      </c>
      <c r="C110" s="49" t="s">
        <v>703</v>
      </c>
      <c r="D110" s="144"/>
      <c r="E110" s="53"/>
      <c r="F110" s="53"/>
      <c r="G110" s="51">
        <f>SUM(G111:G112)</f>
        <v>11054710</v>
      </c>
      <c r="H110" s="148"/>
      <c r="I110" s="148"/>
      <c r="J110" s="149"/>
      <c r="K110" s="148"/>
      <c r="L110" s="149"/>
      <c r="M110" s="149"/>
      <c r="N110" s="151"/>
      <c r="O110" s="149"/>
      <c r="P110" s="149"/>
      <c r="Q110" s="152"/>
      <c r="R110" s="153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601"/>
      <c r="AF110" s="9"/>
      <c r="AG110" s="9"/>
      <c r="AH110" s="9"/>
      <c r="AI110" s="9"/>
      <c r="AJ110" s="9"/>
      <c r="AK110" s="2"/>
      <c r="AL110" s="9"/>
      <c r="AM110" s="9"/>
      <c r="AN110" s="9"/>
      <c r="AO110" s="9"/>
      <c r="AP110" s="9"/>
    </row>
    <row r="111" spans="1:42" s="1" customFormat="1" ht="21" customHeight="1">
      <c r="A111" s="1178"/>
      <c r="B111" s="1180"/>
      <c r="C111" s="689" t="s">
        <v>685</v>
      </c>
      <c r="D111" s="144"/>
      <c r="E111" s="53"/>
      <c r="F111" s="53"/>
      <c r="G111" s="51">
        <f>R111</f>
        <v>11054710</v>
      </c>
      <c r="H111" s="154">
        <f>H101</f>
        <v>216759</v>
      </c>
      <c r="I111" s="154" t="s">
        <v>707</v>
      </c>
      <c r="J111" s="149" t="s">
        <v>708</v>
      </c>
      <c r="K111" s="154">
        <v>51</v>
      </c>
      <c r="L111" s="149" t="s">
        <v>709</v>
      </c>
      <c r="M111" s="149" t="s">
        <v>708</v>
      </c>
      <c r="N111" s="151">
        <v>1</v>
      </c>
      <c r="O111" s="149" t="s">
        <v>713</v>
      </c>
      <c r="P111" s="149" t="s">
        <v>711</v>
      </c>
      <c r="Q111" s="152"/>
      <c r="R111" s="153">
        <f>ROUND(H111*K111*N111,-1)</f>
        <v>11054710</v>
      </c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601"/>
      <c r="AF111" s="9"/>
      <c r="AG111" s="9"/>
      <c r="AH111" s="9"/>
      <c r="AI111" s="9"/>
      <c r="AJ111" s="9"/>
      <c r="AK111" s="2"/>
      <c r="AL111" s="9"/>
      <c r="AM111" s="9"/>
      <c r="AN111" s="9"/>
      <c r="AO111" s="9"/>
      <c r="AP111" s="9"/>
    </row>
    <row r="112" spans="1:42" s="1" customFormat="1" ht="15.75" customHeight="1">
      <c r="A112" s="1178"/>
      <c r="B112" s="1180"/>
      <c r="C112" s="49" t="s">
        <v>714</v>
      </c>
      <c r="D112" s="144"/>
      <c r="E112" s="53"/>
      <c r="F112" s="53"/>
      <c r="G112" s="51">
        <f>R112</f>
        <v>0</v>
      </c>
      <c r="H112" s="148"/>
      <c r="I112" s="148" t="s">
        <v>707</v>
      </c>
      <c r="J112" s="149" t="s">
        <v>708</v>
      </c>
      <c r="K112" s="148"/>
      <c r="L112" s="149" t="s">
        <v>709</v>
      </c>
      <c r="M112" s="149" t="s">
        <v>708</v>
      </c>
      <c r="N112" s="151">
        <v>1</v>
      </c>
      <c r="O112" s="149" t="s">
        <v>715</v>
      </c>
      <c r="P112" s="149" t="s">
        <v>711</v>
      </c>
      <c r="Q112" s="152"/>
      <c r="R112" s="153">
        <f>ROUND(H112*K112*N112,-1)</f>
        <v>0</v>
      </c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601"/>
      <c r="AF112" s="9"/>
      <c r="AG112" s="9"/>
      <c r="AH112" s="9"/>
      <c r="AI112" s="9"/>
      <c r="AJ112" s="9"/>
      <c r="AK112" s="2"/>
      <c r="AL112" s="9"/>
      <c r="AM112" s="9"/>
      <c r="AN112" s="9"/>
      <c r="AO112" s="9"/>
      <c r="AP112" s="9"/>
    </row>
    <row r="113" spans="1:42" s="1" customFormat="1" ht="15.75" hidden="1" customHeight="1">
      <c r="A113" s="1178"/>
      <c r="B113" s="1180" t="s">
        <v>716</v>
      </c>
      <c r="C113" s="49" t="s">
        <v>703</v>
      </c>
      <c r="D113" s="144"/>
      <c r="E113" s="53"/>
      <c r="F113" s="53"/>
      <c r="G113" s="51">
        <f>SUM(G114:G115)</f>
        <v>0</v>
      </c>
      <c r="H113" s="148"/>
      <c r="I113" s="148"/>
      <c r="J113" s="149"/>
      <c r="K113" s="148"/>
      <c r="L113" s="149"/>
      <c r="M113" s="149"/>
      <c r="N113" s="151"/>
      <c r="O113" s="149"/>
      <c r="P113" s="149"/>
      <c r="Q113" s="152"/>
      <c r="R113" s="153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601"/>
      <c r="AF113" s="9"/>
      <c r="AG113" s="9"/>
      <c r="AH113" s="9"/>
      <c r="AI113" s="9"/>
      <c r="AJ113" s="9"/>
      <c r="AK113" s="2"/>
      <c r="AL113" s="9"/>
      <c r="AM113" s="9"/>
      <c r="AN113" s="9"/>
      <c r="AO113" s="9"/>
      <c r="AP113" s="9"/>
    </row>
    <row r="114" spans="1:42" s="1" customFormat="1" ht="15.75" hidden="1" customHeight="1">
      <c r="A114" s="1178"/>
      <c r="B114" s="1180"/>
      <c r="C114" s="49" t="s">
        <v>716</v>
      </c>
      <c r="D114" s="144"/>
      <c r="E114" s="53"/>
      <c r="F114" s="53"/>
      <c r="G114" s="51">
        <f>R114</f>
        <v>0</v>
      </c>
      <c r="H114" s="148">
        <f>H105</f>
        <v>0</v>
      </c>
      <c r="I114" s="148" t="s">
        <v>707</v>
      </c>
      <c r="J114" s="149" t="s">
        <v>708</v>
      </c>
      <c r="K114" s="148">
        <v>51</v>
      </c>
      <c r="L114" s="149" t="s">
        <v>709</v>
      </c>
      <c r="M114" s="149" t="s">
        <v>708</v>
      </c>
      <c r="N114" s="151">
        <v>1</v>
      </c>
      <c r="O114" s="149" t="s">
        <v>717</v>
      </c>
      <c r="P114" s="149" t="s">
        <v>711</v>
      </c>
      <c r="Q114" s="152"/>
      <c r="R114" s="153">
        <f>ROUND(H114*K114*N114,-1)</f>
        <v>0</v>
      </c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601"/>
      <c r="AF114" s="9"/>
      <c r="AG114" s="9"/>
      <c r="AH114" s="9"/>
      <c r="AI114" s="9"/>
      <c r="AJ114" s="9"/>
      <c r="AK114" s="2"/>
      <c r="AL114" s="9"/>
      <c r="AM114" s="9"/>
      <c r="AN114" s="9"/>
      <c r="AO114" s="9"/>
      <c r="AP114" s="9"/>
    </row>
    <row r="115" spans="1:42" s="1" customFormat="1" ht="15.75" hidden="1" customHeight="1">
      <c r="A115" s="1178"/>
      <c r="B115" s="1180"/>
      <c r="C115" s="49" t="s">
        <v>718</v>
      </c>
      <c r="D115" s="144"/>
      <c r="E115" s="53"/>
      <c r="F115" s="53"/>
      <c r="G115" s="51">
        <f>R115</f>
        <v>0</v>
      </c>
      <c r="H115" s="148"/>
      <c r="I115" s="148" t="s">
        <v>707</v>
      </c>
      <c r="J115" s="149" t="s">
        <v>708</v>
      </c>
      <c r="K115" s="148"/>
      <c r="L115" s="149" t="s">
        <v>709</v>
      </c>
      <c r="M115" s="149" t="s">
        <v>708</v>
      </c>
      <c r="N115" s="151">
        <v>1</v>
      </c>
      <c r="O115" s="149" t="s">
        <v>715</v>
      </c>
      <c r="P115" s="149" t="s">
        <v>711</v>
      </c>
      <c r="Q115" s="152"/>
      <c r="R115" s="153">
        <f>H115*K115*N115</f>
        <v>0</v>
      </c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601"/>
      <c r="AF115" s="9"/>
      <c r="AG115" s="9"/>
      <c r="AH115" s="9"/>
      <c r="AI115" s="9"/>
      <c r="AJ115" s="9"/>
      <c r="AK115" s="2"/>
      <c r="AL115" s="9"/>
      <c r="AM115" s="9"/>
      <c r="AN115" s="9"/>
      <c r="AO115" s="9"/>
      <c r="AP115" s="9"/>
    </row>
    <row r="116" spans="1:42" s="7" customFormat="1" ht="15.75" customHeight="1">
      <c r="A116" s="1177" t="s">
        <v>719</v>
      </c>
      <c r="B116" s="1180" t="s">
        <v>703</v>
      </c>
      <c r="C116" s="1180"/>
      <c r="D116" s="143"/>
      <c r="E116" s="49"/>
      <c r="F116" s="49"/>
      <c r="G116" s="51">
        <f>G117+G119+G122</f>
        <v>11054710</v>
      </c>
      <c r="H116" s="147"/>
      <c r="I116" s="147"/>
      <c r="J116" s="147"/>
      <c r="K116" s="147"/>
      <c r="L116" s="147"/>
      <c r="M116" s="147"/>
      <c r="N116" s="147"/>
      <c r="O116" s="147"/>
      <c r="P116" s="147"/>
      <c r="Q116" s="147"/>
      <c r="R116" s="61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601" t="s">
        <v>704</v>
      </c>
      <c r="AF116" s="13"/>
      <c r="AG116" s="13"/>
      <c r="AH116" s="13"/>
      <c r="AI116" s="13"/>
      <c r="AJ116" s="13"/>
      <c r="AL116" s="13"/>
      <c r="AM116" s="13"/>
      <c r="AN116" s="13"/>
      <c r="AO116" s="13"/>
      <c r="AP116" s="13"/>
    </row>
    <row r="117" spans="1:42" s="7" customFormat="1" ht="15.75" customHeight="1">
      <c r="A117" s="1178"/>
      <c r="B117" s="1180" t="s">
        <v>705</v>
      </c>
      <c r="C117" s="49" t="s">
        <v>703</v>
      </c>
      <c r="D117" s="143"/>
      <c r="E117" s="49"/>
      <c r="F117" s="49"/>
      <c r="G117" s="51">
        <f>G118</f>
        <v>0</v>
      </c>
      <c r="H117" s="147"/>
      <c r="I117" s="147"/>
      <c r="J117" s="147"/>
      <c r="K117" s="147"/>
      <c r="L117" s="147"/>
      <c r="M117" s="147"/>
      <c r="N117" s="147"/>
      <c r="O117" s="147"/>
      <c r="P117" s="147"/>
      <c r="Q117" s="147"/>
      <c r="R117" s="61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601"/>
      <c r="AF117" s="13"/>
      <c r="AG117" s="13"/>
      <c r="AH117" s="13"/>
      <c r="AI117" s="13"/>
      <c r="AJ117" s="13"/>
      <c r="AL117" s="13"/>
      <c r="AM117" s="13"/>
      <c r="AN117" s="13"/>
      <c r="AO117" s="13"/>
      <c r="AP117" s="13"/>
    </row>
    <row r="118" spans="1:42" s="1" customFormat="1" ht="15.75" customHeight="1">
      <c r="A118" s="1178"/>
      <c r="B118" s="1180"/>
      <c r="C118" s="49" t="s">
        <v>706</v>
      </c>
      <c r="D118" s="144"/>
      <c r="E118" s="53"/>
      <c r="F118" s="53"/>
      <c r="G118" s="51">
        <f>R118</f>
        <v>0</v>
      </c>
      <c r="H118" s="148"/>
      <c r="I118" s="148" t="s">
        <v>707</v>
      </c>
      <c r="J118" s="149" t="s">
        <v>708</v>
      </c>
      <c r="K118" s="148"/>
      <c r="L118" s="149" t="s">
        <v>709</v>
      </c>
      <c r="M118" s="149" t="s">
        <v>708</v>
      </c>
      <c r="N118" s="151">
        <v>1</v>
      </c>
      <c r="O118" s="149" t="s">
        <v>710</v>
      </c>
      <c r="P118" s="149" t="s">
        <v>711</v>
      </c>
      <c r="Q118" s="152"/>
      <c r="R118" s="153">
        <f>H118*K118*N118</f>
        <v>0</v>
      </c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601"/>
      <c r="AF118" s="9"/>
      <c r="AG118" s="9"/>
      <c r="AH118" s="9"/>
      <c r="AI118" s="9"/>
      <c r="AJ118" s="9"/>
      <c r="AK118" s="2"/>
      <c r="AL118" s="9"/>
      <c r="AM118" s="9"/>
      <c r="AN118" s="9"/>
      <c r="AO118" s="9"/>
      <c r="AP118" s="9"/>
    </row>
    <row r="119" spans="1:42" s="1" customFormat="1" ht="15.75" customHeight="1">
      <c r="A119" s="1178"/>
      <c r="B119" s="1180" t="s">
        <v>712</v>
      </c>
      <c r="C119" s="49" t="s">
        <v>703</v>
      </c>
      <c r="D119" s="144"/>
      <c r="E119" s="53"/>
      <c r="F119" s="53"/>
      <c r="G119" s="51">
        <f>SUM(G120:G121)</f>
        <v>11054710</v>
      </c>
      <c r="H119" s="148"/>
      <c r="I119" s="148"/>
      <c r="J119" s="149"/>
      <c r="K119" s="148"/>
      <c r="L119" s="149"/>
      <c r="M119" s="149"/>
      <c r="N119" s="151"/>
      <c r="O119" s="149"/>
      <c r="P119" s="149"/>
      <c r="Q119" s="152"/>
      <c r="R119" s="153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601"/>
      <c r="AF119" s="9"/>
      <c r="AG119" s="9"/>
      <c r="AH119" s="9"/>
      <c r="AI119" s="9"/>
      <c r="AJ119" s="9"/>
      <c r="AK119" s="2"/>
      <c r="AL119" s="9"/>
      <c r="AM119" s="9"/>
      <c r="AN119" s="9"/>
      <c r="AO119" s="9"/>
      <c r="AP119" s="9"/>
    </row>
    <row r="120" spans="1:42" s="1" customFormat="1" ht="21" customHeight="1">
      <c r="A120" s="1178"/>
      <c r="B120" s="1180"/>
      <c r="C120" s="689" t="s">
        <v>685</v>
      </c>
      <c r="D120" s="144"/>
      <c r="E120" s="53"/>
      <c r="F120" s="53"/>
      <c r="G120" s="51">
        <f>R120</f>
        <v>11054710</v>
      </c>
      <c r="H120" s="154">
        <f>H111</f>
        <v>216759</v>
      </c>
      <c r="I120" s="154" t="s">
        <v>707</v>
      </c>
      <c r="J120" s="149" t="s">
        <v>708</v>
      </c>
      <c r="K120" s="154">
        <v>51</v>
      </c>
      <c r="L120" s="149" t="s">
        <v>709</v>
      </c>
      <c r="M120" s="149" t="s">
        <v>708</v>
      </c>
      <c r="N120" s="151">
        <v>1</v>
      </c>
      <c r="O120" s="149" t="s">
        <v>713</v>
      </c>
      <c r="P120" s="149" t="s">
        <v>711</v>
      </c>
      <c r="Q120" s="152"/>
      <c r="R120" s="153">
        <f>ROUND(H120*K120*N120,-1)</f>
        <v>11054710</v>
      </c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601"/>
      <c r="AF120" s="9"/>
      <c r="AG120" s="9"/>
      <c r="AH120" s="9"/>
      <c r="AI120" s="9"/>
      <c r="AJ120" s="9"/>
      <c r="AK120" s="2"/>
      <c r="AL120" s="9"/>
      <c r="AM120" s="9"/>
      <c r="AN120" s="9"/>
      <c r="AO120" s="9"/>
      <c r="AP120" s="9"/>
    </row>
    <row r="121" spans="1:42" s="1" customFormat="1" ht="15.75" customHeight="1">
      <c r="A121" s="1178"/>
      <c r="B121" s="1180"/>
      <c r="C121" s="49" t="s">
        <v>714</v>
      </c>
      <c r="D121" s="144"/>
      <c r="E121" s="53"/>
      <c r="F121" s="53"/>
      <c r="G121" s="51">
        <f>R121</f>
        <v>0</v>
      </c>
      <c r="H121" s="148"/>
      <c r="I121" s="148" t="s">
        <v>707</v>
      </c>
      <c r="J121" s="149" t="s">
        <v>708</v>
      </c>
      <c r="K121" s="148"/>
      <c r="L121" s="149" t="s">
        <v>709</v>
      </c>
      <c r="M121" s="149" t="s">
        <v>708</v>
      </c>
      <c r="N121" s="151">
        <v>1</v>
      </c>
      <c r="O121" s="149" t="s">
        <v>715</v>
      </c>
      <c r="P121" s="149" t="s">
        <v>711</v>
      </c>
      <c r="Q121" s="152"/>
      <c r="R121" s="153">
        <f>ROUND(H121*K121*N121,-1)</f>
        <v>0</v>
      </c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601"/>
      <c r="AF121" s="9"/>
      <c r="AG121" s="9"/>
      <c r="AH121" s="9"/>
      <c r="AI121" s="9"/>
      <c r="AJ121" s="9"/>
      <c r="AK121" s="2"/>
      <c r="AL121" s="9"/>
      <c r="AM121" s="9"/>
      <c r="AN121" s="9"/>
      <c r="AO121" s="9"/>
      <c r="AP121" s="9"/>
    </row>
    <row r="122" spans="1:42" s="1" customFormat="1" ht="15.75" hidden="1" customHeight="1">
      <c r="A122" s="1178"/>
      <c r="B122" s="1180"/>
      <c r="C122" s="49"/>
      <c r="D122" s="144"/>
      <c r="E122" s="53"/>
      <c r="F122" s="53"/>
      <c r="G122" s="51"/>
      <c r="H122" s="148"/>
      <c r="I122" s="148"/>
      <c r="J122" s="149"/>
      <c r="K122" s="148"/>
      <c r="L122" s="149"/>
      <c r="M122" s="149"/>
      <c r="N122" s="151"/>
      <c r="O122" s="149"/>
      <c r="P122" s="149"/>
      <c r="Q122" s="152"/>
      <c r="R122" s="153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601"/>
      <c r="AF122" s="9"/>
      <c r="AG122" s="9"/>
      <c r="AH122" s="9"/>
      <c r="AI122" s="9"/>
      <c r="AJ122" s="9"/>
      <c r="AK122" s="2"/>
      <c r="AL122" s="9"/>
      <c r="AM122" s="9"/>
      <c r="AN122" s="9"/>
      <c r="AO122" s="9"/>
      <c r="AP122" s="9"/>
    </row>
    <row r="123" spans="1:42" s="1" customFormat="1" ht="15.75" hidden="1" customHeight="1">
      <c r="A123" s="1178"/>
      <c r="B123" s="1180"/>
      <c r="C123" s="49"/>
      <c r="D123" s="144"/>
      <c r="E123" s="53"/>
      <c r="F123" s="53"/>
      <c r="G123" s="51"/>
      <c r="H123" s="148"/>
      <c r="I123" s="148"/>
      <c r="J123" s="149"/>
      <c r="K123" s="148"/>
      <c r="L123" s="149"/>
      <c r="M123" s="149"/>
      <c r="N123" s="151"/>
      <c r="O123" s="149"/>
      <c r="P123" s="149"/>
      <c r="Q123" s="152"/>
      <c r="R123" s="153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601"/>
      <c r="AF123" s="9"/>
      <c r="AG123" s="9"/>
      <c r="AH123" s="9"/>
      <c r="AI123" s="9"/>
      <c r="AJ123" s="9"/>
      <c r="AK123" s="2"/>
      <c r="AL123" s="9"/>
      <c r="AM123" s="9"/>
      <c r="AN123" s="9"/>
      <c r="AO123" s="9"/>
      <c r="AP123" s="9"/>
    </row>
    <row r="124" spans="1:42" s="1" customFormat="1" ht="15.75" customHeight="1" thickBot="1">
      <c r="A124" s="1179"/>
      <c r="B124" s="1181"/>
      <c r="C124" s="604"/>
      <c r="D124" s="605"/>
      <c r="E124" s="606"/>
      <c r="F124" s="606"/>
      <c r="G124" s="607"/>
      <c r="H124" s="608"/>
      <c r="I124" s="608"/>
      <c r="J124" s="609"/>
      <c r="K124" s="608"/>
      <c r="L124" s="609"/>
      <c r="M124" s="609"/>
      <c r="N124" s="610"/>
      <c r="O124" s="609"/>
      <c r="P124" s="609"/>
      <c r="Q124" s="611"/>
      <c r="R124" s="612"/>
      <c r="S124" s="613"/>
      <c r="T124" s="613"/>
      <c r="U124" s="613"/>
      <c r="V124" s="613"/>
      <c r="W124" s="613"/>
      <c r="X124" s="613"/>
      <c r="Y124" s="613"/>
      <c r="Z124" s="613"/>
      <c r="AA124" s="613"/>
      <c r="AB124" s="613"/>
      <c r="AC124" s="613"/>
      <c r="AD124" s="613"/>
      <c r="AE124" s="614"/>
      <c r="AF124" s="9"/>
      <c r="AG124" s="9"/>
      <c r="AH124" s="9"/>
      <c r="AI124" s="9"/>
      <c r="AJ124" s="9"/>
      <c r="AK124" s="2"/>
      <c r="AL124" s="9"/>
      <c r="AM124" s="9"/>
      <c r="AN124" s="9"/>
      <c r="AO124" s="9"/>
      <c r="AP124" s="9"/>
    </row>
    <row r="125" spans="1:42" s="1" customFormat="1">
      <c r="A125" s="47"/>
      <c r="B125" s="141"/>
      <c r="C125" s="141"/>
      <c r="D125" s="139"/>
      <c r="E125" s="47"/>
      <c r="F125" s="47"/>
      <c r="G125" s="71"/>
      <c r="H125" s="76"/>
      <c r="I125" s="76"/>
      <c r="J125" s="139"/>
      <c r="K125" s="76"/>
      <c r="L125" s="139"/>
      <c r="M125" s="139"/>
      <c r="N125" s="71"/>
      <c r="O125" s="139"/>
      <c r="P125" s="139"/>
      <c r="Q125" s="142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140"/>
      <c r="AF125" s="9"/>
      <c r="AG125" s="9"/>
      <c r="AH125" s="9"/>
      <c r="AI125" s="9"/>
      <c r="AJ125" s="9"/>
      <c r="AK125" s="2"/>
      <c r="AL125" s="9"/>
      <c r="AM125" s="9"/>
      <c r="AN125" s="9"/>
      <c r="AO125" s="9"/>
      <c r="AP125" s="9"/>
    </row>
    <row r="126" spans="1:42" hidden="1"/>
    <row r="127" spans="1:42" hidden="1">
      <c r="G127" s="71" t="s">
        <v>720</v>
      </c>
      <c r="H127" s="148"/>
      <c r="I127" s="148" t="s">
        <v>707</v>
      </c>
      <c r="J127" s="149" t="s">
        <v>708</v>
      </c>
      <c r="K127" s="148">
        <v>0</v>
      </c>
      <c r="L127" s="149" t="s">
        <v>709</v>
      </c>
      <c r="M127" s="149" t="s">
        <v>708</v>
      </c>
      <c r="N127" s="151">
        <v>1</v>
      </c>
      <c r="O127" s="149" t="s">
        <v>710</v>
      </c>
      <c r="P127" s="149" t="s">
        <v>711</v>
      </c>
      <c r="Q127" s="152"/>
      <c r="R127" s="153">
        <f>H127*K127*N127</f>
        <v>0</v>
      </c>
    </row>
    <row r="128" spans="1:42" hidden="1">
      <c r="H128" s="154">
        <v>116555</v>
      </c>
      <c r="I128" s="154" t="s">
        <v>707</v>
      </c>
      <c r="J128" s="149" t="s">
        <v>708</v>
      </c>
      <c r="K128" s="148">
        <v>0</v>
      </c>
      <c r="L128" s="149" t="s">
        <v>709</v>
      </c>
      <c r="M128" s="149" t="s">
        <v>708</v>
      </c>
      <c r="N128" s="151">
        <v>1</v>
      </c>
      <c r="O128" s="149" t="s">
        <v>713</v>
      </c>
      <c r="P128" s="149" t="s">
        <v>711</v>
      </c>
      <c r="Q128" s="152"/>
      <c r="R128" s="153">
        <f>ROUND(H128*K128*N128,-1)</f>
        <v>0</v>
      </c>
    </row>
    <row r="129" spans="1:31" hidden="1">
      <c r="H129" s="148">
        <v>23050</v>
      </c>
      <c r="I129" s="148" t="s">
        <v>707</v>
      </c>
      <c r="J129" s="149" t="s">
        <v>708</v>
      </c>
      <c r="K129" s="148">
        <v>0</v>
      </c>
      <c r="L129" s="149" t="s">
        <v>709</v>
      </c>
      <c r="M129" s="149" t="s">
        <v>708</v>
      </c>
      <c r="N129" s="151">
        <v>1</v>
      </c>
      <c r="O129" s="149" t="s">
        <v>715</v>
      </c>
      <c r="P129" s="149" t="s">
        <v>711</v>
      </c>
      <c r="Q129" s="152"/>
      <c r="R129" s="153">
        <f>ROUND(H129*K129*N129,-1)</f>
        <v>0</v>
      </c>
    </row>
    <row r="130" spans="1:31" hidden="1">
      <c r="H130" s="148">
        <v>11845</v>
      </c>
      <c r="I130" s="148" t="s">
        <v>707</v>
      </c>
      <c r="J130" s="149" t="s">
        <v>708</v>
      </c>
      <c r="K130" s="148">
        <v>0</v>
      </c>
      <c r="L130" s="149" t="s">
        <v>709</v>
      </c>
      <c r="M130" s="149" t="s">
        <v>708</v>
      </c>
      <c r="N130" s="151">
        <v>1</v>
      </c>
      <c r="O130" s="149" t="s">
        <v>717</v>
      </c>
      <c r="P130" s="149" t="s">
        <v>711</v>
      </c>
      <c r="Q130" s="152"/>
      <c r="R130" s="153">
        <f>ROUND(H130*K130*N130,-1)</f>
        <v>0</v>
      </c>
    </row>
    <row r="131" spans="1:31" hidden="1">
      <c r="H131" s="155">
        <v>17490</v>
      </c>
      <c r="I131" s="155" t="s">
        <v>707</v>
      </c>
      <c r="J131" s="156" t="s">
        <v>708</v>
      </c>
      <c r="K131" s="148">
        <v>0</v>
      </c>
      <c r="L131" s="156" t="s">
        <v>709</v>
      </c>
      <c r="M131" s="156" t="s">
        <v>708</v>
      </c>
      <c r="N131" s="157">
        <v>1</v>
      </c>
      <c r="O131" s="156" t="s">
        <v>715</v>
      </c>
      <c r="P131" s="156" t="s">
        <v>711</v>
      </c>
      <c r="Q131" s="158"/>
      <c r="R131" s="159">
        <f>H131*K131*N131</f>
        <v>0</v>
      </c>
    </row>
    <row r="132" spans="1:31" hidden="1"/>
    <row r="133" spans="1:31" hidden="1">
      <c r="G133" s="71" t="s">
        <v>721</v>
      </c>
      <c r="H133" s="148"/>
      <c r="I133" s="148" t="s">
        <v>707</v>
      </c>
      <c r="J133" s="149" t="s">
        <v>708</v>
      </c>
      <c r="K133" s="148">
        <v>0</v>
      </c>
      <c r="L133" s="149" t="s">
        <v>709</v>
      </c>
      <c r="M133" s="149" t="s">
        <v>708</v>
      </c>
      <c r="N133" s="151">
        <v>1</v>
      </c>
      <c r="O133" s="149" t="s">
        <v>710</v>
      </c>
      <c r="P133" s="149" t="s">
        <v>711</v>
      </c>
      <c r="Q133" s="152"/>
      <c r="R133" s="153">
        <f>H133*K133*N133</f>
        <v>0</v>
      </c>
    </row>
    <row r="134" spans="1:31" hidden="1">
      <c r="H134" s="154">
        <v>116555</v>
      </c>
      <c r="I134" s="154" t="s">
        <v>707</v>
      </c>
      <c r="J134" s="149" t="s">
        <v>708</v>
      </c>
      <c r="K134" s="148">
        <v>0</v>
      </c>
      <c r="L134" s="149" t="s">
        <v>709</v>
      </c>
      <c r="M134" s="149" t="s">
        <v>708</v>
      </c>
      <c r="N134" s="151">
        <v>1</v>
      </c>
      <c r="O134" s="149" t="s">
        <v>713</v>
      </c>
      <c r="P134" s="149" t="s">
        <v>711</v>
      </c>
      <c r="Q134" s="152"/>
      <c r="R134" s="153">
        <f>ROUND(H134*K134*N134,-1)</f>
        <v>0</v>
      </c>
    </row>
    <row r="135" spans="1:31" hidden="1">
      <c r="H135" s="148"/>
      <c r="I135" s="148" t="s">
        <v>707</v>
      </c>
      <c r="J135" s="149" t="s">
        <v>708</v>
      </c>
      <c r="K135" s="148">
        <v>0</v>
      </c>
      <c r="L135" s="149" t="s">
        <v>709</v>
      </c>
      <c r="M135" s="149" t="s">
        <v>708</v>
      </c>
      <c r="N135" s="151">
        <v>1</v>
      </c>
      <c r="O135" s="149" t="s">
        <v>715</v>
      </c>
      <c r="P135" s="149" t="s">
        <v>711</v>
      </c>
      <c r="Q135" s="152"/>
      <c r="R135" s="153">
        <f>ROUND(H135*K135*N135,-1)</f>
        <v>0</v>
      </c>
    </row>
    <row r="136" spans="1:31" hidden="1">
      <c r="H136" s="148">
        <v>11845</v>
      </c>
      <c r="I136" s="148" t="s">
        <v>707</v>
      </c>
      <c r="J136" s="149" t="s">
        <v>708</v>
      </c>
      <c r="K136" s="148">
        <v>0</v>
      </c>
      <c r="L136" s="149" t="s">
        <v>709</v>
      </c>
      <c r="M136" s="149" t="s">
        <v>708</v>
      </c>
      <c r="N136" s="151">
        <v>1</v>
      </c>
      <c r="O136" s="149" t="s">
        <v>717</v>
      </c>
      <c r="P136" s="149" t="s">
        <v>711</v>
      </c>
      <c r="Q136" s="152"/>
      <c r="R136" s="153">
        <f>ROUND(H136*K136*N136,-1)</f>
        <v>0</v>
      </c>
    </row>
    <row r="137" spans="1:31" hidden="1">
      <c r="H137" s="155"/>
      <c r="I137" s="155" t="s">
        <v>707</v>
      </c>
      <c r="J137" s="156" t="s">
        <v>708</v>
      </c>
      <c r="K137" s="148">
        <v>0</v>
      </c>
      <c r="L137" s="156" t="s">
        <v>709</v>
      </c>
      <c r="M137" s="156" t="s">
        <v>708</v>
      </c>
      <c r="N137" s="157">
        <v>1</v>
      </c>
      <c r="O137" s="156" t="s">
        <v>715</v>
      </c>
      <c r="P137" s="156" t="s">
        <v>711</v>
      </c>
      <c r="Q137" s="158"/>
      <c r="R137" s="159">
        <f>H137*K137*N137</f>
        <v>0</v>
      </c>
    </row>
    <row r="138" spans="1:31" hidden="1"/>
    <row r="139" spans="1:31" hidden="1">
      <c r="G139" s="71" t="s">
        <v>719</v>
      </c>
      <c r="H139" s="148"/>
      <c r="I139" s="148" t="s">
        <v>707</v>
      </c>
      <c r="J139" s="149" t="s">
        <v>708</v>
      </c>
      <c r="K139" s="148">
        <v>0</v>
      </c>
      <c r="L139" s="149" t="s">
        <v>709</v>
      </c>
      <c r="M139" s="149" t="s">
        <v>708</v>
      </c>
      <c r="N139" s="151">
        <v>1</v>
      </c>
      <c r="O139" s="149" t="s">
        <v>710</v>
      </c>
      <c r="P139" s="149" t="s">
        <v>711</v>
      </c>
      <c r="Q139" s="152"/>
      <c r="R139" s="153">
        <f>H139*K139*N139</f>
        <v>0</v>
      </c>
    </row>
    <row r="140" spans="1:31" hidden="1">
      <c r="H140" s="154">
        <v>116555</v>
      </c>
      <c r="I140" s="154" t="s">
        <v>707</v>
      </c>
      <c r="J140" s="149" t="s">
        <v>708</v>
      </c>
      <c r="K140" s="154">
        <v>0</v>
      </c>
      <c r="L140" s="149" t="s">
        <v>709</v>
      </c>
      <c r="M140" s="149" t="s">
        <v>708</v>
      </c>
      <c r="N140" s="151">
        <v>1</v>
      </c>
      <c r="O140" s="149" t="s">
        <v>713</v>
      </c>
      <c r="P140" s="149" t="s">
        <v>711</v>
      </c>
      <c r="Q140" s="152"/>
      <c r="R140" s="153">
        <f>ROUND(H140*K140*N140,-1)</f>
        <v>0</v>
      </c>
    </row>
    <row r="141" spans="1:31" hidden="1">
      <c r="H141" s="148"/>
      <c r="I141" s="148" t="s">
        <v>707</v>
      </c>
      <c r="J141" s="149" t="s">
        <v>708</v>
      </c>
      <c r="K141" s="148">
        <v>0</v>
      </c>
      <c r="L141" s="149" t="s">
        <v>709</v>
      </c>
      <c r="M141" s="149" t="s">
        <v>708</v>
      </c>
      <c r="N141" s="151">
        <v>1</v>
      </c>
      <c r="O141" s="149" t="s">
        <v>715</v>
      </c>
      <c r="P141" s="149" t="s">
        <v>711</v>
      </c>
      <c r="Q141" s="152"/>
      <c r="R141" s="153">
        <f>ROUND(H141*K141*N141,-1)</f>
        <v>0</v>
      </c>
    </row>
    <row r="142" spans="1:31" hidden="1">
      <c r="H142" s="148">
        <v>11845</v>
      </c>
      <c r="I142" s="148" t="s">
        <v>707</v>
      </c>
      <c r="J142" s="149" t="s">
        <v>708</v>
      </c>
      <c r="K142" s="148">
        <v>0</v>
      </c>
      <c r="L142" s="149" t="s">
        <v>709</v>
      </c>
      <c r="M142" s="149" t="s">
        <v>708</v>
      </c>
      <c r="N142" s="151">
        <v>1</v>
      </c>
      <c r="O142" s="149" t="s">
        <v>717</v>
      </c>
      <c r="P142" s="149" t="s">
        <v>711</v>
      </c>
      <c r="Q142" s="152"/>
      <c r="R142" s="153">
        <f>ROUND(H142*K142*N142,-1)</f>
        <v>0</v>
      </c>
    </row>
    <row r="143" spans="1:31" ht="14.25" hidden="1" thickBot="1">
      <c r="H143" s="436"/>
      <c r="I143" s="436" t="s">
        <v>707</v>
      </c>
      <c r="J143" s="437" t="s">
        <v>708</v>
      </c>
      <c r="K143" s="436">
        <v>0</v>
      </c>
      <c r="L143" s="437" t="s">
        <v>709</v>
      </c>
      <c r="M143" s="437" t="s">
        <v>708</v>
      </c>
      <c r="N143" s="438">
        <v>1</v>
      </c>
      <c r="O143" s="437" t="s">
        <v>715</v>
      </c>
      <c r="P143" s="437" t="s">
        <v>711</v>
      </c>
      <c r="Q143" s="439"/>
      <c r="R143" s="440">
        <f>H143*K143*N143</f>
        <v>0</v>
      </c>
    </row>
    <row r="144" spans="1:31" ht="14.25" hidden="1" thickTop="1">
      <c r="A144" s="441"/>
      <c r="B144" s="442"/>
      <c r="C144" s="442"/>
      <c r="D144" s="443"/>
      <c r="E144" s="441"/>
      <c r="F144" s="441"/>
      <c r="G144" s="444"/>
      <c r="H144" s="445"/>
      <c r="I144" s="445"/>
      <c r="J144" s="443"/>
      <c r="K144" s="445"/>
      <c r="L144" s="443"/>
      <c r="M144" s="443"/>
      <c r="N144" s="444"/>
      <c r="O144" s="443"/>
      <c r="P144" s="443"/>
      <c r="Q144" s="446"/>
      <c r="R144" s="445"/>
      <c r="S144" s="445"/>
      <c r="T144" s="445"/>
      <c r="U144" s="445"/>
      <c r="V144" s="445"/>
      <c r="W144" s="445"/>
      <c r="X144" s="445"/>
      <c r="Y144" s="445"/>
      <c r="Z144" s="445"/>
      <c r="AA144" s="445"/>
      <c r="AB144" s="445"/>
      <c r="AC144" s="445"/>
      <c r="AD144" s="445"/>
      <c r="AE144" s="447"/>
    </row>
    <row r="145" hidden="1"/>
  </sheetData>
  <mergeCells count="68"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  <mergeCell ref="A34:A42"/>
    <mergeCell ref="B34:C34"/>
    <mergeCell ref="B35:B36"/>
    <mergeCell ref="B37:B39"/>
    <mergeCell ref="B40:B42"/>
    <mergeCell ref="A25:A33"/>
    <mergeCell ref="B25:C25"/>
    <mergeCell ref="B26:B27"/>
    <mergeCell ref="B28:B30"/>
    <mergeCell ref="B31:B33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A116:A124"/>
    <mergeCell ref="B116:C116"/>
    <mergeCell ref="B117:B118"/>
    <mergeCell ref="B119:B121"/>
    <mergeCell ref="B122:B124"/>
  </mergeCells>
  <phoneticPr fontId="2" type="noConversion"/>
  <printOptions horizontalCentered="1"/>
  <pageMargins left="0.55118110236220474" right="0.55118110236220474" top="0.59055118110236227" bottom="0.43307086614173229" header="0.31496062992125984" footer="0.19685039370078741"/>
  <pageSetup paperSize="9" scale="75" orientation="portrait" r:id="rId1"/>
  <headerFooter alignWithMargins="0"/>
  <rowBreaks count="1" manualBreakCount="1">
    <brk id="5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dimension ref="A1:AR73"/>
  <sheetViews>
    <sheetView workbookViewId="0">
      <selection activeCell="H21" sqref="H21"/>
    </sheetView>
  </sheetViews>
  <sheetFormatPr defaultRowHeight="13.5"/>
  <cols>
    <col min="1" max="1" width="8.5546875" style="47" customWidth="1"/>
    <col min="2" max="3" width="8.5546875" style="141" customWidth="1"/>
    <col min="4" max="4" width="4.77734375" style="139" customWidth="1"/>
    <col min="5" max="5" width="5" style="161" customWidth="1"/>
    <col min="6" max="6" width="2.33203125" style="47" customWidth="1"/>
    <col min="7" max="7" width="1.77734375" style="71" customWidth="1"/>
    <col min="8" max="8" width="2.5546875" style="71" customWidth="1"/>
    <col min="9" max="9" width="2.33203125" style="139" customWidth="1"/>
    <col min="10" max="10" width="1.88671875" style="139" customWidth="1"/>
    <col min="11" max="11" width="4" style="139" bestFit="1" customWidth="1"/>
    <col min="12" max="12" width="3.44140625" style="139" customWidth="1"/>
    <col min="13" max="13" width="2" style="139" customWidth="1"/>
    <col min="14" max="14" width="8.44140625" style="139" bestFit="1" customWidth="1"/>
    <col min="15" max="15" width="9.5546875" style="71" customWidth="1"/>
    <col min="16" max="16" width="12" style="139" customWidth="1"/>
    <col min="17" max="18" width="8.6640625" style="11" customWidth="1"/>
    <col min="19" max="19" width="8.6640625" style="12" customWidth="1"/>
    <col min="20" max="32" width="8.6640625" style="10" customWidth="1"/>
    <col min="33" max="33" width="8.6640625" style="14" customWidth="1"/>
    <col min="34" max="34" width="10.5546875" style="10" hidden="1" customWidth="1"/>
    <col min="35" max="35" width="6.21875" style="10" hidden="1" customWidth="1"/>
    <col min="36" max="36" width="4.77734375" style="10" hidden="1" customWidth="1"/>
    <col min="37" max="37" width="11.5546875" style="10" customWidth="1"/>
    <col min="38" max="38" width="13.44140625" style="10" customWidth="1"/>
    <col min="39" max="39" width="22.88671875" style="6" customWidth="1"/>
    <col min="40" max="40" width="11.21875" style="10" customWidth="1"/>
    <col min="41" max="41" width="11.44140625" style="10" customWidth="1"/>
    <col min="42" max="42" width="10" style="10" customWidth="1"/>
    <col min="43" max="44" width="8.88671875" style="10"/>
    <col min="45" max="45" width="9.33203125" bestFit="1" customWidth="1"/>
  </cols>
  <sheetData>
    <row r="1" spans="1:18" ht="36" customHeight="1">
      <c r="A1" s="1207" t="s">
        <v>750</v>
      </c>
      <c r="B1" s="1207"/>
      <c r="C1" s="1207"/>
      <c r="D1" s="1207"/>
      <c r="E1" s="1207"/>
      <c r="F1" s="1207"/>
      <c r="G1" s="1207"/>
      <c r="H1" s="1207"/>
      <c r="I1" s="1207"/>
      <c r="J1" s="1207"/>
      <c r="K1" s="1207"/>
      <c r="L1" s="1207"/>
      <c r="M1" s="1207"/>
      <c r="N1" s="1207"/>
      <c r="O1" s="1207"/>
      <c r="P1" s="1207"/>
      <c r="Q1" s="418"/>
      <c r="R1" s="418"/>
    </row>
    <row r="2" spans="1:18" ht="27.75" customHeight="1">
      <c r="A2" s="136"/>
      <c r="B2" s="136"/>
      <c r="C2" s="136"/>
      <c r="D2" s="136"/>
      <c r="E2" s="136"/>
      <c r="F2" s="136"/>
      <c r="G2" s="137"/>
      <c r="H2" s="137"/>
      <c r="I2" s="137"/>
      <c r="J2" s="137"/>
      <c r="K2" s="137"/>
      <c r="L2" s="137"/>
      <c r="M2" s="137"/>
      <c r="N2" s="137"/>
      <c r="O2" s="137"/>
      <c r="P2" s="588" t="s">
        <v>602</v>
      </c>
      <c r="Q2" s="22"/>
      <c r="R2" s="22"/>
    </row>
    <row r="3" spans="1:18" ht="27.75" customHeight="1" thickBot="1">
      <c r="A3" s="197" t="s">
        <v>616</v>
      </c>
      <c r="B3" s="198" t="s">
        <v>617</v>
      </c>
      <c r="C3" s="198" t="s">
        <v>618</v>
      </c>
      <c r="D3" s="1215" t="s">
        <v>619</v>
      </c>
      <c r="E3" s="1216"/>
      <c r="F3" s="1216"/>
      <c r="G3" s="1216"/>
      <c r="H3" s="1216"/>
      <c r="I3" s="1216"/>
      <c r="J3" s="1216"/>
      <c r="K3" s="1216"/>
      <c r="L3" s="1216"/>
      <c r="M3" s="1216"/>
      <c r="N3" s="1216"/>
      <c r="O3" s="199" t="s">
        <v>620</v>
      </c>
      <c r="P3" s="200" t="s">
        <v>621</v>
      </c>
    </row>
    <row r="4" spans="1:18" ht="27.75" customHeight="1" thickTop="1">
      <c r="A4" s="1213" t="s">
        <v>622</v>
      </c>
      <c r="B4" s="1214"/>
      <c r="C4" s="1214"/>
      <c r="D4" s="1214"/>
      <c r="E4" s="1214"/>
      <c r="F4" s="1214"/>
      <c r="G4" s="1214"/>
      <c r="H4" s="1214"/>
      <c r="I4" s="1214"/>
      <c r="J4" s="1214"/>
      <c r="K4" s="1214"/>
      <c r="L4" s="1214"/>
      <c r="M4" s="1214"/>
      <c r="N4" s="1214"/>
      <c r="O4" s="171">
        <f>O5+O19+O33+O40</f>
        <v>32840000</v>
      </c>
      <c r="P4" s="172"/>
    </row>
    <row r="5" spans="1:18" ht="27.75" customHeight="1">
      <c r="A5" s="101" t="s">
        <v>623</v>
      </c>
      <c r="B5" s="49" t="s">
        <v>623</v>
      </c>
      <c r="C5" s="49" t="s">
        <v>623</v>
      </c>
      <c r="D5" s="1217" t="s">
        <v>624</v>
      </c>
      <c r="E5" s="1218"/>
      <c r="F5" s="1218"/>
      <c r="G5" s="1218"/>
      <c r="H5" s="1218"/>
      <c r="I5" s="1218"/>
      <c r="J5" s="1218"/>
      <c r="K5" s="1218"/>
      <c r="L5" s="1218"/>
      <c r="M5" s="1218"/>
      <c r="N5" s="1218"/>
      <c r="O5" s="54">
        <f>SUM(O7:O18)</f>
        <v>14600000</v>
      </c>
      <c r="P5" s="162"/>
    </row>
    <row r="6" spans="1:18" ht="27.75" hidden="1" customHeight="1">
      <c r="A6" s="467"/>
      <c r="B6" s="468"/>
      <c r="C6" s="430"/>
      <c r="D6" s="164" t="s">
        <v>615</v>
      </c>
      <c r="E6" s="154">
        <v>500</v>
      </c>
      <c r="F6" s="165" t="s">
        <v>607</v>
      </c>
      <c r="G6" s="151" t="s">
        <v>608</v>
      </c>
      <c r="H6" s="151">
        <v>80</v>
      </c>
      <c r="I6" s="149" t="s">
        <v>609</v>
      </c>
      <c r="J6" s="149" t="s">
        <v>608</v>
      </c>
      <c r="K6" s="151">
        <v>365</v>
      </c>
      <c r="L6" s="149" t="s">
        <v>610</v>
      </c>
      <c r="M6" s="149" t="s">
        <v>611</v>
      </c>
      <c r="N6" s="166">
        <f>E6*H6*K6</f>
        <v>14600000</v>
      </c>
      <c r="O6" s="51">
        <f>N6</f>
        <v>14600000</v>
      </c>
      <c r="P6" s="162"/>
    </row>
    <row r="7" spans="1:18" ht="22.5" customHeight="1">
      <c r="A7" s="220"/>
      <c r="B7" s="202"/>
      <c r="C7" s="202"/>
      <c r="D7" s="164" t="s">
        <v>625</v>
      </c>
      <c r="E7" s="154">
        <v>500</v>
      </c>
      <c r="F7" s="165" t="s">
        <v>607</v>
      </c>
      <c r="G7" s="151" t="s">
        <v>608</v>
      </c>
      <c r="H7" s="151">
        <v>80</v>
      </c>
      <c r="I7" s="149" t="s">
        <v>609</v>
      </c>
      <c r="J7" s="149" t="s">
        <v>608</v>
      </c>
      <c r="K7" s="151">
        <v>31</v>
      </c>
      <c r="L7" s="149" t="s">
        <v>610</v>
      </c>
      <c r="M7" s="149" t="s">
        <v>611</v>
      </c>
      <c r="N7" s="166">
        <f>E7*H7*K7</f>
        <v>1240000</v>
      </c>
      <c r="O7" s="51">
        <f>N7</f>
        <v>1240000</v>
      </c>
      <c r="P7" s="162"/>
    </row>
    <row r="8" spans="1:18" ht="22.5" customHeight="1">
      <c r="A8" s="221"/>
      <c r="B8" s="204"/>
      <c r="C8" s="204"/>
      <c r="D8" s="164" t="s">
        <v>626</v>
      </c>
      <c r="E8" s="154">
        <v>500</v>
      </c>
      <c r="F8" s="165" t="s">
        <v>607</v>
      </c>
      <c r="G8" s="151" t="s">
        <v>608</v>
      </c>
      <c r="H8" s="151">
        <v>80</v>
      </c>
      <c r="I8" s="149" t="s">
        <v>609</v>
      </c>
      <c r="J8" s="149" t="s">
        <v>608</v>
      </c>
      <c r="K8" s="151">
        <v>28</v>
      </c>
      <c r="L8" s="149" t="s">
        <v>610</v>
      </c>
      <c r="M8" s="149" t="s">
        <v>611</v>
      </c>
      <c r="N8" s="166">
        <f>E8*H8*K8</f>
        <v>1120000</v>
      </c>
      <c r="O8" s="51">
        <f>N8</f>
        <v>1120000</v>
      </c>
      <c r="P8" s="162"/>
    </row>
    <row r="9" spans="1:18" ht="22.5" customHeight="1">
      <c r="A9" s="221"/>
      <c r="B9" s="204"/>
      <c r="C9" s="204"/>
      <c r="D9" s="164" t="s">
        <v>627</v>
      </c>
      <c r="E9" s="154">
        <v>500</v>
      </c>
      <c r="F9" s="165" t="s">
        <v>607</v>
      </c>
      <c r="G9" s="151" t="s">
        <v>608</v>
      </c>
      <c r="H9" s="151">
        <v>80</v>
      </c>
      <c r="I9" s="149" t="s">
        <v>609</v>
      </c>
      <c r="J9" s="149" t="s">
        <v>608</v>
      </c>
      <c r="K9" s="151">
        <v>31</v>
      </c>
      <c r="L9" s="149" t="s">
        <v>610</v>
      </c>
      <c r="M9" s="149" t="s">
        <v>611</v>
      </c>
      <c r="N9" s="166">
        <f>E9*H9*K9</f>
        <v>1240000</v>
      </c>
      <c r="O9" s="51">
        <f>N9</f>
        <v>1240000</v>
      </c>
      <c r="P9" s="162"/>
    </row>
    <row r="10" spans="1:18" ht="22.5" customHeight="1">
      <c r="A10" s="220"/>
      <c r="B10" s="202"/>
      <c r="C10" s="202"/>
      <c r="D10" s="164" t="s">
        <v>628</v>
      </c>
      <c r="E10" s="154">
        <v>500</v>
      </c>
      <c r="F10" s="165" t="s">
        <v>607</v>
      </c>
      <c r="G10" s="151" t="s">
        <v>608</v>
      </c>
      <c r="H10" s="151">
        <v>80</v>
      </c>
      <c r="I10" s="149" t="s">
        <v>609</v>
      </c>
      <c r="J10" s="149" t="s">
        <v>608</v>
      </c>
      <c r="K10" s="151">
        <v>30</v>
      </c>
      <c r="L10" s="149" t="s">
        <v>610</v>
      </c>
      <c r="M10" s="149" t="s">
        <v>611</v>
      </c>
      <c r="N10" s="166">
        <f t="shared" ref="N10:N15" si="0">E10*H10*K10</f>
        <v>1200000</v>
      </c>
      <c r="O10" s="51">
        <f t="shared" ref="O10:O18" si="1">N10</f>
        <v>1200000</v>
      </c>
      <c r="P10" s="162"/>
    </row>
    <row r="11" spans="1:18" ht="22.5" customHeight="1">
      <c r="A11" s="221"/>
      <c r="B11" s="204"/>
      <c r="C11" s="204"/>
      <c r="D11" s="164" t="s">
        <v>629</v>
      </c>
      <c r="E11" s="154">
        <v>500</v>
      </c>
      <c r="F11" s="165" t="s">
        <v>607</v>
      </c>
      <c r="G11" s="151" t="s">
        <v>608</v>
      </c>
      <c r="H11" s="151">
        <v>80</v>
      </c>
      <c r="I11" s="149" t="s">
        <v>609</v>
      </c>
      <c r="J11" s="149" t="s">
        <v>608</v>
      </c>
      <c r="K11" s="151">
        <v>31</v>
      </c>
      <c r="L11" s="149" t="s">
        <v>610</v>
      </c>
      <c r="M11" s="149" t="s">
        <v>611</v>
      </c>
      <c r="N11" s="166">
        <f t="shared" si="0"/>
        <v>1240000</v>
      </c>
      <c r="O11" s="51">
        <f t="shared" si="1"/>
        <v>1240000</v>
      </c>
      <c r="P11" s="162"/>
    </row>
    <row r="12" spans="1:18" ht="22.5" customHeight="1">
      <c r="A12" s="221"/>
      <c r="B12" s="204"/>
      <c r="C12" s="204"/>
      <c r="D12" s="164" t="s">
        <v>630</v>
      </c>
      <c r="E12" s="154">
        <v>500</v>
      </c>
      <c r="F12" s="165" t="s">
        <v>607</v>
      </c>
      <c r="G12" s="151" t="s">
        <v>608</v>
      </c>
      <c r="H12" s="151">
        <v>80</v>
      </c>
      <c r="I12" s="149" t="s">
        <v>609</v>
      </c>
      <c r="J12" s="149" t="s">
        <v>608</v>
      </c>
      <c r="K12" s="151">
        <v>30</v>
      </c>
      <c r="L12" s="149" t="s">
        <v>610</v>
      </c>
      <c r="M12" s="149" t="s">
        <v>611</v>
      </c>
      <c r="N12" s="166">
        <f t="shared" si="0"/>
        <v>1200000</v>
      </c>
      <c r="O12" s="51">
        <f t="shared" si="1"/>
        <v>1200000</v>
      </c>
      <c r="P12" s="162"/>
    </row>
    <row r="13" spans="1:18" ht="22.5" customHeight="1">
      <c r="A13" s="221"/>
      <c r="B13" s="204"/>
      <c r="C13" s="204"/>
      <c r="D13" s="164" t="s">
        <v>631</v>
      </c>
      <c r="E13" s="154">
        <v>500</v>
      </c>
      <c r="F13" s="165" t="s">
        <v>607</v>
      </c>
      <c r="G13" s="151" t="s">
        <v>608</v>
      </c>
      <c r="H13" s="151">
        <v>80</v>
      </c>
      <c r="I13" s="149" t="s">
        <v>609</v>
      </c>
      <c r="J13" s="149" t="s">
        <v>608</v>
      </c>
      <c r="K13" s="151">
        <v>31</v>
      </c>
      <c r="L13" s="149" t="s">
        <v>39</v>
      </c>
      <c r="M13" s="149" t="s">
        <v>32</v>
      </c>
      <c r="N13" s="166">
        <f t="shared" si="0"/>
        <v>1240000</v>
      </c>
      <c r="O13" s="51">
        <f t="shared" si="1"/>
        <v>1240000</v>
      </c>
      <c r="P13" s="162"/>
    </row>
    <row r="14" spans="1:18" ht="22.5" customHeight="1">
      <c r="A14" s="221"/>
      <c r="B14" s="204"/>
      <c r="C14" s="204"/>
      <c r="D14" s="164" t="s">
        <v>335</v>
      </c>
      <c r="E14" s="154">
        <v>500</v>
      </c>
      <c r="F14" s="165" t="s">
        <v>36</v>
      </c>
      <c r="G14" s="151" t="s">
        <v>37</v>
      </c>
      <c r="H14" s="151">
        <v>80</v>
      </c>
      <c r="I14" s="149" t="s">
        <v>38</v>
      </c>
      <c r="J14" s="149" t="s">
        <v>37</v>
      </c>
      <c r="K14" s="151">
        <v>31</v>
      </c>
      <c r="L14" s="149" t="s">
        <v>39</v>
      </c>
      <c r="M14" s="149" t="s">
        <v>32</v>
      </c>
      <c r="N14" s="166">
        <f t="shared" si="0"/>
        <v>1240000</v>
      </c>
      <c r="O14" s="51">
        <f t="shared" si="1"/>
        <v>1240000</v>
      </c>
      <c r="P14" s="162"/>
    </row>
    <row r="15" spans="1:18" ht="22.5" customHeight="1">
      <c r="A15" s="221"/>
      <c r="B15" s="204"/>
      <c r="C15" s="204"/>
      <c r="D15" s="164" t="s">
        <v>434</v>
      </c>
      <c r="E15" s="154">
        <v>500</v>
      </c>
      <c r="F15" s="165" t="s">
        <v>36</v>
      </c>
      <c r="G15" s="151" t="s">
        <v>37</v>
      </c>
      <c r="H15" s="151">
        <v>80</v>
      </c>
      <c r="I15" s="149" t="s">
        <v>609</v>
      </c>
      <c r="J15" s="149" t="s">
        <v>608</v>
      </c>
      <c r="K15" s="151">
        <v>30</v>
      </c>
      <c r="L15" s="149" t="s">
        <v>610</v>
      </c>
      <c r="M15" s="149" t="s">
        <v>611</v>
      </c>
      <c r="N15" s="166">
        <f t="shared" si="0"/>
        <v>1200000</v>
      </c>
      <c r="O15" s="51">
        <f t="shared" si="1"/>
        <v>1200000</v>
      </c>
      <c r="P15" s="162"/>
    </row>
    <row r="16" spans="1:18" ht="22.5" customHeight="1">
      <c r="A16" s="221"/>
      <c r="B16" s="204"/>
      <c r="C16" s="204"/>
      <c r="D16" s="164" t="s">
        <v>632</v>
      </c>
      <c r="E16" s="154">
        <v>500</v>
      </c>
      <c r="F16" s="165" t="s">
        <v>607</v>
      </c>
      <c r="G16" s="151" t="s">
        <v>608</v>
      </c>
      <c r="H16" s="151">
        <v>80</v>
      </c>
      <c r="I16" s="149" t="s">
        <v>609</v>
      </c>
      <c r="J16" s="149" t="s">
        <v>608</v>
      </c>
      <c r="K16" s="151">
        <v>31</v>
      </c>
      <c r="L16" s="149" t="s">
        <v>610</v>
      </c>
      <c r="M16" s="149" t="s">
        <v>611</v>
      </c>
      <c r="N16" s="166">
        <f>E16*H16*K16</f>
        <v>1240000</v>
      </c>
      <c r="O16" s="51">
        <f t="shared" si="1"/>
        <v>1240000</v>
      </c>
      <c r="P16" s="162"/>
    </row>
    <row r="17" spans="1:16" ht="22.5" customHeight="1">
      <c r="A17" s="221"/>
      <c r="B17" s="204"/>
      <c r="C17" s="204"/>
      <c r="D17" s="164" t="s">
        <v>633</v>
      </c>
      <c r="E17" s="154">
        <v>500</v>
      </c>
      <c r="F17" s="165" t="s">
        <v>607</v>
      </c>
      <c r="G17" s="151" t="s">
        <v>608</v>
      </c>
      <c r="H17" s="151">
        <v>80</v>
      </c>
      <c r="I17" s="149" t="s">
        <v>609</v>
      </c>
      <c r="J17" s="149" t="s">
        <v>608</v>
      </c>
      <c r="K17" s="151">
        <v>30</v>
      </c>
      <c r="L17" s="149" t="s">
        <v>610</v>
      </c>
      <c r="M17" s="149" t="s">
        <v>611</v>
      </c>
      <c r="N17" s="166">
        <f>E17*H17*K17</f>
        <v>1200000</v>
      </c>
      <c r="O17" s="51">
        <f t="shared" si="1"/>
        <v>1200000</v>
      </c>
      <c r="P17" s="162"/>
    </row>
    <row r="18" spans="1:16" ht="22.5" customHeight="1">
      <c r="A18" s="191"/>
      <c r="B18" s="102"/>
      <c r="C18" s="102"/>
      <c r="D18" s="164" t="s">
        <v>634</v>
      </c>
      <c r="E18" s="154">
        <v>500</v>
      </c>
      <c r="F18" s="165" t="s">
        <v>607</v>
      </c>
      <c r="G18" s="151" t="s">
        <v>608</v>
      </c>
      <c r="H18" s="151">
        <v>80</v>
      </c>
      <c r="I18" s="149" t="s">
        <v>609</v>
      </c>
      <c r="J18" s="149" t="s">
        <v>608</v>
      </c>
      <c r="K18" s="151">
        <v>31</v>
      </c>
      <c r="L18" s="149" t="s">
        <v>610</v>
      </c>
      <c r="M18" s="149" t="s">
        <v>611</v>
      </c>
      <c r="N18" s="166">
        <f>E18*H18*K18</f>
        <v>1240000</v>
      </c>
      <c r="O18" s="51">
        <f t="shared" si="1"/>
        <v>1240000</v>
      </c>
      <c r="P18" s="162"/>
    </row>
    <row r="19" spans="1:16" ht="27.75" customHeight="1">
      <c r="A19" s="101" t="s">
        <v>635</v>
      </c>
      <c r="B19" s="49" t="s">
        <v>635</v>
      </c>
      <c r="C19" s="49" t="s">
        <v>635</v>
      </c>
      <c r="D19" s="1208" t="s">
        <v>624</v>
      </c>
      <c r="E19" s="1209"/>
      <c r="F19" s="1209"/>
      <c r="G19" s="1209"/>
      <c r="H19" s="1209"/>
      <c r="I19" s="1209"/>
      <c r="J19" s="1209"/>
      <c r="K19" s="1209"/>
      <c r="L19" s="1209"/>
      <c r="M19" s="1209"/>
      <c r="N19" s="1210"/>
      <c r="O19" s="54">
        <f>SUM(O21:O32)</f>
        <v>4800000</v>
      </c>
      <c r="P19" s="162"/>
    </row>
    <row r="20" spans="1:16" ht="27.75" hidden="1" customHeight="1">
      <c r="A20" s="469"/>
      <c r="B20" s="470"/>
      <c r="C20" s="471"/>
      <c r="D20" s="164" t="s">
        <v>615</v>
      </c>
      <c r="E20" s="154">
        <v>5000</v>
      </c>
      <c r="F20" s="165" t="s">
        <v>607</v>
      </c>
      <c r="G20" s="151" t="s">
        <v>608</v>
      </c>
      <c r="H20" s="151">
        <v>80</v>
      </c>
      <c r="I20" s="149" t="s">
        <v>609</v>
      </c>
      <c r="J20" s="149" t="s">
        <v>608</v>
      </c>
      <c r="K20" s="151">
        <v>12</v>
      </c>
      <c r="L20" s="149" t="s">
        <v>612</v>
      </c>
      <c r="M20" s="149" t="s">
        <v>611</v>
      </c>
      <c r="N20" s="166">
        <f>E20*H20*K20</f>
        <v>4800000</v>
      </c>
      <c r="O20" s="51">
        <f>N20</f>
        <v>4800000</v>
      </c>
      <c r="P20" s="162"/>
    </row>
    <row r="21" spans="1:16" ht="22.5" customHeight="1">
      <c r="A21" s="220"/>
      <c r="B21" s="202"/>
      <c r="C21" s="202"/>
      <c r="D21" s="164" t="s">
        <v>625</v>
      </c>
      <c r="E21" s="154">
        <v>5000</v>
      </c>
      <c r="F21" s="165" t="s">
        <v>607</v>
      </c>
      <c r="G21" s="151" t="s">
        <v>608</v>
      </c>
      <c r="H21" s="151">
        <v>80</v>
      </c>
      <c r="I21" s="149" t="s">
        <v>609</v>
      </c>
      <c r="J21" s="149" t="s">
        <v>608</v>
      </c>
      <c r="K21" s="151">
        <v>1</v>
      </c>
      <c r="L21" s="149" t="s">
        <v>612</v>
      </c>
      <c r="M21" s="149" t="s">
        <v>611</v>
      </c>
      <c r="N21" s="166">
        <f>E21*H21*K21</f>
        <v>400000</v>
      </c>
      <c r="O21" s="51">
        <f>N21</f>
        <v>400000</v>
      </c>
      <c r="P21" s="162"/>
    </row>
    <row r="22" spans="1:16" ht="22.5" customHeight="1">
      <c r="A22" s="221"/>
      <c r="B22" s="204"/>
      <c r="C22" s="204"/>
      <c r="D22" s="164" t="s">
        <v>626</v>
      </c>
      <c r="E22" s="154">
        <v>5000</v>
      </c>
      <c r="F22" s="165" t="s">
        <v>607</v>
      </c>
      <c r="G22" s="151" t="s">
        <v>608</v>
      </c>
      <c r="H22" s="151">
        <v>80</v>
      </c>
      <c r="I22" s="149" t="s">
        <v>609</v>
      </c>
      <c r="J22" s="149" t="s">
        <v>608</v>
      </c>
      <c r="K22" s="151">
        <v>1</v>
      </c>
      <c r="L22" s="149" t="s">
        <v>612</v>
      </c>
      <c r="M22" s="149" t="s">
        <v>611</v>
      </c>
      <c r="N22" s="166">
        <f>E22*H22*K22</f>
        <v>400000</v>
      </c>
      <c r="O22" s="51">
        <f>N22</f>
        <v>400000</v>
      </c>
      <c r="P22" s="162"/>
    </row>
    <row r="23" spans="1:16" ht="22.5" customHeight="1">
      <c r="A23" s="221"/>
      <c r="B23" s="204"/>
      <c r="C23" s="204"/>
      <c r="D23" s="164" t="s">
        <v>627</v>
      </c>
      <c r="E23" s="154">
        <v>5000</v>
      </c>
      <c r="F23" s="165" t="s">
        <v>607</v>
      </c>
      <c r="G23" s="151" t="s">
        <v>608</v>
      </c>
      <c r="H23" s="151">
        <v>80</v>
      </c>
      <c r="I23" s="149" t="s">
        <v>609</v>
      </c>
      <c r="J23" s="149" t="s">
        <v>608</v>
      </c>
      <c r="K23" s="151">
        <v>1</v>
      </c>
      <c r="L23" s="149" t="s">
        <v>612</v>
      </c>
      <c r="M23" s="149" t="s">
        <v>611</v>
      </c>
      <c r="N23" s="166">
        <f>E23*H23*K23</f>
        <v>400000</v>
      </c>
      <c r="O23" s="51">
        <f>N23</f>
        <v>400000</v>
      </c>
      <c r="P23" s="162"/>
    </row>
    <row r="24" spans="1:16" ht="22.5" customHeight="1">
      <c r="A24" s="220"/>
      <c r="B24" s="202"/>
      <c r="C24" s="202"/>
      <c r="D24" s="164" t="s">
        <v>628</v>
      </c>
      <c r="E24" s="154">
        <v>5000</v>
      </c>
      <c r="F24" s="165" t="s">
        <v>607</v>
      </c>
      <c r="G24" s="151" t="s">
        <v>608</v>
      </c>
      <c r="H24" s="151">
        <v>80</v>
      </c>
      <c r="I24" s="149" t="s">
        <v>609</v>
      </c>
      <c r="J24" s="149" t="s">
        <v>608</v>
      </c>
      <c r="K24" s="151">
        <v>1</v>
      </c>
      <c r="L24" s="149" t="s">
        <v>612</v>
      </c>
      <c r="M24" s="149" t="s">
        <v>611</v>
      </c>
      <c r="N24" s="166">
        <f t="shared" ref="N24:N29" si="2">E24*H24*K24</f>
        <v>400000</v>
      </c>
      <c r="O24" s="51">
        <f t="shared" ref="O24:O32" si="3">N24</f>
        <v>400000</v>
      </c>
      <c r="P24" s="162"/>
    </row>
    <row r="25" spans="1:16" ht="22.5" customHeight="1">
      <c r="A25" s="221"/>
      <c r="B25" s="204"/>
      <c r="C25" s="204"/>
      <c r="D25" s="164" t="s">
        <v>629</v>
      </c>
      <c r="E25" s="154">
        <v>5000</v>
      </c>
      <c r="F25" s="165" t="s">
        <v>607</v>
      </c>
      <c r="G25" s="151" t="s">
        <v>608</v>
      </c>
      <c r="H25" s="151">
        <v>80</v>
      </c>
      <c r="I25" s="149" t="s">
        <v>609</v>
      </c>
      <c r="J25" s="149" t="s">
        <v>608</v>
      </c>
      <c r="K25" s="151">
        <v>1</v>
      </c>
      <c r="L25" s="149" t="s">
        <v>612</v>
      </c>
      <c r="M25" s="149" t="s">
        <v>611</v>
      </c>
      <c r="N25" s="166">
        <f t="shared" si="2"/>
        <v>400000</v>
      </c>
      <c r="O25" s="51">
        <f t="shared" si="3"/>
        <v>400000</v>
      </c>
      <c r="P25" s="162"/>
    </row>
    <row r="26" spans="1:16" ht="22.5" customHeight="1">
      <c r="A26" s="221"/>
      <c r="B26" s="204"/>
      <c r="C26" s="204"/>
      <c r="D26" s="164" t="s">
        <v>630</v>
      </c>
      <c r="E26" s="154">
        <v>5000</v>
      </c>
      <c r="F26" s="165" t="s">
        <v>607</v>
      </c>
      <c r="G26" s="151" t="s">
        <v>608</v>
      </c>
      <c r="H26" s="151">
        <v>80</v>
      </c>
      <c r="I26" s="149" t="s">
        <v>609</v>
      </c>
      <c r="J26" s="149" t="s">
        <v>608</v>
      </c>
      <c r="K26" s="151">
        <v>1</v>
      </c>
      <c r="L26" s="149" t="s">
        <v>612</v>
      </c>
      <c r="M26" s="149" t="s">
        <v>611</v>
      </c>
      <c r="N26" s="166">
        <f t="shared" si="2"/>
        <v>400000</v>
      </c>
      <c r="O26" s="51">
        <f t="shared" si="3"/>
        <v>400000</v>
      </c>
      <c r="P26" s="162"/>
    </row>
    <row r="27" spans="1:16" ht="22.5" customHeight="1">
      <c r="A27" s="221"/>
      <c r="B27" s="204"/>
      <c r="C27" s="204"/>
      <c r="D27" s="164" t="s">
        <v>631</v>
      </c>
      <c r="E27" s="154">
        <v>5000</v>
      </c>
      <c r="F27" s="165" t="s">
        <v>607</v>
      </c>
      <c r="G27" s="151" t="s">
        <v>608</v>
      </c>
      <c r="H27" s="151">
        <v>80</v>
      </c>
      <c r="I27" s="149" t="s">
        <v>609</v>
      </c>
      <c r="J27" s="149" t="s">
        <v>608</v>
      </c>
      <c r="K27" s="151">
        <v>1</v>
      </c>
      <c r="L27" s="149" t="s">
        <v>612</v>
      </c>
      <c r="M27" s="149" t="s">
        <v>611</v>
      </c>
      <c r="N27" s="166">
        <f t="shared" si="2"/>
        <v>400000</v>
      </c>
      <c r="O27" s="51">
        <f t="shared" si="3"/>
        <v>400000</v>
      </c>
      <c r="P27" s="162"/>
    </row>
    <row r="28" spans="1:16" ht="22.5" customHeight="1">
      <c r="A28" s="221"/>
      <c r="B28" s="204"/>
      <c r="C28" s="204"/>
      <c r="D28" s="164" t="s">
        <v>636</v>
      </c>
      <c r="E28" s="154">
        <v>5000</v>
      </c>
      <c r="F28" s="165" t="s">
        <v>607</v>
      </c>
      <c r="G28" s="151" t="s">
        <v>608</v>
      </c>
      <c r="H28" s="151">
        <v>80</v>
      </c>
      <c r="I28" s="149" t="s">
        <v>609</v>
      </c>
      <c r="J28" s="149" t="s">
        <v>608</v>
      </c>
      <c r="K28" s="151">
        <v>1</v>
      </c>
      <c r="L28" s="149" t="s">
        <v>612</v>
      </c>
      <c r="M28" s="149" t="s">
        <v>611</v>
      </c>
      <c r="N28" s="166">
        <f t="shared" si="2"/>
        <v>400000</v>
      </c>
      <c r="O28" s="51">
        <f t="shared" si="3"/>
        <v>400000</v>
      </c>
      <c r="P28" s="162"/>
    </row>
    <row r="29" spans="1:16" ht="22.5" customHeight="1">
      <c r="A29" s="221"/>
      <c r="B29" s="204"/>
      <c r="C29" s="204"/>
      <c r="D29" s="164" t="s">
        <v>637</v>
      </c>
      <c r="E29" s="154">
        <v>5000</v>
      </c>
      <c r="F29" s="165" t="s">
        <v>607</v>
      </c>
      <c r="G29" s="151" t="s">
        <v>608</v>
      </c>
      <c r="H29" s="151">
        <v>80</v>
      </c>
      <c r="I29" s="149" t="s">
        <v>609</v>
      </c>
      <c r="J29" s="149" t="s">
        <v>608</v>
      </c>
      <c r="K29" s="151">
        <v>1</v>
      </c>
      <c r="L29" s="149" t="s">
        <v>612</v>
      </c>
      <c r="M29" s="149" t="s">
        <v>611</v>
      </c>
      <c r="N29" s="166">
        <f t="shared" si="2"/>
        <v>400000</v>
      </c>
      <c r="O29" s="51">
        <f t="shared" si="3"/>
        <v>400000</v>
      </c>
      <c r="P29" s="162"/>
    </row>
    <row r="30" spans="1:16" ht="22.5" customHeight="1">
      <c r="A30" s="514"/>
      <c r="B30" s="204"/>
      <c r="C30" s="515"/>
      <c r="D30" s="164" t="s">
        <v>632</v>
      </c>
      <c r="E30" s="154">
        <v>5000</v>
      </c>
      <c r="F30" s="165" t="s">
        <v>607</v>
      </c>
      <c r="G30" s="151" t="s">
        <v>608</v>
      </c>
      <c r="H30" s="151">
        <v>80</v>
      </c>
      <c r="I30" s="149" t="s">
        <v>609</v>
      </c>
      <c r="J30" s="149" t="s">
        <v>608</v>
      </c>
      <c r="K30" s="151">
        <v>1</v>
      </c>
      <c r="L30" s="149" t="s">
        <v>612</v>
      </c>
      <c r="M30" s="149" t="s">
        <v>611</v>
      </c>
      <c r="N30" s="166">
        <f>E30*H30*K30</f>
        <v>400000</v>
      </c>
      <c r="O30" s="51">
        <f t="shared" si="3"/>
        <v>400000</v>
      </c>
      <c r="P30" s="162"/>
    </row>
    <row r="31" spans="1:16" ht="22.5" customHeight="1">
      <c r="A31" s="514"/>
      <c r="B31" s="204"/>
      <c r="C31" s="515"/>
      <c r="D31" s="164" t="s">
        <v>633</v>
      </c>
      <c r="E31" s="154">
        <v>5000</v>
      </c>
      <c r="F31" s="165" t="s">
        <v>607</v>
      </c>
      <c r="G31" s="151" t="s">
        <v>608</v>
      </c>
      <c r="H31" s="151">
        <v>80</v>
      </c>
      <c r="I31" s="149" t="s">
        <v>609</v>
      </c>
      <c r="J31" s="149" t="s">
        <v>608</v>
      </c>
      <c r="K31" s="151">
        <v>1</v>
      </c>
      <c r="L31" s="149" t="s">
        <v>612</v>
      </c>
      <c r="M31" s="149" t="s">
        <v>611</v>
      </c>
      <c r="N31" s="166">
        <f>E31*H31*K31</f>
        <v>400000</v>
      </c>
      <c r="O31" s="51">
        <f t="shared" si="3"/>
        <v>400000</v>
      </c>
      <c r="P31" s="162"/>
    </row>
    <row r="32" spans="1:16" ht="22.5" customHeight="1">
      <c r="A32" s="513"/>
      <c r="B32" s="102"/>
      <c r="C32" s="492"/>
      <c r="D32" s="164" t="s">
        <v>634</v>
      </c>
      <c r="E32" s="154">
        <v>5000</v>
      </c>
      <c r="F32" s="165" t="s">
        <v>607</v>
      </c>
      <c r="G32" s="151" t="s">
        <v>608</v>
      </c>
      <c r="H32" s="151">
        <v>80</v>
      </c>
      <c r="I32" s="149" t="s">
        <v>609</v>
      </c>
      <c r="J32" s="149" t="s">
        <v>608</v>
      </c>
      <c r="K32" s="151">
        <v>1</v>
      </c>
      <c r="L32" s="149" t="s">
        <v>612</v>
      </c>
      <c r="M32" s="149" t="s">
        <v>611</v>
      </c>
      <c r="N32" s="166">
        <f>E32*H32*K32</f>
        <v>400000</v>
      </c>
      <c r="O32" s="51">
        <f t="shared" si="3"/>
        <v>400000</v>
      </c>
      <c r="P32" s="162"/>
    </row>
    <row r="33" spans="1:16" ht="27.75" customHeight="1">
      <c r="A33" s="173" t="s">
        <v>638</v>
      </c>
      <c r="B33" s="106" t="s">
        <v>638</v>
      </c>
      <c r="C33" s="174" t="s">
        <v>638</v>
      </c>
      <c r="D33" s="1208" t="s">
        <v>624</v>
      </c>
      <c r="E33" s="1209"/>
      <c r="F33" s="1209"/>
      <c r="G33" s="1209"/>
      <c r="H33" s="1209"/>
      <c r="I33" s="1209"/>
      <c r="J33" s="1209"/>
      <c r="K33" s="1209"/>
      <c r="L33" s="1209"/>
      <c r="M33" s="1209"/>
      <c r="N33" s="1210"/>
      <c r="O33" s="54">
        <f>SUM(O36:O39)</f>
        <v>10240000</v>
      </c>
      <c r="P33" s="162"/>
    </row>
    <row r="34" spans="1:16" ht="27.75" customHeight="1">
      <c r="A34" s="434"/>
      <c r="B34" s="472"/>
      <c r="C34" s="435"/>
      <c r="D34" s="164" t="s">
        <v>606</v>
      </c>
      <c r="E34" s="154">
        <v>20000</v>
      </c>
      <c r="F34" s="165" t="s">
        <v>607</v>
      </c>
      <c r="G34" s="151" t="s">
        <v>608</v>
      </c>
      <c r="H34" s="151">
        <v>80</v>
      </c>
      <c r="I34" s="149" t="s">
        <v>609</v>
      </c>
      <c r="J34" s="149" t="s">
        <v>608</v>
      </c>
      <c r="K34" s="151">
        <v>4</v>
      </c>
      <c r="L34" s="149" t="s">
        <v>613</v>
      </c>
      <c r="M34" s="149" t="s">
        <v>611</v>
      </c>
      <c r="N34" s="166">
        <f t="shared" ref="N34:N39" si="4">E34*H34*K34</f>
        <v>6400000</v>
      </c>
      <c r="O34" s="51">
        <f t="shared" ref="O34:O39" si="5">N34</f>
        <v>6400000</v>
      </c>
      <c r="P34" s="162"/>
    </row>
    <row r="35" spans="1:16" ht="27.75" customHeight="1">
      <c r="A35" s="434"/>
      <c r="B35" s="472"/>
      <c r="C35" s="435"/>
      <c r="D35" s="356" t="s">
        <v>639</v>
      </c>
      <c r="E35" s="154">
        <v>12000</v>
      </c>
      <c r="F35" s="165" t="s">
        <v>607</v>
      </c>
      <c r="G35" s="151" t="s">
        <v>608</v>
      </c>
      <c r="H35" s="151">
        <v>80</v>
      </c>
      <c r="I35" s="149" t="s">
        <v>609</v>
      </c>
      <c r="J35" s="149" t="s">
        <v>608</v>
      </c>
      <c r="K35" s="151">
        <v>4</v>
      </c>
      <c r="L35" s="149" t="s">
        <v>613</v>
      </c>
      <c r="M35" s="149" t="s">
        <v>611</v>
      </c>
      <c r="N35" s="166">
        <f t="shared" si="4"/>
        <v>3840000</v>
      </c>
      <c r="O35" s="51">
        <f t="shared" si="5"/>
        <v>3840000</v>
      </c>
      <c r="P35" s="162"/>
    </row>
    <row r="36" spans="1:16" ht="22.5" hidden="1" customHeight="1">
      <c r="A36" s="101"/>
      <c r="B36" s="49"/>
      <c r="C36" s="49"/>
      <c r="D36" s="164" t="s">
        <v>640</v>
      </c>
      <c r="E36" s="154">
        <v>32000</v>
      </c>
      <c r="F36" s="165" t="s">
        <v>607</v>
      </c>
      <c r="G36" s="151" t="s">
        <v>608</v>
      </c>
      <c r="H36" s="151">
        <v>80</v>
      </c>
      <c r="I36" s="149" t="s">
        <v>609</v>
      </c>
      <c r="J36" s="149" t="s">
        <v>608</v>
      </c>
      <c r="K36" s="151">
        <v>1</v>
      </c>
      <c r="L36" s="149" t="s">
        <v>613</v>
      </c>
      <c r="M36" s="149" t="s">
        <v>611</v>
      </c>
      <c r="N36" s="166">
        <f t="shared" si="4"/>
        <v>2560000</v>
      </c>
      <c r="O36" s="51">
        <f t="shared" si="5"/>
        <v>2560000</v>
      </c>
      <c r="P36" s="162"/>
    </row>
    <row r="37" spans="1:16" ht="22.5" hidden="1" customHeight="1">
      <c r="A37" s="101"/>
      <c r="B37" s="49"/>
      <c r="C37" s="49"/>
      <c r="D37" s="356" t="s">
        <v>641</v>
      </c>
      <c r="E37" s="154">
        <v>32000</v>
      </c>
      <c r="F37" s="165" t="s">
        <v>607</v>
      </c>
      <c r="G37" s="151" t="s">
        <v>608</v>
      </c>
      <c r="H37" s="151">
        <v>80</v>
      </c>
      <c r="I37" s="149" t="s">
        <v>609</v>
      </c>
      <c r="J37" s="149" t="s">
        <v>608</v>
      </c>
      <c r="K37" s="151">
        <v>1</v>
      </c>
      <c r="L37" s="149" t="s">
        <v>613</v>
      </c>
      <c r="M37" s="149" t="s">
        <v>611</v>
      </c>
      <c r="N37" s="166">
        <f t="shared" si="4"/>
        <v>2560000</v>
      </c>
      <c r="O37" s="51">
        <f t="shared" si="5"/>
        <v>2560000</v>
      </c>
      <c r="P37" s="162"/>
    </row>
    <row r="38" spans="1:16" ht="22.5" hidden="1" customHeight="1">
      <c r="A38" s="101"/>
      <c r="B38" s="49"/>
      <c r="C38" s="49"/>
      <c r="D38" s="164" t="s">
        <v>642</v>
      </c>
      <c r="E38" s="154">
        <v>32000</v>
      </c>
      <c r="F38" s="165" t="s">
        <v>607</v>
      </c>
      <c r="G38" s="151" t="s">
        <v>608</v>
      </c>
      <c r="H38" s="151">
        <v>80</v>
      </c>
      <c r="I38" s="149" t="s">
        <v>609</v>
      </c>
      <c r="J38" s="149" t="s">
        <v>608</v>
      </c>
      <c r="K38" s="151">
        <v>1</v>
      </c>
      <c r="L38" s="149" t="s">
        <v>613</v>
      </c>
      <c r="M38" s="149" t="s">
        <v>611</v>
      </c>
      <c r="N38" s="166">
        <f t="shared" si="4"/>
        <v>2560000</v>
      </c>
      <c r="O38" s="51">
        <f t="shared" si="5"/>
        <v>2560000</v>
      </c>
      <c r="P38" s="162"/>
    </row>
    <row r="39" spans="1:16" ht="22.5" hidden="1" customHeight="1">
      <c r="A39" s="101"/>
      <c r="B39" s="49"/>
      <c r="C39" s="49"/>
      <c r="D39" s="164" t="s">
        <v>643</v>
      </c>
      <c r="E39" s="154">
        <v>32000</v>
      </c>
      <c r="F39" s="165" t="s">
        <v>607</v>
      </c>
      <c r="G39" s="151" t="s">
        <v>608</v>
      </c>
      <c r="H39" s="151">
        <v>80</v>
      </c>
      <c r="I39" s="149" t="s">
        <v>609</v>
      </c>
      <c r="J39" s="149" t="s">
        <v>608</v>
      </c>
      <c r="K39" s="151">
        <v>1</v>
      </c>
      <c r="L39" s="149" t="s">
        <v>613</v>
      </c>
      <c r="M39" s="149" t="s">
        <v>611</v>
      </c>
      <c r="N39" s="166">
        <f t="shared" si="4"/>
        <v>2560000</v>
      </c>
      <c r="O39" s="51">
        <f t="shared" si="5"/>
        <v>2560000</v>
      </c>
      <c r="P39" s="162"/>
    </row>
    <row r="40" spans="1:16" ht="27.75" customHeight="1">
      <c r="A40" s="305" t="s">
        <v>644</v>
      </c>
      <c r="B40" s="57" t="s">
        <v>644</v>
      </c>
      <c r="C40" s="57" t="s">
        <v>644</v>
      </c>
      <c r="D40" s="1208" t="s">
        <v>624</v>
      </c>
      <c r="E40" s="1211"/>
      <c r="F40" s="1211"/>
      <c r="G40" s="1211"/>
      <c r="H40" s="1211"/>
      <c r="I40" s="1211"/>
      <c r="J40" s="1211"/>
      <c r="K40" s="1211"/>
      <c r="L40" s="1211"/>
      <c r="M40" s="1211"/>
      <c r="N40" s="1212"/>
      <c r="O40" s="54">
        <f>O41</f>
        <v>3200000</v>
      </c>
      <c r="P40" s="162"/>
    </row>
    <row r="41" spans="1:16" ht="22.5" customHeight="1">
      <c r="A41" s="473"/>
      <c r="B41" s="474"/>
      <c r="C41" s="475"/>
      <c r="D41" s="167" t="s">
        <v>645</v>
      </c>
      <c r="E41" s="168">
        <v>40000</v>
      </c>
      <c r="F41" s="169" t="s">
        <v>607</v>
      </c>
      <c r="G41" s="157" t="s">
        <v>608</v>
      </c>
      <c r="H41" s="157">
        <v>80</v>
      </c>
      <c r="I41" s="156" t="s">
        <v>609</v>
      </c>
      <c r="J41" s="156" t="s">
        <v>608</v>
      </c>
      <c r="K41" s="157">
        <v>1</v>
      </c>
      <c r="L41" s="156" t="s">
        <v>613</v>
      </c>
      <c r="M41" s="156" t="s">
        <v>611</v>
      </c>
      <c r="N41" s="170">
        <f>E41*H41*K41</f>
        <v>3200000</v>
      </c>
      <c r="O41" s="146">
        <f>N41</f>
        <v>3200000</v>
      </c>
      <c r="P41" s="163"/>
    </row>
    <row r="67" spans="5:5" hidden="1">
      <c r="E67" s="161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7" right="0.39370078740157483" top="0.38" bottom="0.28000000000000003" header="0.23622047244094491" footer="0.23622047244094491"/>
  <pageSetup paperSize="9" scale="84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38" sqref="G38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18</vt:i4>
      </vt:variant>
    </vt:vector>
  </HeadingPairs>
  <TitlesOfParts>
    <vt:vector size="36" baseType="lpstr">
      <vt:lpstr>표지</vt:lpstr>
      <vt:lpstr>가.예산총칙</vt:lpstr>
      <vt:lpstr>나.세입세출(총괄)</vt:lpstr>
      <vt:lpstr>다.보조금세입내역</vt:lpstr>
      <vt:lpstr>다-1.자부담세입내역</vt:lpstr>
      <vt:lpstr>다-2.후원금세입내역 </vt:lpstr>
      <vt:lpstr>라.보조금세출내역</vt:lpstr>
      <vt:lpstr>라-1.자부담세출내역</vt:lpstr>
      <vt:lpstr>라-2.후원금세출내역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생활보장급여</vt:lpstr>
      <vt:lpstr>4종</vt:lpstr>
      <vt:lpstr>Sheet1</vt:lpstr>
      <vt:lpstr>'4종'!Print_Area</vt:lpstr>
      <vt:lpstr>가.예산총칙!Print_Area</vt:lpstr>
      <vt:lpstr>'나.세입세출(총괄)'!Print_Area</vt:lpstr>
      <vt:lpstr>다.보조금세입내역!Print_Area</vt:lpstr>
      <vt:lpstr>'다-1.자부담세입내역'!Print_Area</vt:lpstr>
      <vt:lpstr>'다-2.후원금세입내역 '!Print_Area</vt:lpstr>
      <vt:lpstr>라.보조금세출내역!Print_Area</vt:lpstr>
      <vt:lpstr>'라-1.자부담세출내역'!Print_Area</vt:lpstr>
      <vt:lpstr>'라-2.후원금세출내역'!Print_Area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라.보조금세출내역!Print_Titles</vt:lpstr>
      <vt:lpstr>'라-1.자부담세출내역'!Print_Titles</vt:lpstr>
      <vt:lpstr>'라-2.후원금세출내역'!Print_Titles</vt:lpstr>
      <vt:lpstr>생활보장급여!Print_Titles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Kyong-Yong</cp:lastModifiedBy>
  <cp:lastPrinted>2015-09-09T01:32:57Z</cp:lastPrinted>
  <dcterms:created xsi:type="dcterms:W3CDTF">2007-08-12T05:36:33Z</dcterms:created>
  <dcterms:modified xsi:type="dcterms:W3CDTF">2015-09-09T01:33:19Z</dcterms:modified>
</cp:coreProperties>
</file>