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2020년 예산\"/>
    </mc:Choice>
  </mc:AlternateContent>
  <bookViews>
    <workbookView xWindow="-15" yWindow="1335" windowWidth="19260" windowHeight="5940" tabRatio="862" firstSheet="4" activeTab="10"/>
  </bookViews>
  <sheets>
    <sheet name="표지" sheetId="14" r:id="rId1"/>
    <sheet name="가.예산총칙" sheetId="15" r:id="rId2"/>
    <sheet name="나.세입세출(총괄)" sheetId="4" r:id="rId3"/>
    <sheet name="다.국도시세입" sheetId="19" r:id="rId4"/>
    <sheet name="다-1.도시(군)세입" sheetId="31" r:id="rId5"/>
    <sheet name="다-2.자부담세입" sheetId="20" r:id="rId6"/>
    <sheet name="다-3.후원금세입" sheetId="21" r:id="rId7"/>
    <sheet name="라.국도비세출" sheetId="6" r:id="rId8"/>
    <sheet name="라-1.도시(군)세출" sheetId="30" r:id="rId9"/>
    <sheet name="라-2.자부담세출" sheetId="8" r:id="rId10"/>
    <sheet name="라-3.후원금세출" sheetId="22" r:id="rId11"/>
    <sheet name="마.개요" sheetId="1" r:id="rId12"/>
    <sheet name="바.증감사유" sheetId="27" r:id="rId13"/>
    <sheet name="예산증감내역" sheetId="24" state="hidden" r:id="rId14"/>
    <sheet name="인건비총계표(보조금)" sheetId="17" r:id="rId15"/>
    <sheet name="인건비총계표(자부담)" sheetId="26" r:id="rId16"/>
    <sheet name="인건비총계표(후원금)" sheetId="18" r:id="rId17"/>
    <sheet name="인건비(후원금)" sheetId="28" state="hidden" r:id="rId18"/>
    <sheet name="생활보장급여" sheetId="9" r:id="rId19"/>
    <sheet name="4종" sheetId="13" r:id="rId20"/>
    <sheet name="Sheet1" sheetId="25" r:id="rId21"/>
    <sheet name="Sheet2" sheetId="29" r:id="rId22"/>
  </sheets>
  <definedNames>
    <definedName name="F" localSheetId="4">#REF!</definedName>
    <definedName name="F" localSheetId="8">#REF!</definedName>
    <definedName name="F" localSheetId="12">#REF!</definedName>
    <definedName name="F" localSheetId="17">#REF!</definedName>
    <definedName name="F" localSheetId="15">#REF!</definedName>
    <definedName name="F">#REF!</definedName>
    <definedName name="_xlnm.Print_Area" localSheetId="19">'4종'!$A$1:$P$41</definedName>
    <definedName name="_xlnm.Print_Area" localSheetId="1">가.예산총칙!$A$1:$L$55</definedName>
    <definedName name="_xlnm.Print_Area" localSheetId="2">'나.세입세출(총괄)'!$A$1:$N$53</definedName>
    <definedName name="_xlnm.Print_Area" localSheetId="3">다.국도시세입!$A$1:$I$40</definedName>
    <definedName name="_xlnm.Print_Area" localSheetId="4">'다-1.도시(군)세입'!$A$1:$I$29</definedName>
    <definedName name="_xlnm.Print_Area" localSheetId="5">'다-2.자부담세입'!$A$1:$H$34</definedName>
    <definedName name="_xlnm.Print_Area" localSheetId="6">'다-3.후원금세입'!$A$1:$H$37</definedName>
    <definedName name="_xlnm.Print_Area" localSheetId="7">라.국도비세출!$A$1:$R$61</definedName>
    <definedName name="_xlnm.Print_Area" localSheetId="8">'라-1.도시(군)세출'!$A$1:$R$39</definedName>
    <definedName name="_xlnm.Print_Area" localSheetId="9">'라-2.자부담세출'!$A$1:$R$92</definedName>
    <definedName name="_xlnm.Print_Area" localSheetId="10">'라-3.후원금세출'!$A$1:$R$97</definedName>
    <definedName name="_xlnm.Print_Area" localSheetId="12">바.증감사유!$A$1:$N$54</definedName>
    <definedName name="_xlnm.Print_Area" localSheetId="13">예산증감내역!$A$1:$G$79</definedName>
    <definedName name="_xlnm.Print_Area" localSheetId="14">'인건비총계표(보조금)'!$A$1:$V$716</definedName>
    <definedName name="_xlnm.Print_Area" localSheetId="16">'인건비총계표(후원금)'!$A$1:$U$127</definedName>
    <definedName name="_xlnm.Print_Area" localSheetId="0">표지!$A$1:$A$24</definedName>
    <definedName name="_xlnm.Print_Titles" localSheetId="7">라.국도비세출!$3:$5</definedName>
    <definedName name="_xlnm.Print_Titles" localSheetId="8">'라-1.도시(군)세출'!$3:$5</definedName>
    <definedName name="_xlnm.Print_Titles" localSheetId="9">'라-2.자부담세출'!$3:$5</definedName>
    <definedName name="_xlnm.Print_Titles" localSheetId="10">'라-3.후원금세출'!$3:$5</definedName>
    <definedName name="_xlnm.Print_Titles" localSheetId="12">바.증감사유!$3:$5</definedName>
    <definedName name="_xlnm.Print_Titles" localSheetId="18">생활보장급여!$4:$4</definedName>
    <definedName name="_xlnm.Print_Titles" localSheetId="17">'인건비(후원금)'!$4:$4</definedName>
    <definedName name="_xlnm.Print_Titles" localSheetId="14">'인건비총계표(보조금)'!$4:$4</definedName>
  </definedNames>
  <calcPr calcId="162913"/>
</workbook>
</file>

<file path=xl/calcChain.xml><?xml version="1.0" encoding="utf-8"?>
<calcChain xmlns="http://schemas.openxmlformats.org/spreadsheetml/2006/main">
  <c r="F50" i="22" l="1"/>
  <c r="F20" i="31" l="1"/>
  <c r="V7" i="8" l="1"/>
  <c r="F39" i="30"/>
  <c r="F58" i="6" l="1"/>
  <c r="E24" i="20" l="1"/>
  <c r="K13" i="4" l="1"/>
  <c r="K12" i="4"/>
  <c r="K9" i="4"/>
  <c r="K10" i="4"/>
  <c r="K14" i="4"/>
  <c r="K16" i="4"/>
  <c r="K15" i="4" s="1"/>
  <c r="K18" i="4"/>
  <c r="K19" i="4"/>
  <c r="K20" i="4"/>
  <c r="K21" i="4"/>
  <c r="K22" i="4"/>
  <c r="K23" i="4"/>
  <c r="K26" i="4"/>
  <c r="K27" i="4"/>
  <c r="K28" i="4"/>
  <c r="K31" i="4"/>
  <c r="K32" i="4"/>
  <c r="K33" i="4"/>
  <c r="K34" i="4"/>
  <c r="K35" i="4"/>
  <c r="K37" i="4"/>
  <c r="K38" i="4"/>
  <c r="K39" i="4"/>
  <c r="K40" i="4"/>
  <c r="K41" i="4"/>
  <c r="K42" i="4"/>
  <c r="K44" i="4"/>
  <c r="K43" i="4" s="1"/>
  <c r="K47" i="4"/>
  <c r="K46" i="4" s="1"/>
  <c r="K45" i="4" s="1"/>
  <c r="K50" i="4"/>
  <c r="K49" i="4" s="1"/>
  <c r="K48" i="4" s="1"/>
  <c r="D18" i="4"/>
  <c r="T6" i="30"/>
  <c r="K36" i="4" l="1"/>
  <c r="K30" i="4"/>
  <c r="K29" i="4" s="1"/>
  <c r="K17" i="4"/>
  <c r="K25" i="4"/>
  <c r="K24" i="4" s="1"/>
  <c r="E20" i="4" l="1"/>
  <c r="L40" i="27" l="1"/>
  <c r="L41" i="4"/>
  <c r="F21" i="30" l="1"/>
  <c r="F31" i="30"/>
  <c r="F16" i="31"/>
  <c r="E20" i="27"/>
  <c r="K11" i="4" l="1"/>
  <c r="K8" i="4" s="1"/>
  <c r="K7" i="4" s="1"/>
  <c r="G21" i="31"/>
  <c r="H21" i="31" s="1"/>
  <c r="D19" i="31"/>
  <c r="G32" i="30"/>
  <c r="G31" i="30"/>
  <c r="K53" i="4" l="1"/>
  <c r="K52" i="4" s="1"/>
  <c r="K51" i="4" s="1"/>
  <c r="K6" i="4" s="1"/>
  <c r="G21" i="30"/>
  <c r="L49" i="27"/>
  <c r="E47" i="4" l="1"/>
  <c r="L50" i="4"/>
  <c r="F28" i="31" l="1"/>
  <c r="F18" i="31"/>
  <c r="F17" i="31"/>
  <c r="C18" i="31"/>
  <c r="C17" i="31"/>
  <c r="C16" i="31"/>
  <c r="F35" i="30"/>
  <c r="F22" i="31"/>
  <c r="G20" i="31" s="1"/>
  <c r="H20" i="31" s="1"/>
  <c r="G29" i="31"/>
  <c r="G27" i="31"/>
  <c r="G24" i="31"/>
  <c r="H24" i="31" s="1"/>
  <c r="D15" i="31"/>
  <c r="G12" i="31"/>
  <c r="G11" i="31" s="1"/>
  <c r="G10" i="31" s="1"/>
  <c r="F11" i="31"/>
  <c r="F10" i="31" s="1"/>
  <c r="G9" i="31"/>
  <c r="F8" i="31"/>
  <c r="G8" i="31" s="1"/>
  <c r="G7" i="31" s="1"/>
  <c r="F4" i="31"/>
  <c r="E4" i="31"/>
  <c r="G36" i="30"/>
  <c r="H36" i="30" s="1"/>
  <c r="G33" i="30"/>
  <c r="H33" i="30" s="1"/>
  <c r="G24" i="30"/>
  <c r="H24" i="30" s="1"/>
  <c r="G23" i="30"/>
  <c r="H23" i="30" s="1"/>
  <c r="G22" i="30"/>
  <c r="H22" i="30" s="1"/>
  <c r="D46" i="4" l="1"/>
  <c r="D44" i="4" s="1"/>
  <c r="D43" i="4" s="1"/>
  <c r="D19" i="4"/>
  <c r="G39" i="30"/>
  <c r="H39" i="30" s="1"/>
  <c r="E41" i="27"/>
  <c r="G35" i="30"/>
  <c r="H35" i="30" s="1"/>
  <c r="G23" i="31"/>
  <c r="G22" i="31" s="1"/>
  <c r="G28" i="31"/>
  <c r="G26" i="31" s="1"/>
  <c r="L39" i="27"/>
  <c r="L40" i="4"/>
  <c r="G18" i="31"/>
  <c r="H18" i="31" s="1"/>
  <c r="G16" i="31"/>
  <c r="H16" i="31" s="1"/>
  <c r="F34" i="30"/>
  <c r="F26" i="31"/>
  <c r="F25" i="31" s="1"/>
  <c r="F7" i="31"/>
  <c r="F38" i="30"/>
  <c r="F37" i="30" s="1"/>
  <c r="G55" i="6"/>
  <c r="G54" i="6"/>
  <c r="G53" i="6"/>
  <c r="F52" i="6"/>
  <c r="U691" i="17"/>
  <c r="W691" i="17" s="1"/>
  <c r="AC675" i="17"/>
  <c r="Q676" i="17"/>
  <c r="Q706" i="17"/>
  <c r="F706" i="17"/>
  <c r="Q707" i="17" s="1"/>
  <c r="Q705" i="17"/>
  <c r="M705" i="17"/>
  <c r="C705" i="17"/>
  <c r="U704" i="17"/>
  <c r="AA704" i="17" s="1"/>
  <c r="V676" i="17"/>
  <c r="T703" i="17"/>
  <c r="P703" i="17"/>
  <c r="O703" i="17"/>
  <c r="N703" i="17"/>
  <c r="L703" i="17"/>
  <c r="K703" i="17"/>
  <c r="J703" i="17"/>
  <c r="I703" i="17"/>
  <c r="H703" i="17"/>
  <c r="G703" i="17"/>
  <c r="Q700" i="17"/>
  <c r="R700" i="17" s="1"/>
  <c r="F700" i="17"/>
  <c r="M699" i="17"/>
  <c r="C699" i="17"/>
  <c r="F693" i="17"/>
  <c r="Q692" i="17"/>
  <c r="R692" i="17" s="1"/>
  <c r="O692" i="17"/>
  <c r="O693" i="17" s="1"/>
  <c r="O694" i="17" s="1"/>
  <c r="O695" i="17" s="1"/>
  <c r="F692" i="17"/>
  <c r="Y691" i="17"/>
  <c r="T690" i="17"/>
  <c r="P690" i="17"/>
  <c r="N690" i="17"/>
  <c r="L690" i="17"/>
  <c r="K690" i="17"/>
  <c r="J690" i="17"/>
  <c r="I690" i="17"/>
  <c r="H690" i="17"/>
  <c r="G690" i="17"/>
  <c r="Q681" i="17"/>
  <c r="R681" i="17" s="1"/>
  <c r="O681" i="17"/>
  <c r="F681" i="17"/>
  <c r="F682" i="17" s="1"/>
  <c r="C680" i="17"/>
  <c r="Q679" i="17"/>
  <c r="R679" i="17" s="1"/>
  <c r="F679" i="17"/>
  <c r="Q680" i="17" s="1"/>
  <c r="R680" i="17" s="1"/>
  <c r="R678" i="17"/>
  <c r="U678" i="17" s="1"/>
  <c r="Y678" i="17" s="1"/>
  <c r="T677" i="17"/>
  <c r="S677" i="17"/>
  <c r="P677" i="17"/>
  <c r="N677" i="17"/>
  <c r="L677" i="17"/>
  <c r="K677" i="17"/>
  <c r="J677" i="17"/>
  <c r="I677" i="17"/>
  <c r="H677" i="17"/>
  <c r="G677" i="17"/>
  <c r="F28" i="6"/>
  <c r="L11" i="26"/>
  <c r="Q693" i="17" l="1"/>
  <c r="S693" i="17" s="1"/>
  <c r="F701" i="17"/>
  <c r="Q702" i="17" s="1"/>
  <c r="F695" i="17"/>
  <c r="D17" i="4"/>
  <c r="D16" i="4" s="1"/>
  <c r="D6" i="4" s="1"/>
  <c r="O6" i="4" s="1"/>
  <c r="J6" i="19"/>
  <c r="I676" i="17"/>
  <c r="N676" i="17"/>
  <c r="G34" i="30"/>
  <c r="H34" i="30" s="1"/>
  <c r="H23" i="31"/>
  <c r="E41" i="4"/>
  <c r="H28" i="31"/>
  <c r="F61" i="6"/>
  <c r="G52" i="6"/>
  <c r="H52" i="6" s="1"/>
  <c r="L41" i="27"/>
  <c r="L42" i="4"/>
  <c r="F24" i="19"/>
  <c r="F19" i="19"/>
  <c r="H22" i="31"/>
  <c r="M40" i="4"/>
  <c r="N40" i="4" s="1"/>
  <c r="G676" i="17"/>
  <c r="K676" i="17"/>
  <c r="T676" i="17"/>
  <c r="J676" i="17"/>
  <c r="P676" i="17"/>
  <c r="H676" i="17"/>
  <c r="L676" i="17"/>
  <c r="X678" i="17"/>
  <c r="W678" i="17"/>
  <c r="H26" i="31"/>
  <c r="G25" i="31"/>
  <c r="H25" i="31" s="1"/>
  <c r="G38" i="30"/>
  <c r="H38" i="30" s="1"/>
  <c r="W704" i="17"/>
  <c r="M692" i="17"/>
  <c r="M690" i="17" s="1"/>
  <c r="Q694" i="17"/>
  <c r="R694" i="17" s="1"/>
  <c r="AA691" i="17"/>
  <c r="X704" i="17"/>
  <c r="R705" i="17"/>
  <c r="U705" i="17" s="1"/>
  <c r="AA705" i="17" s="1"/>
  <c r="AB691" i="17"/>
  <c r="S692" i="17"/>
  <c r="S700" i="17"/>
  <c r="Y704" i="17"/>
  <c r="Z704" i="17" s="1"/>
  <c r="R706" i="17"/>
  <c r="U706" i="17" s="1"/>
  <c r="X691" i="17"/>
  <c r="Q701" i="17"/>
  <c r="R701" i="17" s="1"/>
  <c r="AB704" i="17"/>
  <c r="R707" i="17"/>
  <c r="F707" i="17"/>
  <c r="O696" i="17"/>
  <c r="O697" i="17" s="1"/>
  <c r="O698" i="17" s="1"/>
  <c r="O699" i="17" s="1"/>
  <c r="O700" i="17" s="1"/>
  <c r="O701" i="17" s="1"/>
  <c r="Z691" i="17"/>
  <c r="F697" i="17"/>
  <c r="Q696" i="17"/>
  <c r="R693" i="17"/>
  <c r="F694" i="17"/>
  <c r="U680" i="17"/>
  <c r="F683" i="17"/>
  <c r="Q683" i="17"/>
  <c r="R683" i="17" s="1"/>
  <c r="Z678" i="17"/>
  <c r="AA678" i="17"/>
  <c r="M679" i="17"/>
  <c r="Q682" i="17"/>
  <c r="R682" i="17" s="1"/>
  <c r="O682" i="17"/>
  <c r="O683" i="17" s="1"/>
  <c r="O684" i="17" s="1"/>
  <c r="O685" i="17" s="1"/>
  <c r="O686" i="17" s="1"/>
  <c r="O687" i="17" s="1"/>
  <c r="O688" i="17" s="1"/>
  <c r="O689" i="17" s="1"/>
  <c r="AB678" i="17"/>
  <c r="U681" i="17"/>
  <c r="F76" i="22"/>
  <c r="G76" i="22" s="1"/>
  <c r="AC678" i="17" l="1"/>
  <c r="L53" i="4"/>
  <c r="L54" i="27"/>
  <c r="U693" i="17"/>
  <c r="X693" i="17" s="1"/>
  <c r="U692" i="17"/>
  <c r="U700" i="17"/>
  <c r="F702" i="17"/>
  <c r="K7" i="31"/>
  <c r="G37" i="30"/>
  <c r="H37" i="30" s="1"/>
  <c r="U707" i="17"/>
  <c r="AC691" i="17"/>
  <c r="O702" i="17"/>
  <c r="AA692" i="17"/>
  <c r="AA700" i="17"/>
  <c r="AC704" i="17"/>
  <c r="S694" i="17"/>
  <c r="U694" i="17" s="1"/>
  <c r="AB705" i="17"/>
  <c r="Y705" i="17"/>
  <c r="Z705" i="17" s="1"/>
  <c r="W705" i="17"/>
  <c r="U682" i="17"/>
  <c r="X682" i="17" s="1"/>
  <c r="X705" i="17"/>
  <c r="S701" i="17"/>
  <c r="U701" i="17" s="1"/>
  <c r="O690" i="17"/>
  <c r="Q708" i="17"/>
  <c r="F708" i="17"/>
  <c r="AA706" i="17"/>
  <c r="W706" i="17"/>
  <c r="AB706" i="17"/>
  <c r="X706" i="17"/>
  <c r="Y706" i="17"/>
  <c r="Z706" i="17" s="1"/>
  <c r="Q695" i="17"/>
  <c r="F696" i="17"/>
  <c r="W693" i="17"/>
  <c r="R696" i="17"/>
  <c r="S696" i="17"/>
  <c r="Q698" i="17"/>
  <c r="AB692" i="17"/>
  <c r="AB700" i="17"/>
  <c r="S702" i="17"/>
  <c r="R702" i="17"/>
  <c r="F684" i="17"/>
  <c r="U683" i="17"/>
  <c r="Q684" i="17"/>
  <c r="R684" i="17" s="1"/>
  <c r="U679" i="17"/>
  <c r="AB682" i="17"/>
  <c r="W681" i="17"/>
  <c r="Y681" i="17"/>
  <c r="Z681" i="17" s="1"/>
  <c r="AB681" i="17"/>
  <c r="X681" i="17"/>
  <c r="AA681" i="17"/>
  <c r="O677" i="17"/>
  <c r="W680" i="17"/>
  <c r="Y680" i="17"/>
  <c r="Z680" i="17" s="1"/>
  <c r="AB680" i="17"/>
  <c r="X680" i="17"/>
  <c r="AA680" i="17"/>
  <c r="M54" i="27" l="1"/>
  <c r="L53" i="27"/>
  <c r="AA693" i="17"/>
  <c r="AB693" i="17"/>
  <c r="U696" i="17"/>
  <c r="U702" i="17"/>
  <c r="Y693" i="17"/>
  <c r="Z693" i="17" s="1"/>
  <c r="AC693" i="17" s="1"/>
  <c r="O676" i="17"/>
  <c r="F12" i="30" s="1"/>
  <c r="G12" i="30" s="1"/>
  <c r="H12" i="30" s="1"/>
  <c r="Y682" i="17"/>
  <c r="Z682" i="17" s="1"/>
  <c r="AC706" i="17"/>
  <c r="AC705" i="17"/>
  <c r="AA682" i="17"/>
  <c r="Y692" i="17"/>
  <c r="Z692" i="17" s="1"/>
  <c r="W682" i="17"/>
  <c r="X702" i="17"/>
  <c r="X692" i="17"/>
  <c r="W692" i="17"/>
  <c r="AC680" i="17"/>
  <c r="AC681" i="17"/>
  <c r="Y700" i="17"/>
  <c r="Z700" i="17" s="1"/>
  <c r="AA701" i="17"/>
  <c r="W701" i="17"/>
  <c r="AB701" i="17"/>
  <c r="Y701" i="17"/>
  <c r="Z701" i="17" s="1"/>
  <c r="X701" i="17"/>
  <c r="W700" i="17"/>
  <c r="X700" i="17"/>
  <c r="Q709" i="17"/>
  <c r="F709" i="17"/>
  <c r="AA707" i="17"/>
  <c r="W707" i="17"/>
  <c r="X707" i="17"/>
  <c r="AB707" i="17"/>
  <c r="Y707" i="17"/>
  <c r="Z707" i="17" s="1"/>
  <c r="R708" i="17"/>
  <c r="U708" i="17" s="1"/>
  <c r="S695" i="17"/>
  <c r="R695" i="17"/>
  <c r="U695" i="17" s="1"/>
  <c r="AB694" i="17"/>
  <c r="X694" i="17"/>
  <c r="Y694" i="17"/>
  <c r="Z694" i="17" s="1"/>
  <c r="AA694" i="17"/>
  <c r="W694" i="17"/>
  <c r="Q697" i="17"/>
  <c r="F698" i="17"/>
  <c r="R698" i="17"/>
  <c r="S698" i="17"/>
  <c r="Y679" i="17"/>
  <c r="AB679" i="17"/>
  <c r="X679" i="17"/>
  <c r="AA679" i="17"/>
  <c r="W679" i="17"/>
  <c r="F686" i="17"/>
  <c r="F685" i="17"/>
  <c r="U684" i="17"/>
  <c r="Q685" i="17"/>
  <c r="R685" i="17" s="1"/>
  <c r="W683" i="17"/>
  <c r="Y683" i="17"/>
  <c r="Z683" i="17" s="1"/>
  <c r="AB683" i="17"/>
  <c r="X683" i="17"/>
  <c r="AA683" i="17"/>
  <c r="U698" i="17" l="1"/>
  <c r="AC682" i="17"/>
  <c r="AB702" i="17"/>
  <c r="AA702" i="17"/>
  <c r="Y702" i="17"/>
  <c r="Z702" i="17" s="1"/>
  <c r="W702" i="17"/>
  <c r="AC707" i="17"/>
  <c r="AC694" i="17"/>
  <c r="AC692" i="17"/>
  <c r="AC700" i="17"/>
  <c r="AC701" i="17"/>
  <c r="AC683" i="17"/>
  <c r="AA708" i="17"/>
  <c r="W708" i="17"/>
  <c r="AB708" i="17"/>
  <c r="X708" i="17"/>
  <c r="Y708" i="17"/>
  <c r="Z708" i="17" s="1"/>
  <c r="Q710" i="17"/>
  <c r="F710" i="17"/>
  <c r="R709" i="17"/>
  <c r="U709" i="17" s="1"/>
  <c r="Q699" i="17"/>
  <c r="F690" i="17"/>
  <c r="AB696" i="17"/>
  <c r="X696" i="17"/>
  <c r="AA696" i="17"/>
  <c r="W696" i="17"/>
  <c r="Y696" i="17"/>
  <c r="Z696" i="17" s="1"/>
  <c r="S697" i="17"/>
  <c r="R697" i="17"/>
  <c r="Z679" i="17"/>
  <c r="AC679" i="17" s="1"/>
  <c r="F687" i="17"/>
  <c r="Q687" i="17"/>
  <c r="R687" i="17" s="1"/>
  <c r="M686" i="17"/>
  <c r="M677" i="17" s="1"/>
  <c r="W684" i="17"/>
  <c r="Y684" i="17"/>
  <c r="Z684" i="17" s="1"/>
  <c r="AA684" i="17"/>
  <c r="AB684" i="17"/>
  <c r="X684" i="17"/>
  <c r="U685" i="17"/>
  <c r="Q686" i="17"/>
  <c r="R686" i="17" s="1"/>
  <c r="E18" i="21"/>
  <c r="U697" i="17" l="1"/>
  <c r="Y697" i="17" s="1"/>
  <c r="Z697" i="17" s="1"/>
  <c r="AC702" i="17"/>
  <c r="AC708" i="17"/>
  <c r="AC696" i="17"/>
  <c r="AC684" i="17"/>
  <c r="AA709" i="17"/>
  <c r="W709" i="17"/>
  <c r="X709" i="17"/>
  <c r="AB709" i="17"/>
  <c r="Y709" i="17"/>
  <c r="Z709" i="17" s="1"/>
  <c r="F711" i="17"/>
  <c r="Q711" i="17"/>
  <c r="R710" i="17"/>
  <c r="R699" i="17"/>
  <c r="U699" i="17" s="1"/>
  <c r="S699" i="17"/>
  <c r="S690" i="17" s="1"/>
  <c r="Y695" i="17"/>
  <c r="AA695" i="17"/>
  <c r="W695" i="17"/>
  <c r="AB695" i="17"/>
  <c r="X695" i="17"/>
  <c r="AB698" i="17"/>
  <c r="X698" i="17"/>
  <c r="AA698" i="17"/>
  <c r="W698" i="17"/>
  <c r="Y698" i="17"/>
  <c r="Z698" i="17" s="1"/>
  <c r="U686" i="17"/>
  <c r="AA685" i="17"/>
  <c r="Y685" i="17"/>
  <c r="W685" i="17"/>
  <c r="AB685" i="17"/>
  <c r="X685" i="17"/>
  <c r="Q688" i="17"/>
  <c r="R688" i="17" s="1"/>
  <c r="F688" i="17"/>
  <c r="U687" i="17"/>
  <c r="C28" i="1"/>
  <c r="C27" i="1"/>
  <c r="G50" i="22"/>
  <c r="F57" i="6"/>
  <c r="E10" i="1" s="1"/>
  <c r="F49" i="6"/>
  <c r="AC698" i="17" l="1"/>
  <c r="AC709" i="17"/>
  <c r="X697" i="17"/>
  <c r="W697" i="17"/>
  <c r="AB697" i="17"/>
  <c r="AA697" i="17"/>
  <c r="F712" i="17"/>
  <c r="M711" i="17"/>
  <c r="M703" i="17" s="1"/>
  <c r="M676" i="17" s="1"/>
  <c r="F10" i="30" s="1"/>
  <c r="Q712" i="17"/>
  <c r="R711" i="17"/>
  <c r="U710" i="17"/>
  <c r="R690" i="17"/>
  <c r="Z695" i="17"/>
  <c r="AC695" i="17" s="1"/>
  <c r="Y687" i="17"/>
  <c r="Z687" i="17" s="1"/>
  <c r="AB687" i="17"/>
  <c r="X687" i="17"/>
  <c r="AA687" i="17"/>
  <c r="W687" i="17"/>
  <c r="Z685" i="17"/>
  <c r="AC685" i="17" s="1"/>
  <c r="F689" i="17"/>
  <c r="U688" i="17"/>
  <c r="Q689" i="17"/>
  <c r="R689" i="17" s="1"/>
  <c r="R677" i="17" s="1"/>
  <c r="Y686" i="17"/>
  <c r="Z686" i="17" s="1"/>
  <c r="AB686" i="17"/>
  <c r="X686" i="17"/>
  <c r="AA686" i="17"/>
  <c r="W686" i="17"/>
  <c r="AC697" i="17" l="1"/>
  <c r="G10" i="30"/>
  <c r="H10" i="30" s="1"/>
  <c r="AC686" i="17"/>
  <c r="AC687" i="17"/>
  <c r="R712" i="17"/>
  <c r="U711" i="17"/>
  <c r="AA710" i="17"/>
  <c r="W710" i="17"/>
  <c r="AB710" i="17"/>
  <c r="X710" i="17"/>
  <c r="Y710" i="17"/>
  <c r="Z710" i="17" s="1"/>
  <c r="F713" i="17"/>
  <c r="U712" i="17"/>
  <c r="Q713" i="17"/>
  <c r="AB699" i="17"/>
  <c r="AB690" i="17" s="1"/>
  <c r="X699" i="17"/>
  <c r="Y699" i="17"/>
  <c r="AA699" i="17"/>
  <c r="AA690" i="17" s="1"/>
  <c r="W699" i="17"/>
  <c r="U690" i="17"/>
  <c r="U689" i="17"/>
  <c r="F677" i="17"/>
  <c r="Y688" i="17"/>
  <c r="Z688" i="17" s="1"/>
  <c r="AB688" i="17"/>
  <c r="X688" i="17"/>
  <c r="AA688" i="17"/>
  <c r="W688" i="17"/>
  <c r="R54" i="9"/>
  <c r="G54" i="9" s="1"/>
  <c r="G53" i="9" s="1"/>
  <c r="R60" i="9"/>
  <c r="G60" i="9" s="1"/>
  <c r="T6" i="6"/>
  <c r="AC710" i="17" l="1"/>
  <c r="AC688" i="17"/>
  <c r="X690" i="17"/>
  <c r="R713" i="17"/>
  <c r="U713" i="17" s="1"/>
  <c r="AA712" i="17"/>
  <c r="Y712" i="17"/>
  <c r="Z712" i="17" s="1"/>
  <c r="W712" i="17"/>
  <c r="AB712" i="17"/>
  <c r="X712" i="17"/>
  <c r="F714" i="17"/>
  <c r="Q714" i="17"/>
  <c r="W711" i="17"/>
  <c r="Y711" i="17"/>
  <c r="Z711" i="17" s="1"/>
  <c r="AA711" i="17"/>
  <c r="AB711" i="17"/>
  <c r="X711" i="17"/>
  <c r="Z699" i="17"/>
  <c r="Z690" i="17" s="1"/>
  <c r="Y690" i="17"/>
  <c r="W690" i="17"/>
  <c r="Y689" i="17"/>
  <c r="Z689" i="17" s="1"/>
  <c r="Z677" i="17" s="1"/>
  <c r="AB689" i="17"/>
  <c r="AB677" i="17" s="1"/>
  <c r="X689" i="17"/>
  <c r="X677" i="17" s="1"/>
  <c r="AA689" i="17"/>
  <c r="AA677" i="17" s="1"/>
  <c r="W689" i="17"/>
  <c r="W677" i="17" s="1"/>
  <c r="U677" i="17"/>
  <c r="AC712" i="17" l="1"/>
  <c r="AC711" i="17"/>
  <c r="AC699" i="17"/>
  <c r="AC690" i="17" s="1"/>
  <c r="AC689" i="17"/>
  <c r="AC677" i="17" s="1"/>
  <c r="Y677" i="17"/>
  <c r="F715" i="17"/>
  <c r="Q715" i="17"/>
  <c r="R714" i="17"/>
  <c r="U714" i="17" s="1"/>
  <c r="AA713" i="17"/>
  <c r="W713" i="17"/>
  <c r="Y713" i="17"/>
  <c r="Z713" i="17" s="1"/>
  <c r="AB713" i="17"/>
  <c r="X713" i="17"/>
  <c r="F577" i="17"/>
  <c r="F569" i="17"/>
  <c r="F570" i="17" s="1"/>
  <c r="F571" i="17" s="1"/>
  <c r="F572" i="17" s="1"/>
  <c r="F573" i="17" s="1"/>
  <c r="F574" i="17" s="1"/>
  <c r="F575" i="17" s="1"/>
  <c r="F374" i="17"/>
  <c r="F375" i="17" s="1"/>
  <c r="F376" i="17" s="1"/>
  <c r="F377" i="17" s="1"/>
  <c r="F378" i="17" s="1"/>
  <c r="F379" i="17" s="1"/>
  <c r="AC713" i="17" l="1"/>
  <c r="F703" i="17"/>
  <c r="F676" i="17" s="1"/>
  <c r="U715" i="17"/>
  <c r="Y715" i="17" s="1"/>
  <c r="Z715" i="17" s="1"/>
  <c r="AA714" i="17"/>
  <c r="W714" i="17"/>
  <c r="Y714" i="17"/>
  <c r="AB714" i="17"/>
  <c r="X714" i="17"/>
  <c r="X703" i="17" s="1"/>
  <c r="R715" i="17"/>
  <c r="R703" i="17" s="1"/>
  <c r="R676" i="17" s="1"/>
  <c r="F11" i="30" s="1"/>
  <c r="M379" i="17"/>
  <c r="F380" i="17"/>
  <c r="F381" i="17" s="1"/>
  <c r="F382" i="17" s="1"/>
  <c r="F60" i="17"/>
  <c r="F8" i="30" l="1"/>
  <c r="G8" i="30" s="1"/>
  <c r="H8" i="30" s="1"/>
  <c r="X676" i="17"/>
  <c r="F17" i="30" s="1"/>
  <c r="G17" i="30" s="1"/>
  <c r="H17" i="30" s="1"/>
  <c r="G11" i="30"/>
  <c r="H11" i="30" s="1"/>
  <c r="U703" i="17"/>
  <c r="U676" i="17" s="1"/>
  <c r="Z714" i="17"/>
  <c r="Z703" i="17" s="1"/>
  <c r="Z676" i="17" s="1"/>
  <c r="Y703" i="17"/>
  <c r="Y676" i="17" s="1"/>
  <c r="AB715" i="17"/>
  <c r="AB703" i="17" s="1"/>
  <c r="AB676" i="17" s="1"/>
  <c r="F19" i="30" s="1"/>
  <c r="G19" i="30" s="1"/>
  <c r="H19" i="30" s="1"/>
  <c r="W715" i="17"/>
  <c r="AA715" i="17"/>
  <c r="S703" i="17"/>
  <c r="S676" i="17" s="1"/>
  <c r="Q567" i="17"/>
  <c r="R567" i="17" s="1"/>
  <c r="Q568" i="17"/>
  <c r="R568" i="17" s="1"/>
  <c r="U566" i="17"/>
  <c r="Y566" i="17" s="1"/>
  <c r="T565" i="17"/>
  <c r="S565" i="17"/>
  <c r="P565" i="17"/>
  <c r="N565" i="17"/>
  <c r="L565" i="17"/>
  <c r="K565" i="17"/>
  <c r="J565" i="17"/>
  <c r="I565" i="17"/>
  <c r="H565" i="17"/>
  <c r="G565" i="17"/>
  <c r="G578" i="17"/>
  <c r="H578" i="17"/>
  <c r="I578" i="17"/>
  <c r="J578" i="17"/>
  <c r="K578" i="17"/>
  <c r="L578" i="17"/>
  <c r="N578" i="17"/>
  <c r="P578" i="17"/>
  <c r="T578" i="17"/>
  <c r="U579" i="17"/>
  <c r="F580" i="17"/>
  <c r="Q581" i="17" s="1"/>
  <c r="O580" i="17"/>
  <c r="O581" i="17" s="1"/>
  <c r="O582" i="17" s="1"/>
  <c r="Q580" i="17"/>
  <c r="S580" i="17" s="1"/>
  <c r="F581" i="17"/>
  <c r="Q582" i="17" s="1"/>
  <c r="F582" i="17"/>
  <c r="Q583" i="17" s="1"/>
  <c r="R583" i="17" s="1"/>
  <c r="F583" i="17"/>
  <c r="Q584" i="17" s="1"/>
  <c r="R584" i="17" s="1"/>
  <c r="F584" i="17"/>
  <c r="C587" i="17"/>
  <c r="M587" i="17"/>
  <c r="F588" i="17"/>
  <c r="Q588" i="17"/>
  <c r="G591" i="17"/>
  <c r="H591" i="17"/>
  <c r="I591" i="17"/>
  <c r="J591" i="17"/>
  <c r="K591" i="17"/>
  <c r="L591" i="17"/>
  <c r="N591" i="17"/>
  <c r="P591" i="17"/>
  <c r="S591" i="17"/>
  <c r="T591" i="17"/>
  <c r="U592" i="17"/>
  <c r="Y592" i="17" s="1"/>
  <c r="F593" i="17"/>
  <c r="Q594" i="17" s="1"/>
  <c r="R594" i="17" s="1"/>
  <c r="O593" i="17"/>
  <c r="O594" i="17" s="1"/>
  <c r="O595" i="17" s="1"/>
  <c r="O596" i="17" s="1"/>
  <c r="O597" i="17" s="1"/>
  <c r="O598" i="17" s="1"/>
  <c r="O599" i="17" s="1"/>
  <c r="O600" i="17" s="1"/>
  <c r="O601" i="17" s="1"/>
  <c r="O602" i="17" s="1"/>
  <c r="O603" i="17" s="1"/>
  <c r="Q593" i="17"/>
  <c r="R593" i="17" s="1"/>
  <c r="G604" i="17"/>
  <c r="H604" i="17"/>
  <c r="I604" i="17"/>
  <c r="J604" i="17"/>
  <c r="K604" i="17"/>
  <c r="L604" i="17"/>
  <c r="N604" i="17"/>
  <c r="P604" i="17"/>
  <c r="S604" i="17"/>
  <c r="T604" i="17"/>
  <c r="U605" i="17"/>
  <c r="F606" i="17"/>
  <c r="M606" i="17" s="1"/>
  <c r="O606" i="17"/>
  <c r="Q606" i="17"/>
  <c r="R606" i="17" s="1"/>
  <c r="C607" i="17"/>
  <c r="F608" i="17"/>
  <c r="Q608" i="17"/>
  <c r="R608" i="17" s="1"/>
  <c r="G617" i="17"/>
  <c r="H617" i="17"/>
  <c r="I617" i="17"/>
  <c r="J617" i="17"/>
  <c r="K617" i="17"/>
  <c r="L617" i="17"/>
  <c r="N617" i="17"/>
  <c r="P617" i="17"/>
  <c r="S617" i="17"/>
  <c r="T617" i="17"/>
  <c r="U618" i="17"/>
  <c r="F619" i="17"/>
  <c r="M619" i="17" s="1"/>
  <c r="O619" i="17"/>
  <c r="Q619" i="17"/>
  <c r="R619" i="17" s="1"/>
  <c r="C626" i="17"/>
  <c r="M626" i="17"/>
  <c r="F627" i="17"/>
  <c r="F628" i="17" s="1"/>
  <c r="Q627" i="17"/>
  <c r="R627" i="17" s="1"/>
  <c r="G630" i="17"/>
  <c r="H630" i="17"/>
  <c r="I630" i="17"/>
  <c r="J630" i="17"/>
  <c r="K630" i="17"/>
  <c r="L630" i="17"/>
  <c r="M630" i="17"/>
  <c r="N630" i="17"/>
  <c r="O630" i="17"/>
  <c r="R630" i="17"/>
  <c r="S630" i="17"/>
  <c r="T630" i="17"/>
  <c r="W630" i="17"/>
  <c r="X630" i="17"/>
  <c r="Y630" i="17"/>
  <c r="Z630" i="17"/>
  <c r="AA630" i="17"/>
  <c r="AB630" i="17"/>
  <c r="U631" i="17"/>
  <c r="AC631" i="17"/>
  <c r="AC630" i="17" s="1"/>
  <c r="F632" i="17"/>
  <c r="Q564" i="17"/>
  <c r="R564" i="17" s="1"/>
  <c r="F564" i="17"/>
  <c r="Q554" i="17"/>
  <c r="R554" i="17" s="1"/>
  <c r="F554" i="17"/>
  <c r="U553" i="17"/>
  <c r="Y553" i="17" s="1"/>
  <c r="T552" i="17"/>
  <c r="S552" i="17"/>
  <c r="P552" i="17"/>
  <c r="O552" i="17"/>
  <c r="N552" i="17"/>
  <c r="L552" i="17"/>
  <c r="K552" i="17"/>
  <c r="J552" i="17"/>
  <c r="I552" i="17"/>
  <c r="H552" i="17"/>
  <c r="G552" i="17"/>
  <c r="Q546" i="17"/>
  <c r="R546" i="17" s="1"/>
  <c r="F546" i="17"/>
  <c r="Q547" i="17" s="1"/>
  <c r="R547" i="17" s="1"/>
  <c r="Q541" i="17"/>
  <c r="R541" i="17" s="1"/>
  <c r="F541" i="17"/>
  <c r="F542" i="17" s="1"/>
  <c r="Q543" i="17" s="1"/>
  <c r="R543" i="17" s="1"/>
  <c r="U540" i="17"/>
  <c r="Y540" i="17" s="1"/>
  <c r="T539" i="17"/>
  <c r="S539" i="17"/>
  <c r="P539" i="17"/>
  <c r="O539" i="17"/>
  <c r="N539" i="17"/>
  <c r="L539" i="17"/>
  <c r="K539" i="17"/>
  <c r="J539" i="17"/>
  <c r="I539" i="17"/>
  <c r="H539" i="17"/>
  <c r="G539" i="17"/>
  <c r="S528" i="17"/>
  <c r="R528" i="17"/>
  <c r="F528" i="17"/>
  <c r="F529" i="17" s="1"/>
  <c r="U527" i="17"/>
  <c r="T526" i="17"/>
  <c r="P526" i="17"/>
  <c r="O526" i="17"/>
  <c r="N526" i="17"/>
  <c r="L526" i="17"/>
  <c r="K526" i="17"/>
  <c r="J526" i="17"/>
  <c r="I526" i="17"/>
  <c r="H526" i="17"/>
  <c r="G526" i="17"/>
  <c r="Q523" i="17"/>
  <c r="R523" i="17" s="1"/>
  <c r="F523" i="17"/>
  <c r="Q524" i="17" s="1"/>
  <c r="R524" i="17" s="1"/>
  <c r="M522" i="17"/>
  <c r="Q515" i="17"/>
  <c r="R515" i="17" s="1"/>
  <c r="O515" i="17"/>
  <c r="O516" i="17" s="1"/>
  <c r="F515" i="17"/>
  <c r="U514" i="17"/>
  <c r="Y514" i="17" s="1"/>
  <c r="T513" i="17"/>
  <c r="S513" i="17"/>
  <c r="P513" i="17"/>
  <c r="N513" i="17"/>
  <c r="L513" i="17"/>
  <c r="K513" i="17"/>
  <c r="J513" i="17"/>
  <c r="I513" i="17"/>
  <c r="H513" i="17"/>
  <c r="G513" i="17"/>
  <c r="Q509" i="17"/>
  <c r="R509" i="17" s="1"/>
  <c r="F509" i="17"/>
  <c r="Q508" i="17"/>
  <c r="R508" i="17" s="1"/>
  <c r="U508" i="17" s="1"/>
  <c r="Q507" i="17"/>
  <c r="R507" i="17" s="1"/>
  <c r="U507" i="17" s="1"/>
  <c r="Q502" i="17"/>
  <c r="R502" i="17" s="1"/>
  <c r="F502" i="17"/>
  <c r="F503" i="17" s="1"/>
  <c r="U501" i="17"/>
  <c r="T500" i="17"/>
  <c r="S500" i="17"/>
  <c r="P500" i="17"/>
  <c r="O500" i="17"/>
  <c r="N500" i="17"/>
  <c r="L500" i="17"/>
  <c r="K500" i="17"/>
  <c r="J500" i="17"/>
  <c r="I500" i="17"/>
  <c r="H500" i="17"/>
  <c r="G500" i="17"/>
  <c r="O498" i="17"/>
  <c r="O499" i="17" s="1"/>
  <c r="Q491" i="17"/>
  <c r="R491" i="17" s="1"/>
  <c r="F491" i="17"/>
  <c r="C490" i="17"/>
  <c r="Q489" i="17"/>
  <c r="R489" i="17" s="1"/>
  <c r="O489" i="17"/>
  <c r="F489" i="17"/>
  <c r="Q490" i="17" s="1"/>
  <c r="R490" i="17" s="1"/>
  <c r="U488" i="17"/>
  <c r="Y488" i="17" s="1"/>
  <c r="T487" i="17"/>
  <c r="S487" i="17"/>
  <c r="P487" i="17"/>
  <c r="N487" i="17"/>
  <c r="L487" i="17"/>
  <c r="K487" i="17"/>
  <c r="J487" i="17"/>
  <c r="I487" i="17"/>
  <c r="H487" i="17"/>
  <c r="G487" i="17"/>
  <c r="O479" i="17"/>
  <c r="O480" i="17" s="1"/>
  <c r="O481" i="17" s="1"/>
  <c r="O482" i="17" s="1"/>
  <c r="O483" i="17" s="1"/>
  <c r="O484" i="17" s="1"/>
  <c r="O485" i="17" s="1"/>
  <c r="O486" i="17" s="1"/>
  <c r="Q476" i="17"/>
  <c r="R476" i="17" s="1"/>
  <c r="O476" i="17"/>
  <c r="O477" i="17" s="1"/>
  <c r="F476" i="17"/>
  <c r="F477" i="17" s="1"/>
  <c r="U475" i="17"/>
  <c r="T474" i="17"/>
  <c r="S474" i="17"/>
  <c r="P474" i="17"/>
  <c r="N474" i="17"/>
  <c r="L474" i="17"/>
  <c r="K474" i="17"/>
  <c r="J474" i="17"/>
  <c r="I474" i="17"/>
  <c r="H474" i="17"/>
  <c r="G474" i="17"/>
  <c r="Q473" i="17"/>
  <c r="R473" i="17" s="1"/>
  <c r="F473" i="17"/>
  <c r="C472" i="17"/>
  <c r="Q463" i="17"/>
  <c r="R463" i="17" s="1"/>
  <c r="O463" i="17"/>
  <c r="F463" i="17"/>
  <c r="Q464" i="17" s="1"/>
  <c r="R464" i="17" s="1"/>
  <c r="U462" i="17"/>
  <c r="Y462" i="17" s="1"/>
  <c r="T461" i="17"/>
  <c r="S461" i="17"/>
  <c r="P461" i="17"/>
  <c r="N461" i="17"/>
  <c r="L461" i="17"/>
  <c r="K461" i="17"/>
  <c r="J461" i="17"/>
  <c r="I461" i="17"/>
  <c r="H461" i="17"/>
  <c r="G461" i="17"/>
  <c r="Q460" i="17"/>
  <c r="R460" i="17" s="1"/>
  <c r="F460" i="17"/>
  <c r="C459" i="17"/>
  <c r="Q450" i="17"/>
  <c r="R450" i="17" s="1"/>
  <c r="F450" i="17"/>
  <c r="F451" i="17" s="1"/>
  <c r="U449" i="17"/>
  <c r="Y449" i="17" s="1"/>
  <c r="T448" i="17"/>
  <c r="S448" i="17"/>
  <c r="P448" i="17"/>
  <c r="O448" i="17"/>
  <c r="N448" i="17"/>
  <c r="L448" i="17"/>
  <c r="K448" i="17"/>
  <c r="J448" i="17"/>
  <c r="I448" i="17"/>
  <c r="H448" i="17"/>
  <c r="G448" i="17"/>
  <c r="Q441" i="17"/>
  <c r="R441" i="17" s="1"/>
  <c r="F441" i="17"/>
  <c r="F442" i="17" s="1"/>
  <c r="C440" i="17"/>
  <c r="Q437" i="17"/>
  <c r="R437" i="17" s="1"/>
  <c r="O437" i="17"/>
  <c r="O438" i="17" s="1"/>
  <c r="O439" i="17" s="1"/>
  <c r="O440" i="17" s="1"/>
  <c r="F437" i="17"/>
  <c r="U436" i="17"/>
  <c r="Y436" i="17" s="1"/>
  <c r="T435" i="17"/>
  <c r="S435" i="17"/>
  <c r="P435" i="17"/>
  <c r="N435" i="17"/>
  <c r="L435" i="17"/>
  <c r="K435" i="17"/>
  <c r="J435" i="17"/>
  <c r="I435" i="17"/>
  <c r="H435" i="17"/>
  <c r="G435" i="17"/>
  <c r="Q433" i="17"/>
  <c r="R433" i="17" s="1"/>
  <c r="F433" i="17"/>
  <c r="C432" i="17"/>
  <c r="Q424" i="17"/>
  <c r="R424" i="17" s="1"/>
  <c r="F424" i="17"/>
  <c r="F425" i="17" s="1"/>
  <c r="U423" i="17"/>
  <c r="Y423" i="17" s="1"/>
  <c r="T422" i="17"/>
  <c r="S422" i="17"/>
  <c r="P422" i="17"/>
  <c r="O422" i="17"/>
  <c r="N422" i="17"/>
  <c r="L422" i="17"/>
  <c r="K422" i="17"/>
  <c r="J422" i="17"/>
  <c r="I422" i="17"/>
  <c r="H422" i="17"/>
  <c r="G422" i="17"/>
  <c r="Q411" i="17"/>
  <c r="R411" i="17" s="1"/>
  <c r="O411" i="17"/>
  <c r="O412" i="17" s="1"/>
  <c r="F411" i="17"/>
  <c r="U410" i="17"/>
  <c r="T409" i="17"/>
  <c r="S409" i="17"/>
  <c r="P409" i="17"/>
  <c r="N409" i="17"/>
  <c r="L409" i="17"/>
  <c r="K409" i="17"/>
  <c r="J409" i="17"/>
  <c r="I409" i="17"/>
  <c r="H409" i="17"/>
  <c r="G409" i="17"/>
  <c r="Q402" i="17"/>
  <c r="R402" i="17" s="1"/>
  <c r="F402" i="17"/>
  <c r="Q403" i="17" s="1"/>
  <c r="R403" i="17" s="1"/>
  <c r="C401" i="17"/>
  <c r="Q398" i="17"/>
  <c r="R398" i="17" s="1"/>
  <c r="O398" i="17"/>
  <c r="O399" i="17" s="1"/>
  <c r="O400" i="17" s="1"/>
  <c r="O401" i="17" s="1"/>
  <c r="F398" i="17"/>
  <c r="F399" i="17" s="1"/>
  <c r="U397" i="17"/>
  <c r="T396" i="17"/>
  <c r="S396" i="17"/>
  <c r="P396" i="17"/>
  <c r="N396" i="17"/>
  <c r="L396" i="17"/>
  <c r="K396" i="17"/>
  <c r="J396" i="17"/>
  <c r="I396" i="17"/>
  <c r="H396" i="17"/>
  <c r="G396" i="17"/>
  <c r="Q391" i="17"/>
  <c r="R391" i="17" s="1"/>
  <c r="F391" i="17"/>
  <c r="C390" i="17"/>
  <c r="Q385" i="17"/>
  <c r="R385" i="17" s="1"/>
  <c r="F385" i="17"/>
  <c r="F386" i="17" s="1"/>
  <c r="U384" i="17"/>
  <c r="Y384" i="17" s="1"/>
  <c r="T383" i="17"/>
  <c r="S383" i="17"/>
  <c r="P383" i="17"/>
  <c r="O383" i="17"/>
  <c r="N383" i="17"/>
  <c r="L383" i="17"/>
  <c r="K383" i="17"/>
  <c r="J383" i="17"/>
  <c r="I383" i="17"/>
  <c r="H383" i="17"/>
  <c r="G383" i="17"/>
  <c r="Q374" i="17"/>
  <c r="R374" i="17" s="1"/>
  <c r="Q375" i="17"/>
  <c r="R375" i="17" s="1"/>
  <c r="Q372" i="17"/>
  <c r="R372" i="17" s="1"/>
  <c r="F372" i="17"/>
  <c r="U371" i="17"/>
  <c r="T370" i="17"/>
  <c r="P370" i="17"/>
  <c r="O370" i="17"/>
  <c r="N370" i="17"/>
  <c r="L370" i="17"/>
  <c r="K370" i="17"/>
  <c r="J370" i="17"/>
  <c r="I370" i="17"/>
  <c r="H370" i="17"/>
  <c r="G370" i="17"/>
  <c r="Q366" i="17"/>
  <c r="R366" i="17" s="1"/>
  <c r="F366" i="17"/>
  <c r="C365" i="17"/>
  <c r="Q359" i="17"/>
  <c r="R359" i="17" s="1"/>
  <c r="O359" i="17"/>
  <c r="O360" i="17" s="1"/>
  <c r="F359" i="17"/>
  <c r="F360" i="17" s="1"/>
  <c r="U358" i="17"/>
  <c r="T357" i="17"/>
  <c r="S357" i="17"/>
  <c r="P357" i="17"/>
  <c r="N357" i="17"/>
  <c r="L357" i="17"/>
  <c r="K357" i="17"/>
  <c r="J357" i="17"/>
  <c r="I357" i="17"/>
  <c r="H357" i="17"/>
  <c r="G357" i="17"/>
  <c r="Q352" i="17"/>
  <c r="R352" i="17" s="1"/>
  <c r="F352" i="17"/>
  <c r="Q353" i="17" s="1"/>
  <c r="R353" i="17" s="1"/>
  <c r="C351" i="17"/>
  <c r="O348" i="17"/>
  <c r="O349" i="17" s="1"/>
  <c r="O350" i="17" s="1"/>
  <c r="O351" i="17" s="1"/>
  <c r="O352" i="17" s="1"/>
  <c r="O353" i="17" s="1"/>
  <c r="O354" i="17" s="1"/>
  <c r="O355" i="17" s="1"/>
  <c r="O356" i="17" s="1"/>
  <c r="Q346" i="17"/>
  <c r="R346" i="17" s="1"/>
  <c r="O346" i="17"/>
  <c r="F346" i="17"/>
  <c r="U345" i="17"/>
  <c r="Y345" i="17" s="1"/>
  <c r="T344" i="17"/>
  <c r="S344" i="17"/>
  <c r="P344" i="17"/>
  <c r="N344" i="17"/>
  <c r="L344" i="17"/>
  <c r="K344" i="17"/>
  <c r="J344" i="17"/>
  <c r="I344" i="17"/>
  <c r="H344" i="17"/>
  <c r="G344" i="17"/>
  <c r="O343" i="17"/>
  <c r="O342" i="17"/>
  <c r="O341" i="17"/>
  <c r="O340" i="17"/>
  <c r="O339" i="17"/>
  <c r="O338" i="17"/>
  <c r="O337" i="17"/>
  <c r="O336" i="17"/>
  <c r="Q335" i="17"/>
  <c r="R335" i="17" s="1"/>
  <c r="O335" i="17"/>
  <c r="F335" i="17"/>
  <c r="F336" i="17" s="1"/>
  <c r="Q337" i="17" s="1"/>
  <c r="R337" i="17" s="1"/>
  <c r="O334" i="17"/>
  <c r="C334" i="17"/>
  <c r="Q333" i="17"/>
  <c r="R333" i="17" s="1"/>
  <c r="O333" i="17"/>
  <c r="F333" i="17"/>
  <c r="Q334" i="17" s="1"/>
  <c r="R334" i="17" s="1"/>
  <c r="O332" i="17"/>
  <c r="U332" i="17" s="1"/>
  <c r="T331" i="17"/>
  <c r="S331" i="17"/>
  <c r="P331" i="17"/>
  <c r="N331" i="17"/>
  <c r="L331" i="17"/>
  <c r="K331" i="17"/>
  <c r="J331" i="17"/>
  <c r="I331" i="17"/>
  <c r="H331" i="17"/>
  <c r="G331" i="17"/>
  <c r="Q325" i="17"/>
  <c r="R325" i="17" s="1"/>
  <c r="F325" i="17"/>
  <c r="Q326" i="17" s="1"/>
  <c r="S326" i="17" s="1"/>
  <c r="C324" i="17"/>
  <c r="Q320" i="17"/>
  <c r="O320" i="17"/>
  <c r="O321" i="17" s="1"/>
  <c r="O322" i="17" s="1"/>
  <c r="O323" i="17" s="1"/>
  <c r="O324" i="17" s="1"/>
  <c r="F320" i="17"/>
  <c r="M320" i="17" s="1"/>
  <c r="U319" i="17"/>
  <c r="T318" i="17"/>
  <c r="P318" i="17"/>
  <c r="N318" i="17"/>
  <c r="L318" i="17"/>
  <c r="K318" i="17"/>
  <c r="J318" i="17"/>
  <c r="I318" i="17"/>
  <c r="H318" i="17"/>
  <c r="G318" i="17"/>
  <c r="Q309" i="17"/>
  <c r="S309" i="17" s="1"/>
  <c r="F309" i="17"/>
  <c r="F310" i="17" s="1"/>
  <c r="Q311" i="17" s="1"/>
  <c r="R311" i="17" s="1"/>
  <c r="C308" i="17"/>
  <c r="Q307" i="17"/>
  <c r="R307" i="17" s="1"/>
  <c r="O307" i="17"/>
  <c r="F307" i="17"/>
  <c r="U306" i="17"/>
  <c r="Y306" i="17" s="1"/>
  <c r="T305" i="17"/>
  <c r="P305" i="17"/>
  <c r="N305" i="17"/>
  <c r="L305" i="17"/>
  <c r="K305" i="17"/>
  <c r="J305" i="17"/>
  <c r="I305" i="17"/>
  <c r="H305" i="17"/>
  <c r="G305" i="17"/>
  <c r="Q300" i="17"/>
  <c r="R300" i="17" s="1"/>
  <c r="F300" i="17"/>
  <c r="Q301" i="17" s="1"/>
  <c r="R301" i="17" s="1"/>
  <c r="C299" i="17"/>
  <c r="Q294" i="17"/>
  <c r="R294" i="17" s="1"/>
  <c r="O294" i="17"/>
  <c r="O295" i="17" s="1"/>
  <c r="O296" i="17" s="1"/>
  <c r="O297" i="17" s="1"/>
  <c r="O298" i="17" s="1"/>
  <c r="O299" i="17" s="1"/>
  <c r="F294" i="17"/>
  <c r="Q295" i="17" s="1"/>
  <c r="R295" i="17" s="1"/>
  <c r="U293" i="17"/>
  <c r="T292" i="17"/>
  <c r="S292" i="17"/>
  <c r="P292" i="17"/>
  <c r="N292" i="17"/>
  <c r="L292" i="17"/>
  <c r="K292" i="17"/>
  <c r="J292" i="17"/>
  <c r="I292" i="17"/>
  <c r="H292" i="17"/>
  <c r="G292" i="17"/>
  <c r="Q284" i="17"/>
  <c r="R284" i="17" s="1"/>
  <c r="O284" i="17"/>
  <c r="F284" i="17"/>
  <c r="Q285" i="17" s="1"/>
  <c r="R285" i="17" s="1"/>
  <c r="C283" i="17"/>
  <c r="Q281" i="17"/>
  <c r="F281" i="17"/>
  <c r="U280" i="17"/>
  <c r="Y280" i="17" s="1"/>
  <c r="T279" i="17"/>
  <c r="P279" i="17"/>
  <c r="N279" i="17"/>
  <c r="L279" i="17"/>
  <c r="K279" i="17"/>
  <c r="J279" i="17"/>
  <c r="I279" i="17"/>
  <c r="H279" i="17"/>
  <c r="G279" i="17"/>
  <c r="Q271" i="17"/>
  <c r="R271" i="17" s="1"/>
  <c r="F271" i="17"/>
  <c r="Q272" i="17" s="1"/>
  <c r="S272" i="17" s="1"/>
  <c r="C270" i="17"/>
  <c r="Q268" i="17"/>
  <c r="S268" i="17" s="1"/>
  <c r="O268" i="17"/>
  <c r="O269" i="17" s="1"/>
  <c r="F268" i="17"/>
  <c r="Q269" i="17" s="1"/>
  <c r="S269" i="17" s="1"/>
  <c r="U267" i="17"/>
  <c r="T266" i="17"/>
  <c r="P266" i="17"/>
  <c r="N266" i="17"/>
  <c r="L266" i="17"/>
  <c r="K266" i="17"/>
  <c r="J266" i="17"/>
  <c r="I266" i="17"/>
  <c r="H266" i="17"/>
  <c r="G266" i="17"/>
  <c r="Q259" i="17"/>
  <c r="S259" i="17" s="1"/>
  <c r="F259" i="17"/>
  <c r="F260" i="17" s="1"/>
  <c r="Q261" i="17" s="1"/>
  <c r="R261" i="17" s="1"/>
  <c r="C258" i="17"/>
  <c r="Q255" i="17"/>
  <c r="S255" i="17" s="1"/>
  <c r="O255" i="17"/>
  <c r="O256" i="17" s="1"/>
  <c r="O257" i="17" s="1"/>
  <c r="O258" i="17" s="1"/>
  <c r="F255" i="17"/>
  <c r="Q256" i="17" s="1"/>
  <c r="U254" i="17"/>
  <c r="Y254" i="17" s="1"/>
  <c r="T253" i="17"/>
  <c r="P253" i="17"/>
  <c r="N253" i="17"/>
  <c r="L253" i="17"/>
  <c r="K253" i="17"/>
  <c r="J253" i="17"/>
  <c r="I253" i="17"/>
  <c r="H253" i="17"/>
  <c r="G253" i="17"/>
  <c r="Q252" i="17"/>
  <c r="S252" i="17" s="1"/>
  <c r="F252" i="17"/>
  <c r="C251" i="17"/>
  <c r="Q242" i="17"/>
  <c r="S242" i="17" s="1"/>
  <c r="O242" i="17"/>
  <c r="O243" i="17" s="1"/>
  <c r="O244" i="17" s="1"/>
  <c r="O245" i="17" s="1"/>
  <c r="O246" i="17" s="1"/>
  <c r="F242" i="17"/>
  <c r="Q243" i="17" s="1"/>
  <c r="U241" i="17"/>
  <c r="T240" i="17"/>
  <c r="P240" i="17"/>
  <c r="N240" i="17"/>
  <c r="L240" i="17"/>
  <c r="K240" i="17"/>
  <c r="J240" i="17"/>
  <c r="I240" i="17"/>
  <c r="H240" i="17"/>
  <c r="G240" i="17"/>
  <c r="C239" i="17"/>
  <c r="Q229" i="17"/>
  <c r="R229" i="17" s="1"/>
  <c r="F229" i="17"/>
  <c r="F230" i="17" s="1"/>
  <c r="U228" i="17"/>
  <c r="Y228" i="17" s="1"/>
  <c r="T227" i="17"/>
  <c r="S227" i="17"/>
  <c r="P227" i="17"/>
  <c r="O227" i="17"/>
  <c r="N227" i="17"/>
  <c r="L227" i="17"/>
  <c r="K227" i="17"/>
  <c r="J227" i="17"/>
  <c r="I227" i="17"/>
  <c r="H227" i="17"/>
  <c r="G227" i="17"/>
  <c r="Q220" i="17"/>
  <c r="S220" i="17" s="1"/>
  <c r="F220" i="17"/>
  <c r="C219" i="17"/>
  <c r="Q216" i="17"/>
  <c r="S216" i="17" s="1"/>
  <c r="O216" i="17"/>
  <c r="O217" i="17" s="1"/>
  <c r="O218" i="17" s="1"/>
  <c r="O219" i="17" s="1"/>
  <c r="O220" i="17" s="1"/>
  <c r="O221" i="17" s="1"/>
  <c r="O222" i="17" s="1"/>
  <c r="O223" i="17" s="1"/>
  <c r="O224" i="17" s="1"/>
  <c r="O225" i="17" s="1"/>
  <c r="O226" i="17" s="1"/>
  <c r="F216" i="17"/>
  <c r="Q217" i="17" s="1"/>
  <c r="U215" i="17"/>
  <c r="T214" i="17"/>
  <c r="P214" i="17"/>
  <c r="N214" i="17"/>
  <c r="L214" i="17"/>
  <c r="K214" i="17"/>
  <c r="J214" i="17"/>
  <c r="I214" i="17"/>
  <c r="H214" i="17"/>
  <c r="G214" i="17"/>
  <c r="Q208" i="17"/>
  <c r="R208" i="17" s="1"/>
  <c r="F208" i="17"/>
  <c r="C207" i="17"/>
  <c r="Q203" i="17"/>
  <c r="R203" i="17" s="1"/>
  <c r="F203" i="17"/>
  <c r="O202" i="17"/>
  <c r="O203" i="17" s="1"/>
  <c r="T201" i="17"/>
  <c r="S201" i="17"/>
  <c r="P201" i="17"/>
  <c r="N201" i="17"/>
  <c r="L201" i="17"/>
  <c r="K201" i="17"/>
  <c r="J201" i="17"/>
  <c r="I201" i="17"/>
  <c r="H201" i="17"/>
  <c r="G201" i="17"/>
  <c r="O193" i="17"/>
  <c r="O194" i="17" s="1"/>
  <c r="O195" i="17" s="1"/>
  <c r="O196" i="17" s="1"/>
  <c r="O197" i="17" s="1"/>
  <c r="O198" i="17" s="1"/>
  <c r="O199" i="17" s="1"/>
  <c r="O200" i="17" s="1"/>
  <c r="Q191" i="17"/>
  <c r="F191" i="17"/>
  <c r="Q192" i="17" s="1"/>
  <c r="Q190" i="17"/>
  <c r="S190" i="17" s="1"/>
  <c r="O190" i="17"/>
  <c r="O191" i="17" s="1"/>
  <c r="M190" i="17"/>
  <c r="C190" i="17"/>
  <c r="U189" i="17"/>
  <c r="Y189" i="17" s="1"/>
  <c r="T188" i="17"/>
  <c r="P188" i="17"/>
  <c r="N188" i="17"/>
  <c r="L188" i="17"/>
  <c r="K188" i="17"/>
  <c r="J188" i="17"/>
  <c r="I188" i="17"/>
  <c r="H188" i="17"/>
  <c r="G188" i="17"/>
  <c r="Q184" i="17"/>
  <c r="R184" i="17" s="1"/>
  <c r="O184" i="17"/>
  <c r="O185" i="17" s="1"/>
  <c r="O186" i="17" s="1"/>
  <c r="O187" i="17" s="1"/>
  <c r="Q183" i="17"/>
  <c r="R183" i="17" s="1"/>
  <c r="F184" i="17"/>
  <c r="Q185" i="17" s="1"/>
  <c r="R185" i="17" s="1"/>
  <c r="C182" i="17"/>
  <c r="Q177" i="17"/>
  <c r="R177" i="17" s="1"/>
  <c r="O177" i="17"/>
  <c r="F177" i="17"/>
  <c r="Q178" i="17" s="1"/>
  <c r="R178" i="17" s="1"/>
  <c r="U176" i="17"/>
  <c r="Y176" i="17" s="1"/>
  <c r="T175" i="17"/>
  <c r="S175" i="17"/>
  <c r="P175" i="17"/>
  <c r="N175" i="17"/>
  <c r="L175" i="17"/>
  <c r="K175" i="17"/>
  <c r="J175" i="17"/>
  <c r="I175" i="17"/>
  <c r="H175" i="17"/>
  <c r="G175" i="17"/>
  <c r="F174" i="17"/>
  <c r="F173" i="17"/>
  <c r="Q174" i="17" s="1"/>
  <c r="F172" i="17"/>
  <c r="F171" i="17"/>
  <c r="Q172" i="17" s="1"/>
  <c r="R172" i="17" s="1"/>
  <c r="F170" i="17"/>
  <c r="Q171" i="17" s="1"/>
  <c r="R171" i="17" s="1"/>
  <c r="F169" i="17"/>
  <c r="Q170" i="17" s="1"/>
  <c r="F168" i="17"/>
  <c r="Q169" i="17" s="1"/>
  <c r="S169" i="17" s="1"/>
  <c r="Q167" i="17"/>
  <c r="F167" i="17"/>
  <c r="Q168" i="17" s="1"/>
  <c r="R168" i="17" s="1"/>
  <c r="C166" i="17"/>
  <c r="F165" i="17"/>
  <c r="Q166" i="17" s="1"/>
  <c r="Q164" i="17"/>
  <c r="R164" i="17" s="1"/>
  <c r="O164" i="17"/>
  <c r="F164" i="17"/>
  <c r="U163" i="17"/>
  <c r="T162" i="17"/>
  <c r="P162" i="17"/>
  <c r="N162" i="17"/>
  <c r="L162" i="17"/>
  <c r="K162" i="17"/>
  <c r="J162" i="17"/>
  <c r="I162" i="17"/>
  <c r="H162" i="17"/>
  <c r="G162" i="17"/>
  <c r="Q159" i="17"/>
  <c r="F159" i="17"/>
  <c r="F160" i="17" s="1"/>
  <c r="Q161" i="17" s="1"/>
  <c r="R161" i="17" s="1"/>
  <c r="Q158" i="17"/>
  <c r="S158" i="17" s="1"/>
  <c r="M158" i="17"/>
  <c r="C157" i="17"/>
  <c r="Q153" i="17"/>
  <c r="R153" i="17" s="1"/>
  <c r="O153" i="17"/>
  <c r="O154" i="17" s="1"/>
  <c r="F153" i="17"/>
  <c r="S152" i="17"/>
  <c r="R152" i="17"/>
  <c r="Q151" i="17"/>
  <c r="R151" i="17" s="1"/>
  <c r="M151" i="17"/>
  <c r="U150" i="17"/>
  <c r="T149" i="17"/>
  <c r="P149" i="17"/>
  <c r="N149" i="17"/>
  <c r="L149" i="17"/>
  <c r="K149" i="17"/>
  <c r="J149" i="17"/>
  <c r="I149" i="17"/>
  <c r="H149" i="17"/>
  <c r="G149" i="17"/>
  <c r="Q146" i="17"/>
  <c r="S146" i="17" s="1"/>
  <c r="F146" i="17"/>
  <c r="F147" i="17" s="1"/>
  <c r="M145" i="17"/>
  <c r="C145" i="17"/>
  <c r="F142" i="17"/>
  <c r="Q143" i="17" s="1"/>
  <c r="F141" i="17"/>
  <c r="Q142" i="17" s="1"/>
  <c r="F140" i="17"/>
  <c r="Q141" i="17" s="1"/>
  <c r="F139" i="17"/>
  <c r="Q140" i="17" s="1"/>
  <c r="S140" i="17" s="1"/>
  <c r="Q138" i="17"/>
  <c r="R138" i="17" s="1"/>
  <c r="O138" i="17"/>
  <c r="O139" i="17" s="1"/>
  <c r="F138" i="17"/>
  <c r="Q139" i="17" s="1"/>
  <c r="U137" i="17"/>
  <c r="Y137" i="17" s="1"/>
  <c r="T136" i="17"/>
  <c r="P136" i="17"/>
  <c r="N136" i="17"/>
  <c r="L136" i="17"/>
  <c r="K136" i="17"/>
  <c r="J136" i="17"/>
  <c r="I136" i="17"/>
  <c r="H136" i="17"/>
  <c r="G136" i="17"/>
  <c r="F34" i="17"/>
  <c r="F16" i="30" l="1"/>
  <c r="W703" i="17"/>
  <c r="W676" i="17" s="1"/>
  <c r="AC715" i="17"/>
  <c r="AC714" i="17"/>
  <c r="AA703" i="17"/>
  <c r="AA676" i="17" s="1"/>
  <c r="F18" i="30" s="1"/>
  <c r="G18" i="30" s="1"/>
  <c r="H18" i="30" s="1"/>
  <c r="U202" i="17"/>
  <c r="Y202" i="17" s="1"/>
  <c r="Z202" i="17" s="1"/>
  <c r="Q477" i="17"/>
  <c r="R477" i="17" s="1"/>
  <c r="U477" i="17" s="1"/>
  <c r="Q620" i="17"/>
  <c r="R620" i="17" s="1"/>
  <c r="F620" i="17"/>
  <c r="F621" i="17" s="1"/>
  <c r="Q622" i="17" s="1"/>
  <c r="R622" i="17" s="1"/>
  <c r="X618" i="17"/>
  <c r="Y618" i="17"/>
  <c r="W605" i="17"/>
  <c r="Y605" i="17"/>
  <c r="Z605" i="17" s="1"/>
  <c r="Y579" i="17"/>
  <c r="S584" i="17"/>
  <c r="W241" i="17"/>
  <c r="Y241" i="17"/>
  <c r="Y267" i="17"/>
  <c r="Z267" i="17" s="1"/>
  <c r="Y475" i="17"/>
  <c r="Z475" i="17" s="1"/>
  <c r="AA215" i="17"/>
  <c r="Y215" i="17"/>
  <c r="Z215" i="17" s="1"/>
  <c r="X293" i="17"/>
  <c r="Y293" i="17"/>
  <c r="Z293" i="17" s="1"/>
  <c r="AA319" i="17"/>
  <c r="Y319" i="17"/>
  <c r="Z319" i="17" s="1"/>
  <c r="Y371" i="17"/>
  <c r="Z371" i="17" s="1"/>
  <c r="AA397" i="17"/>
  <c r="Y397" i="17"/>
  <c r="Y527" i="17"/>
  <c r="Z527" i="17" s="1"/>
  <c r="AB332" i="17"/>
  <c r="Y332" i="17"/>
  <c r="AA410" i="17"/>
  <c r="Y410" i="17"/>
  <c r="Y507" i="17"/>
  <c r="Z507" i="17" s="1"/>
  <c r="AA358" i="17"/>
  <c r="Y358" i="17"/>
  <c r="X501" i="17"/>
  <c r="Y501" i="17"/>
  <c r="Z501" i="17" s="1"/>
  <c r="Y508" i="17"/>
  <c r="Z508" i="17" s="1"/>
  <c r="Y163" i="17"/>
  <c r="Z163" i="17" s="1"/>
  <c r="AB150" i="17"/>
  <c r="Y150" i="17"/>
  <c r="Z150" i="17" s="1"/>
  <c r="W592" i="17"/>
  <c r="X163" i="17"/>
  <c r="AA163" i="17"/>
  <c r="S161" i="17"/>
  <c r="Z618" i="17"/>
  <c r="AB618" i="17"/>
  <c r="AA371" i="17"/>
  <c r="S138" i="17"/>
  <c r="X306" i="17"/>
  <c r="Q310" i="17"/>
  <c r="R310" i="17" s="1"/>
  <c r="O344" i="17"/>
  <c r="U152" i="17"/>
  <c r="AB152" i="17" s="1"/>
  <c r="AA306" i="17"/>
  <c r="R580" i="17"/>
  <c r="AA579" i="17"/>
  <c r="F629" i="17"/>
  <c r="Q629" i="17"/>
  <c r="R629" i="17" s="1"/>
  <c r="M138" i="17"/>
  <c r="M136" i="17" s="1"/>
  <c r="Q628" i="17"/>
  <c r="R628" i="17" s="1"/>
  <c r="AB605" i="17"/>
  <c r="M567" i="17"/>
  <c r="U567" i="17" s="1"/>
  <c r="AA267" i="17"/>
  <c r="R268" i="17"/>
  <c r="M294" i="17"/>
  <c r="U294" i="17" s="1"/>
  <c r="Y294" i="17" s="1"/>
  <c r="F353" i="17"/>
  <c r="Q354" i="17" s="1"/>
  <c r="R354" i="17" s="1"/>
  <c r="AA605" i="17"/>
  <c r="Q160" i="17"/>
  <c r="S160" i="17" s="1"/>
  <c r="Q260" i="17"/>
  <c r="R260" i="17" s="1"/>
  <c r="X319" i="17"/>
  <c r="R326" i="17"/>
  <c r="Q607" i="17"/>
  <c r="R607" i="17" s="1"/>
  <c r="X605" i="17"/>
  <c r="S583" i="17"/>
  <c r="Z592" i="17"/>
  <c r="Z540" i="17"/>
  <c r="Z345" i="17"/>
  <c r="Z514" i="17"/>
  <c r="Z566" i="17"/>
  <c r="Q165" i="17"/>
  <c r="M164" i="17"/>
  <c r="Z280" i="17"/>
  <c r="M359" i="17"/>
  <c r="U359" i="17" s="1"/>
  <c r="Y359" i="17" s="1"/>
  <c r="Z384" i="17"/>
  <c r="O474" i="17"/>
  <c r="O490" i="17"/>
  <c r="O491" i="17" s="1"/>
  <c r="O492" i="17" s="1"/>
  <c r="O493" i="17" s="1"/>
  <c r="O494" i="17" s="1"/>
  <c r="O495" i="17" s="1"/>
  <c r="O496" i="17" s="1"/>
  <c r="M593" i="17"/>
  <c r="U593" i="17" s="1"/>
  <c r="F594" i="17"/>
  <c r="U594" i="17" s="1"/>
  <c r="Z488" i="17"/>
  <c r="Z306" i="17"/>
  <c r="AA228" i="17"/>
  <c r="AA423" i="17"/>
  <c r="Z423" i="17"/>
  <c r="F434" i="17"/>
  <c r="Q434" i="17"/>
  <c r="R434" i="17" s="1"/>
  <c r="Z436" i="17"/>
  <c r="Q504" i="17"/>
  <c r="R504" i="17" s="1"/>
  <c r="F504" i="17"/>
  <c r="Q505" i="17" s="1"/>
  <c r="R505" i="17" s="1"/>
  <c r="Z553" i="17"/>
  <c r="Z462" i="17"/>
  <c r="Z254" i="17"/>
  <c r="AA150" i="17"/>
  <c r="X150" i="17"/>
  <c r="S151" i="17"/>
  <c r="U151" i="17" s="1"/>
  <c r="W228" i="17"/>
  <c r="Q308" i="17"/>
  <c r="M307" i="17"/>
  <c r="Q492" i="17"/>
  <c r="R492" i="17" s="1"/>
  <c r="F492" i="17"/>
  <c r="Q493" i="17" s="1"/>
  <c r="R493" i="17" s="1"/>
  <c r="M502" i="17"/>
  <c r="U502" i="17" s="1"/>
  <c r="U606" i="17"/>
  <c r="X606" i="17" s="1"/>
  <c r="X592" i="17"/>
  <c r="AA592" i="17"/>
  <c r="AB566" i="17"/>
  <c r="AA566" i="17"/>
  <c r="W566" i="17"/>
  <c r="Z449" i="17"/>
  <c r="Z137" i="17"/>
  <c r="M149" i="17"/>
  <c r="AA176" i="17"/>
  <c r="AB176" i="17"/>
  <c r="W176" i="17"/>
  <c r="M281" i="17"/>
  <c r="F282" i="17"/>
  <c r="Q283" i="17" s="1"/>
  <c r="S283" i="17" s="1"/>
  <c r="O331" i="17"/>
  <c r="U632" i="17"/>
  <c r="F633" i="17"/>
  <c r="AB592" i="17"/>
  <c r="F589" i="17"/>
  <c r="Q589" i="17"/>
  <c r="R589" i="17" s="1"/>
  <c r="Z189" i="17"/>
  <c r="F403" i="17"/>
  <c r="Q404" i="17" s="1"/>
  <c r="R404" i="17" s="1"/>
  <c r="U433" i="17"/>
  <c r="O565" i="17"/>
  <c r="U352" i="17"/>
  <c r="X566" i="17"/>
  <c r="Q569" i="17"/>
  <c r="R569" i="17" s="1"/>
  <c r="U569" i="17" s="1"/>
  <c r="Q609" i="17"/>
  <c r="R609" i="17" s="1"/>
  <c r="O583" i="17"/>
  <c r="M580" i="17"/>
  <c r="M578" i="17" s="1"/>
  <c r="O620" i="17"/>
  <c r="M617" i="17"/>
  <c r="F609" i="17"/>
  <c r="S588" i="17"/>
  <c r="R588" i="17"/>
  <c r="F585" i="17"/>
  <c r="S581" i="17"/>
  <c r="R581" i="17"/>
  <c r="O591" i="17"/>
  <c r="Q585" i="17"/>
  <c r="R582" i="17"/>
  <c r="S582" i="17"/>
  <c r="X579" i="17"/>
  <c r="AB579" i="17"/>
  <c r="W579" i="17"/>
  <c r="U619" i="17"/>
  <c r="AA618" i="17"/>
  <c r="W618" i="17"/>
  <c r="O607" i="17"/>
  <c r="U564" i="17"/>
  <c r="AB527" i="17"/>
  <c r="W527" i="17"/>
  <c r="Q529" i="17"/>
  <c r="R529" i="17" s="1"/>
  <c r="X527" i="17"/>
  <c r="M528" i="17"/>
  <c r="U528" i="17" s="1"/>
  <c r="AA527" i="17"/>
  <c r="F524" i="17"/>
  <c r="AA501" i="17"/>
  <c r="W501" i="17"/>
  <c r="AB501" i="17"/>
  <c r="Q503" i="17"/>
  <c r="R503" i="17" s="1"/>
  <c r="U503" i="17" s="1"/>
  <c r="M489" i="17"/>
  <c r="U489" i="17" s="1"/>
  <c r="Y489" i="17" s="1"/>
  <c r="F478" i="17"/>
  <c r="F479" i="17" s="1"/>
  <c r="Q478" i="17"/>
  <c r="R478" i="17" s="1"/>
  <c r="AA475" i="17"/>
  <c r="W475" i="17"/>
  <c r="AB475" i="17"/>
  <c r="X475" i="17"/>
  <c r="M476" i="17"/>
  <c r="U476" i="17" s="1"/>
  <c r="W462" i="17"/>
  <c r="AB462" i="17"/>
  <c r="X462" i="17"/>
  <c r="F464" i="17"/>
  <c r="AA462" i="17"/>
  <c r="M463" i="17"/>
  <c r="U463" i="17" s="1"/>
  <c r="U460" i="17"/>
  <c r="Q442" i="17"/>
  <c r="R442" i="17" s="1"/>
  <c r="X397" i="17"/>
  <c r="Q399" i="17"/>
  <c r="R399" i="17" s="1"/>
  <c r="U399" i="17" s="1"/>
  <c r="AB397" i="17"/>
  <c r="U374" i="17"/>
  <c r="Y374" i="17" s="1"/>
  <c r="W358" i="17"/>
  <c r="Q336" i="17"/>
  <c r="R336" i="17" s="1"/>
  <c r="U336" i="17" s="1"/>
  <c r="X332" i="17"/>
  <c r="U334" i="17"/>
  <c r="S325" i="17"/>
  <c r="AB319" i="17"/>
  <c r="F321" i="17"/>
  <c r="Q322" i="17" s="1"/>
  <c r="S322" i="17" s="1"/>
  <c r="S311" i="17"/>
  <c r="AB306" i="17"/>
  <c r="W306" i="17"/>
  <c r="S307" i="17"/>
  <c r="F301" i="17"/>
  <c r="M301" i="17" s="1"/>
  <c r="AA293" i="17"/>
  <c r="W293" i="17"/>
  <c r="AB293" i="17"/>
  <c r="F295" i="17"/>
  <c r="Q296" i="17" s="1"/>
  <c r="R296" i="17" s="1"/>
  <c r="S284" i="17"/>
  <c r="U284" i="17" s="1"/>
  <c r="W280" i="17"/>
  <c r="Q282" i="17"/>
  <c r="S282" i="17" s="1"/>
  <c r="X280" i="17"/>
  <c r="AB280" i="17"/>
  <c r="AA280" i="17"/>
  <c r="S271" i="17"/>
  <c r="R242" i="17"/>
  <c r="X228" i="17"/>
  <c r="M229" i="17"/>
  <c r="U229" i="17" s="1"/>
  <c r="AB228" i="17"/>
  <c r="Q230" i="17"/>
  <c r="R230" i="17" s="1"/>
  <c r="U230" i="17" s="1"/>
  <c r="R220" i="17"/>
  <c r="U220" i="17" s="1"/>
  <c r="R216" i="17"/>
  <c r="F192" i="17"/>
  <c r="F193" i="17" s="1"/>
  <c r="X176" i="17"/>
  <c r="F178" i="17"/>
  <c r="M177" i="17"/>
  <c r="U177" i="17" s="1"/>
  <c r="S172" i="17"/>
  <c r="M171" i="17"/>
  <c r="S171" i="17"/>
  <c r="AB163" i="17"/>
  <c r="W163" i="17"/>
  <c r="S164" i="17"/>
  <c r="R158" i="17"/>
  <c r="S153" i="17"/>
  <c r="U153" i="17" s="1"/>
  <c r="Y153" i="17" s="1"/>
  <c r="S166" i="17"/>
  <c r="R166" i="17"/>
  <c r="Q154" i="17"/>
  <c r="F154" i="17"/>
  <c r="O155" i="17"/>
  <c r="O156" i="17" s="1"/>
  <c r="O157" i="17" s="1"/>
  <c r="F161" i="17"/>
  <c r="O178" i="17"/>
  <c r="O179" i="17" s="1"/>
  <c r="O180" i="17" s="1"/>
  <c r="O181" i="17" s="1"/>
  <c r="O182" i="17" s="1"/>
  <c r="AB202" i="17"/>
  <c r="X202" i="17"/>
  <c r="Q209" i="17"/>
  <c r="R209" i="17" s="1"/>
  <c r="F209" i="17"/>
  <c r="S217" i="17"/>
  <c r="R217" i="17"/>
  <c r="S256" i="17"/>
  <c r="R256" i="17"/>
  <c r="S170" i="17"/>
  <c r="R170" i="17"/>
  <c r="F162" i="17"/>
  <c r="S167" i="17"/>
  <c r="R167" i="17"/>
  <c r="O259" i="17"/>
  <c r="O300" i="17"/>
  <c r="S159" i="17"/>
  <c r="R159" i="17"/>
  <c r="O188" i="17"/>
  <c r="S192" i="17"/>
  <c r="R192" i="17"/>
  <c r="Q204" i="17"/>
  <c r="R204" i="17" s="1"/>
  <c r="M203" i="17"/>
  <c r="F204" i="17"/>
  <c r="S243" i="17"/>
  <c r="R243" i="17"/>
  <c r="O325" i="17"/>
  <c r="O165" i="17"/>
  <c r="O166" i="17" s="1"/>
  <c r="R169" i="17"/>
  <c r="AB215" i="17"/>
  <c r="X215" i="17"/>
  <c r="F217" i="17"/>
  <c r="Q231" i="17"/>
  <c r="R231" i="17" s="1"/>
  <c r="F231" i="17"/>
  <c r="M242" i="17"/>
  <c r="R252" i="17"/>
  <c r="U252" i="17" s="1"/>
  <c r="F261" i="17"/>
  <c r="R269" i="17"/>
  <c r="F272" i="17"/>
  <c r="AB345" i="17"/>
  <c r="X345" i="17"/>
  <c r="AA345" i="17"/>
  <c r="W345" i="17"/>
  <c r="M424" i="17"/>
  <c r="U424" i="17" s="1"/>
  <c r="Q425" i="17"/>
  <c r="R425" i="17" s="1"/>
  <c r="U425" i="17" s="1"/>
  <c r="Q173" i="17"/>
  <c r="S174" i="17"/>
  <c r="R174" i="17"/>
  <c r="F185" i="17"/>
  <c r="M184" i="17"/>
  <c r="U184" i="17" s="1"/>
  <c r="S191" i="17"/>
  <c r="R191" i="17"/>
  <c r="W215" i="17"/>
  <c r="M216" i="17"/>
  <c r="O214" i="17"/>
  <c r="O240" i="17"/>
  <c r="R259" i="17"/>
  <c r="AB267" i="17"/>
  <c r="X267" i="17"/>
  <c r="F269" i="17"/>
  <c r="R272" i="17"/>
  <c r="S285" i="17"/>
  <c r="F311" i="17"/>
  <c r="F337" i="17"/>
  <c r="F392" i="17"/>
  <c r="U391" i="17"/>
  <c r="Q392" i="17"/>
  <c r="R392" i="17" s="1"/>
  <c r="AB241" i="17"/>
  <c r="X241" i="17"/>
  <c r="F243" i="17"/>
  <c r="AB254" i="17"/>
  <c r="X254" i="17"/>
  <c r="AA254" i="17"/>
  <c r="W254" i="17"/>
  <c r="F256" i="17"/>
  <c r="M255" i="17"/>
  <c r="F285" i="17"/>
  <c r="Q361" i="17"/>
  <c r="R361" i="17" s="1"/>
  <c r="F361" i="17"/>
  <c r="Q387" i="17"/>
  <c r="R387" i="17" s="1"/>
  <c r="F387" i="17"/>
  <c r="O402" i="17"/>
  <c r="F426" i="17"/>
  <c r="Q426" i="17"/>
  <c r="R426" i="17" s="1"/>
  <c r="X507" i="17"/>
  <c r="W507" i="17"/>
  <c r="AB507" i="17"/>
  <c r="AA507" i="17"/>
  <c r="Q510" i="17"/>
  <c r="R510" i="17" s="1"/>
  <c r="M509" i="17"/>
  <c r="F510" i="17"/>
  <c r="O285" i="17"/>
  <c r="O286" i="17" s="1"/>
  <c r="O287" i="17" s="1"/>
  <c r="O288" i="17" s="1"/>
  <c r="O289" i="17" s="1"/>
  <c r="O290" i="17" s="1"/>
  <c r="O291" i="17" s="1"/>
  <c r="F438" i="17"/>
  <c r="M437" i="17"/>
  <c r="Q438" i="17"/>
  <c r="R438" i="17" s="1"/>
  <c r="Q555" i="17"/>
  <c r="R555" i="17" s="1"/>
  <c r="M554" i="17"/>
  <c r="F555" i="17"/>
  <c r="W150" i="17"/>
  <c r="S168" i="17"/>
  <c r="AB189" i="17"/>
  <c r="X189" i="17"/>
  <c r="AA189" i="17"/>
  <c r="W189" i="17"/>
  <c r="R190" i="17"/>
  <c r="O204" i="17"/>
  <c r="O205" i="17" s="1"/>
  <c r="O206" i="17" s="1"/>
  <c r="O207" i="17" s="1"/>
  <c r="F221" i="17"/>
  <c r="Q221" i="17"/>
  <c r="AA241" i="17"/>
  <c r="R255" i="17"/>
  <c r="S261" i="17"/>
  <c r="W267" i="17"/>
  <c r="M268" i="17"/>
  <c r="O270" i="17"/>
  <c r="S281" i="17"/>
  <c r="R281" i="17"/>
  <c r="O308" i="17"/>
  <c r="R309" i="17"/>
  <c r="S320" i="17"/>
  <c r="R320" i="17"/>
  <c r="F326" i="17"/>
  <c r="AA332" i="17"/>
  <c r="W332" i="17"/>
  <c r="Q347" i="17"/>
  <c r="R347" i="17" s="1"/>
  <c r="F347" i="17"/>
  <c r="M346" i="17"/>
  <c r="U346" i="17" s="1"/>
  <c r="O361" i="17"/>
  <c r="O362" i="17" s="1"/>
  <c r="O363" i="17" s="1"/>
  <c r="O364" i="17" s="1"/>
  <c r="O365" i="17" s="1"/>
  <c r="F367" i="17"/>
  <c r="M366" i="17"/>
  <c r="Q367" i="17"/>
  <c r="R367" i="17" s="1"/>
  <c r="F400" i="17"/>
  <c r="Q400" i="17"/>
  <c r="R400" i="17" s="1"/>
  <c r="U183" i="17"/>
  <c r="Q321" i="17"/>
  <c r="AB371" i="17"/>
  <c r="X371" i="17"/>
  <c r="Q373" i="17"/>
  <c r="R373" i="17" s="1"/>
  <c r="AB384" i="17"/>
  <c r="X384" i="17"/>
  <c r="AA384" i="17"/>
  <c r="W384" i="17"/>
  <c r="Q386" i="17"/>
  <c r="R386" i="17" s="1"/>
  <c r="U386" i="17" s="1"/>
  <c r="M385" i="17"/>
  <c r="AB436" i="17"/>
  <c r="X436" i="17"/>
  <c r="AA436" i="17"/>
  <c r="W436" i="17"/>
  <c r="Q516" i="17"/>
  <c r="R516" i="17" s="1"/>
  <c r="F516" i="17"/>
  <c r="W319" i="17"/>
  <c r="M333" i="17"/>
  <c r="U335" i="17"/>
  <c r="AB358" i="17"/>
  <c r="X358" i="17"/>
  <c r="Q360" i="17"/>
  <c r="R360" i="17" s="1"/>
  <c r="U360" i="17" s="1"/>
  <c r="W371" i="17"/>
  <c r="M372" i="17"/>
  <c r="O413" i="17"/>
  <c r="AB423" i="17"/>
  <c r="X423" i="17"/>
  <c r="W423" i="17"/>
  <c r="F443" i="17"/>
  <c r="Q443" i="17"/>
  <c r="R443" i="17" s="1"/>
  <c r="Q452" i="17"/>
  <c r="R452" i="17" s="1"/>
  <c r="F452" i="17"/>
  <c r="O464" i="17"/>
  <c r="X488" i="17"/>
  <c r="AB488" i="17"/>
  <c r="W488" i="17"/>
  <c r="AA488" i="17"/>
  <c r="M515" i="17"/>
  <c r="M513" i="17" s="1"/>
  <c r="AB410" i="17"/>
  <c r="X410" i="17"/>
  <c r="Q412" i="17"/>
  <c r="R412" i="17" s="1"/>
  <c r="O441" i="17"/>
  <c r="U441" i="17" s="1"/>
  <c r="AB449" i="17"/>
  <c r="X449" i="17"/>
  <c r="AA449" i="17"/>
  <c r="W449" i="17"/>
  <c r="Q451" i="17"/>
  <c r="R451" i="17" s="1"/>
  <c r="U451" i="17" s="1"/>
  <c r="M450" i="17"/>
  <c r="AB508" i="17"/>
  <c r="X508" i="17"/>
  <c r="AA508" i="17"/>
  <c r="W508" i="17"/>
  <c r="AB514" i="17"/>
  <c r="X514" i="17"/>
  <c r="AA514" i="17"/>
  <c r="W397" i="17"/>
  <c r="M398" i="17"/>
  <c r="U398" i="17" s="1"/>
  <c r="W410" i="17"/>
  <c r="M411" i="17"/>
  <c r="F412" i="17"/>
  <c r="W514" i="17"/>
  <c r="F530" i="17"/>
  <c r="Q530" i="17"/>
  <c r="F543" i="17"/>
  <c r="O517" i="17"/>
  <c r="O519" i="17" s="1"/>
  <c r="O520" i="17" s="1"/>
  <c r="O521" i="17" s="1"/>
  <c r="O522" i="17" s="1"/>
  <c r="AB553" i="17"/>
  <c r="X553" i="17"/>
  <c r="AA553" i="17"/>
  <c r="W553" i="17"/>
  <c r="AB540" i="17"/>
  <c r="X540" i="17"/>
  <c r="AA540" i="17"/>
  <c r="W540" i="17"/>
  <c r="Q542" i="17"/>
  <c r="R542" i="17" s="1"/>
  <c r="U542" i="17" s="1"/>
  <c r="M541" i="17"/>
  <c r="F547" i="17"/>
  <c r="U546" i="17"/>
  <c r="R146" i="17"/>
  <c r="Q147" i="17"/>
  <c r="S147" i="17" s="1"/>
  <c r="W137" i="17"/>
  <c r="AA137" i="17"/>
  <c r="F148" i="17"/>
  <c r="Q148" i="17"/>
  <c r="O140" i="17"/>
  <c r="R143" i="17"/>
  <c r="S143" i="17"/>
  <c r="S141" i="17"/>
  <c r="R141" i="17"/>
  <c r="R142" i="17"/>
  <c r="S142" i="17"/>
  <c r="R139" i="17"/>
  <c r="S139" i="17"/>
  <c r="X137" i="17"/>
  <c r="AB137" i="17"/>
  <c r="R140" i="17"/>
  <c r="F143" i="17"/>
  <c r="W202" i="17" l="1"/>
  <c r="F15" i="30"/>
  <c r="G15" i="30" s="1"/>
  <c r="H15" i="30" s="1"/>
  <c r="G16" i="30"/>
  <c r="H16" i="30" s="1"/>
  <c r="AC703" i="17"/>
  <c r="M353" i="17"/>
  <c r="U353" i="17" s="1"/>
  <c r="AA202" i="17"/>
  <c r="U478" i="17"/>
  <c r="Y478" i="17" s="1"/>
  <c r="Z478" i="17" s="1"/>
  <c r="F14" i="30"/>
  <c r="AC676" i="17"/>
  <c r="U295" i="17"/>
  <c r="S310" i="17"/>
  <c r="F296" i="17"/>
  <c r="U296" i="17" s="1"/>
  <c r="U242" i="17"/>
  <c r="Y242" i="17" s="1"/>
  <c r="Z242" i="17" s="1"/>
  <c r="F622" i="17"/>
  <c r="F623" i="17" s="1"/>
  <c r="Q621" i="17"/>
  <c r="R621" i="17" s="1"/>
  <c r="Q479" i="17"/>
  <c r="R479" i="17" s="1"/>
  <c r="U479" i="17" s="1"/>
  <c r="F354" i="17"/>
  <c r="F355" i="17" s="1"/>
  <c r="F505" i="17"/>
  <c r="Q506" i="17" s="1"/>
  <c r="R506" i="17" s="1"/>
  <c r="U191" i="17"/>
  <c r="AB191" i="17" s="1"/>
  <c r="U504" i="17"/>
  <c r="Y504" i="17" s="1"/>
  <c r="Z504" i="17" s="1"/>
  <c r="U307" i="17"/>
  <c r="Y307" i="17" s="1"/>
  <c r="Z307" i="17" s="1"/>
  <c r="U164" i="17"/>
  <c r="M162" i="17"/>
  <c r="Y619" i="17"/>
  <c r="Z619" i="17" s="1"/>
  <c r="AB606" i="17"/>
  <c r="Y606" i="17"/>
  <c r="W606" i="17"/>
  <c r="Y594" i="17"/>
  <c r="Z594" i="17" s="1"/>
  <c r="Y593" i="17"/>
  <c r="Z593" i="17" s="1"/>
  <c r="Z579" i="17"/>
  <c r="AC579" i="17" s="1"/>
  <c r="Y441" i="17"/>
  <c r="Z441" i="17" s="1"/>
  <c r="Y546" i="17"/>
  <c r="Z546" i="17" s="1"/>
  <c r="Y528" i="17"/>
  <c r="Z528" i="17" s="1"/>
  <c r="Y229" i="17"/>
  <c r="Z229" i="17" s="1"/>
  <c r="Y386" i="17"/>
  <c r="Y353" i="17"/>
  <c r="Z353" i="17" s="1"/>
  <c r="Y346" i="17"/>
  <c r="Y391" i="17"/>
  <c r="Z391" i="17" s="1"/>
  <c r="Y184" i="17"/>
  <c r="Z184" i="17" s="1"/>
  <c r="Y252" i="17"/>
  <c r="Z252" i="17" s="1"/>
  <c r="Y334" i="17"/>
  <c r="AA476" i="17"/>
  <c r="Y476" i="17"/>
  <c r="Z476" i="17" s="1"/>
  <c r="Y503" i="17"/>
  <c r="Z503" i="17" s="1"/>
  <c r="Y569" i="17"/>
  <c r="Z569" i="17" s="1"/>
  <c r="Y477" i="17"/>
  <c r="Z477" i="17" s="1"/>
  <c r="Y451" i="17"/>
  <c r="Z451" i="17" s="1"/>
  <c r="Y335" i="17"/>
  <c r="Z335" i="17" s="1"/>
  <c r="Y177" i="17"/>
  <c r="Z177" i="17" s="1"/>
  <c r="AA460" i="17"/>
  <c r="Y460" i="17"/>
  <c r="Z460" i="17" s="1"/>
  <c r="Y352" i="17"/>
  <c r="Z352" i="17" s="1"/>
  <c r="Y360" i="17"/>
  <c r="Z360" i="17" s="1"/>
  <c r="Y425" i="17"/>
  <c r="Z425" i="17" s="1"/>
  <c r="Y220" i="17"/>
  <c r="Z220" i="17" s="1"/>
  <c r="Y284" i="17"/>
  <c r="Z284" i="17" s="1"/>
  <c r="Y336" i="17"/>
  <c r="Z336" i="17" s="1"/>
  <c r="Y399" i="17"/>
  <c r="Z399" i="17" s="1"/>
  <c r="Y463" i="17"/>
  <c r="Y567" i="17"/>
  <c r="Z567" i="17" s="1"/>
  <c r="Z241" i="17"/>
  <c r="AC241" i="17" s="1"/>
  <c r="Y542" i="17"/>
  <c r="Y398" i="17"/>
  <c r="Y183" i="17"/>
  <c r="Z183" i="17" s="1"/>
  <c r="Y295" i="17"/>
  <c r="Z295" i="17" s="1"/>
  <c r="Y424" i="17"/>
  <c r="Z424" i="17" s="1"/>
  <c r="Y230" i="17"/>
  <c r="Y564" i="17"/>
  <c r="Z564" i="17" s="1"/>
  <c r="AA433" i="17"/>
  <c r="Y433" i="17"/>
  <c r="Z433" i="17" s="1"/>
  <c r="Y502" i="17"/>
  <c r="Z358" i="17"/>
  <c r="Y152" i="17"/>
  <c r="Z152" i="17" s="1"/>
  <c r="Y151" i="17"/>
  <c r="U138" i="17"/>
  <c r="AB138" i="17" s="1"/>
  <c r="U490" i="17"/>
  <c r="AA490" i="17" s="1"/>
  <c r="X476" i="17"/>
  <c r="R282" i="17"/>
  <c r="U282" i="17" s="1"/>
  <c r="Q193" i="17"/>
  <c r="R193" i="17" s="1"/>
  <c r="W152" i="17"/>
  <c r="AC306" i="17"/>
  <c r="X433" i="17"/>
  <c r="W352" i="17"/>
  <c r="AC566" i="17"/>
  <c r="W374" i="17"/>
  <c r="F404" i="17"/>
  <c r="Q405" i="17" s="1"/>
  <c r="R405" i="17" s="1"/>
  <c r="W503" i="17"/>
  <c r="X460" i="17"/>
  <c r="AB352" i="17"/>
  <c r="S260" i="17"/>
  <c r="AB460" i="17"/>
  <c r="S589" i="17"/>
  <c r="X593" i="17"/>
  <c r="AA352" i="17"/>
  <c r="AA152" i="17"/>
  <c r="U139" i="17"/>
  <c r="AA139" i="17" s="1"/>
  <c r="W564" i="17"/>
  <c r="X352" i="17"/>
  <c r="R160" i="17"/>
  <c r="X152" i="17"/>
  <c r="AC163" i="17"/>
  <c r="U464" i="17"/>
  <c r="U582" i="17"/>
  <c r="AA582" i="17" s="1"/>
  <c r="AB433" i="17"/>
  <c r="U178" i="17"/>
  <c r="AA503" i="17"/>
  <c r="AA374" i="17"/>
  <c r="Q570" i="17"/>
  <c r="R570" i="17" s="1"/>
  <c r="U570" i="17" s="1"/>
  <c r="AC592" i="17"/>
  <c r="S529" i="17"/>
  <c r="U529" i="17" s="1"/>
  <c r="Y529" i="17" s="1"/>
  <c r="X503" i="17"/>
  <c r="O279" i="17"/>
  <c r="AB374" i="17"/>
  <c r="U568" i="17"/>
  <c r="AB503" i="17"/>
  <c r="M500" i="17"/>
  <c r="X374" i="17"/>
  <c r="R283" i="17"/>
  <c r="U283" i="17" s="1"/>
  <c r="Y283" i="17" s="1"/>
  <c r="Z153" i="17"/>
  <c r="Z489" i="17"/>
  <c r="AA359" i="17"/>
  <c r="AB359" i="17"/>
  <c r="X359" i="17"/>
  <c r="W359" i="17"/>
  <c r="Z332" i="17"/>
  <c r="AC332" i="17" s="1"/>
  <c r="X564" i="17"/>
  <c r="U492" i="17"/>
  <c r="F322" i="17"/>
  <c r="F323" i="17" s="1"/>
  <c r="Z374" i="17"/>
  <c r="W476" i="17"/>
  <c r="F634" i="17"/>
  <c r="U633" i="17"/>
  <c r="Z397" i="17"/>
  <c r="AC397" i="17" s="1"/>
  <c r="S165" i="17"/>
  <c r="R165" i="17"/>
  <c r="U491" i="17"/>
  <c r="F493" i="17"/>
  <c r="Q494" i="17" s="1"/>
  <c r="R494" i="17" s="1"/>
  <c r="O175" i="17"/>
  <c r="W460" i="17"/>
  <c r="AA593" i="17"/>
  <c r="W433" i="17"/>
  <c r="Q590" i="17"/>
  <c r="F590" i="17"/>
  <c r="AA606" i="17"/>
  <c r="U434" i="17"/>
  <c r="Y434" i="17" s="1"/>
  <c r="Z228" i="17"/>
  <c r="AC228" i="17" s="1"/>
  <c r="R322" i="17"/>
  <c r="U216" i="17"/>
  <c r="X294" i="17"/>
  <c r="AC501" i="17"/>
  <c r="W593" i="17"/>
  <c r="AB593" i="17"/>
  <c r="Z176" i="17"/>
  <c r="R308" i="17"/>
  <c r="S308" i="17"/>
  <c r="Z410" i="17"/>
  <c r="AC410" i="17" s="1"/>
  <c r="Q595" i="17"/>
  <c r="R595" i="17" s="1"/>
  <c r="F595" i="17"/>
  <c r="O487" i="17"/>
  <c r="AC527" i="17"/>
  <c r="AC462" i="17"/>
  <c r="W569" i="17"/>
  <c r="AA569" i="17"/>
  <c r="AB569" i="17"/>
  <c r="X569" i="17"/>
  <c r="Q571" i="17"/>
  <c r="R571" i="17" s="1"/>
  <c r="AB567" i="17"/>
  <c r="X567" i="17"/>
  <c r="AA567" i="17"/>
  <c r="W567" i="17"/>
  <c r="W619" i="17"/>
  <c r="AA619" i="17"/>
  <c r="X619" i="17"/>
  <c r="AB619" i="17"/>
  <c r="F586" i="17"/>
  <c r="Q586" i="17"/>
  <c r="X594" i="17"/>
  <c r="AB594" i="17"/>
  <c r="AA594" i="17"/>
  <c r="W594" i="17"/>
  <c r="U580" i="17"/>
  <c r="O584" i="17"/>
  <c r="U583" i="17"/>
  <c r="AC618" i="17"/>
  <c r="AC605" i="17"/>
  <c r="U620" i="17"/>
  <c r="Y620" i="17" s="1"/>
  <c r="O621" i="17"/>
  <c r="O608" i="17"/>
  <c r="U607" i="17"/>
  <c r="S585" i="17"/>
  <c r="R585" i="17"/>
  <c r="U581" i="17"/>
  <c r="F610" i="17"/>
  <c r="Q610" i="17"/>
  <c r="R610" i="17" s="1"/>
  <c r="AB564" i="17"/>
  <c r="AA564" i="17"/>
  <c r="Q525" i="17"/>
  <c r="R525" i="17" s="1"/>
  <c r="F525" i="17"/>
  <c r="AB476" i="17"/>
  <c r="F465" i="17"/>
  <c r="Q465" i="17"/>
  <c r="R465" i="17" s="1"/>
  <c r="Q376" i="17"/>
  <c r="R376" i="17" s="1"/>
  <c r="U375" i="17"/>
  <c r="X334" i="17"/>
  <c r="AB334" i="17"/>
  <c r="W334" i="17"/>
  <c r="AA334" i="17"/>
  <c r="Q302" i="17"/>
  <c r="R302" i="17" s="1"/>
  <c r="F302" i="17"/>
  <c r="W294" i="17"/>
  <c r="AA294" i="17"/>
  <c r="AC293" i="17"/>
  <c r="AB294" i="17"/>
  <c r="AC280" i="17"/>
  <c r="U255" i="17"/>
  <c r="Y255" i="17" s="1"/>
  <c r="Q194" i="17"/>
  <c r="F194" i="17"/>
  <c r="M175" i="17"/>
  <c r="F179" i="17"/>
  <c r="Q179" i="17"/>
  <c r="R179" i="17" s="1"/>
  <c r="AB542" i="17"/>
  <c r="X542" i="17"/>
  <c r="AA542" i="17"/>
  <c r="W542" i="17"/>
  <c r="AA151" i="17"/>
  <c r="W151" i="17"/>
  <c r="X151" i="17"/>
  <c r="AB151" i="17"/>
  <c r="U450" i="17"/>
  <c r="Y450" i="17" s="1"/>
  <c r="O465" i="17"/>
  <c r="U333" i="17"/>
  <c r="AB386" i="17"/>
  <c r="X386" i="17"/>
  <c r="W386" i="17"/>
  <c r="AA386" i="17"/>
  <c r="M357" i="17"/>
  <c r="M292" i="17"/>
  <c r="U555" i="17"/>
  <c r="Q556" i="17"/>
  <c r="R556" i="17" s="1"/>
  <c r="F556" i="17"/>
  <c r="U269" i="17"/>
  <c r="Q270" i="17"/>
  <c r="W184" i="17"/>
  <c r="AB184" i="17"/>
  <c r="AA184" i="17"/>
  <c r="X184" i="17"/>
  <c r="U259" i="17"/>
  <c r="O260" i="17"/>
  <c r="Q531" i="17"/>
  <c r="F531" i="17"/>
  <c r="U320" i="17"/>
  <c r="AA546" i="17"/>
  <c r="X546" i="17"/>
  <c r="AB546" i="17"/>
  <c r="W546" i="17"/>
  <c r="U541" i="17"/>
  <c r="Y541" i="17" s="1"/>
  <c r="W477" i="17"/>
  <c r="AB477" i="17"/>
  <c r="X477" i="17"/>
  <c r="AA477" i="17"/>
  <c r="AA441" i="17"/>
  <c r="W441" i="17"/>
  <c r="X441" i="17"/>
  <c r="AB441" i="17"/>
  <c r="S530" i="17"/>
  <c r="R530" i="17"/>
  <c r="Q413" i="17"/>
  <c r="R413" i="17" s="1"/>
  <c r="F413" i="17"/>
  <c r="U412" i="17"/>
  <c r="AB398" i="17"/>
  <c r="AA398" i="17"/>
  <c r="X398" i="17"/>
  <c r="W398" i="17"/>
  <c r="AB451" i="17"/>
  <c r="X451" i="17"/>
  <c r="W451" i="17"/>
  <c r="AA451" i="17"/>
  <c r="O414" i="17"/>
  <c r="O415" i="17" s="1"/>
  <c r="O416" i="17" s="1"/>
  <c r="O417" i="17" s="1"/>
  <c r="O418" i="17" s="1"/>
  <c r="O419" i="17" s="1"/>
  <c r="O420" i="17" s="1"/>
  <c r="O421" i="17" s="1"/>
  <c r="Q517" i="17"/>
  <c r="R517" i="17" s="1"/>
  <c r="F517" i="17"/>
  <c r="U516" i="17"/>
  <c r="U373" i="17"/>
  <c r="AA353" i="17"/>
  <c r="W353" i="17"/>
  <c r="AB353" i="17"/>
  <c r="X353" i="17"/>
  <c r="F327" i="17"/>
  <c r="Q327" i="17"/>
  <c r="S221" i="17"/>
  <c r="R221" i="17"/>
  <c r="F286" i="17"/>
  <c r="U285" i="17"/>
  <c r="Q286" i="17"/>
  <c r="U190" i="17"/>
  <c r="Y190" i="17" s="1"/>
  <c r="O523" i="17"/>
  <c r="F544" i="17"/>
  <c r="U543" i="17"/>
  <c r="Q544" i="17"/>
  <c r="R544" i="17" s="1"/>
  <c r="AB360" i="17"/>
  <c r="X360" i="17"/>
  <c r="AA360" i="17"/>
  <c r="W360" i="17"/>
  <c r="R321" i="17"/>
  <c r="S321" i="17"/>
  <c r="F548" i="17"/>
  <c r="U547" i="17"/>
  <c r="Q548" i="17"/>
  <c r="R548" i="17" s="1"/>
  <c r="AC540" i="17"/>
  <c r="AA528" i="17"/>
  <c r="X528" i="17"/>
  <c r="W528" i="17"/>
  <c r="AB528" i="17"/>
  <c r="AA502" i="17"/>
  <c r="W502" i="17"/>
  <c r="X502" i="17"/>
  <c r="AB502" i="17"/>
  <c r="AC553" i="17"/>
  <c r="X463" i="17"/>
  <c r="W463" i="17"/>
  <c r="AB463" i="17"/>
  <c r="AA463" i="17"/>
  <c r="U411" i="17"/>
  <c r="AC508" i="17"/>
  <c r="O442" i="17"/>
  <c r="AC371" i="17"/>
  <c r="AA346" i="17"/>
  <c r="W346" i="17"/>
  <c r="AB346" i="17"/>
  <c r="X346" i="17"/>
  <c r="O309" i="17"/>
  <c r="O271" i="17"/>
  <c r="AA230" i="17"/>
  <c r="W230" i="17"/>
  <c r="AB230" i="17"/>
  <c r="X230" i="17"/>
  <c r="O326" i="17"/>
  <c r="O327" i="17" s="1"/>
  <c r="O328" i="17" s="1"/>
  <c r="O329" i="17" s="1"/>
  <c r="O330" i="17" s="1"/>
  <c r="U325" i="17"/>
  <c r="U203" i="17"/>
  <c r="Y203" i="17" s="1"/>
  <c r="Q210" i="17"/>
  <c r="R210" i="17" s="1"/>
  <c r="F210" i="17"/>
  <c r="S154" i="17"/>
  <c r="R154" i="17"/>
  <c r="U515" i="17"/>
  <c r="Y515" i="17" s="1"/>
  <c r="AC319" i="17"/>
  <c r="U385" i="17"/>
  <c r="Y385" i="17" s="1"/>
  <c r="AA183" i="17"/>
  <c r="W183" i="17"/>
  <c r="AB183" i="17"/>
  <c r="X183" i="17"/>
  <c r="AA478" i="17"/>
  <c r="X478" i="17"/>
  <c r="X399" i="17"/>
  <c r="W399" i="17"/>
  <c r="AB399" i="17"/>
  <c r="AA399" i="17"/>
  <c r="Q348" i="17"/>
  <c r="R348" i="17" s="1"/>
  <c r="F348" i="17"/>
  <c r="U347" i="17"/>
  <c r="U281" i="17"/>
  <c r="Y281" i="17" s="1"/>
  <c r="AA220" i="17"/>
  <c r="W220" i="17"/>
  <c r="X220" i="17"/>
  <c r="AB220" i="17"/>
  <c r="O208" i="17"/>
  <c r="AC189" i="17"/>
  <c r="X177" i="17"/>
  <c r="W177" i="17"/>
  <c r="AB177" i="17"/>
  <c r="AA177" i="17"/>
  <c r="AB489" i="17"/>
  <c r="X489" i="17"/>
  <c r="AA489" i="17"/>
  <c r="W489" i="17"/>
  <c r="U509" i="17"/>
  <c r="X425" i="17"/>
  <c r="W425" i="17"/>
  <c r="AA425" i="17"/>
  <c r="AB425" i="17"/>
  <c r="O403" i="17"/>
  <c r="U402" i="17"/>
  <c r="AB284" i="17"/>
  <c r="X284" i="17"/>
  <c r="AA284" i="17"/>
  <c r="W284" i="17"/>
  <c r="F244" i="17"/>
  <c r="U243" i="17"/>
  <c r="Q244" i="17"/>
  <c r="X391" i="17"/>
  <c r="W391" i="17"/>
  <c r="AA391" i="17"/>
  <c r="AB391" i="17"/>
  <c r="W336" i="17"/>
  <c r="AA336" i="17"/>
  <c r="X336" i="17"/>
  <c r="AB336" i="17"/>
  <c r="F186" i="17"/>
  <c r="U185" i="17"/>
  <c r="Q186" i="17"/>
  <c r="R186" i="17" s="1"/>
  <c r="Q232" i="17"/>
  <c r="R232" i="17" s="1"/>
  <c r="F232" i="17"/>
  <c r="U231" i="17"/>
  <c r="AC215" i="17"/>
  <c r="O301" i="17"/>
  <c r="U300" i="17"/>
  <c r="F453" i="17"/>
  <c r="U452" i="17"/>
  <c r="Q453" i="17"/>
  <c r="R453" i="17" s="1"/>
  <c r="F444" i="17"/>
  <c r="Q444" i="17"/>
  <c r="R444" i="17" s="1"/>
  <c r="AC475" i="17"/>
  <c r="F480" i="17"/>
  <c r="Q480" i="17"/>
  <c r="R480" i="17" s="1"/>
  <c r="Q401" i="17"/>
  <c r="R401" i="17" s="1"/>
  <c r="U401" i="17" s="1"/>
  <c r="U400" i="17"/>
  <c r="F368" i="17"/>
  <c r="Q368" i="17"/>
  <c r="R368" i="17" s="1"/>
  <c r="AB295" i="17"/>
  <c r="X295" i="17"/>
  <c r="W295" i="17"/>
  <c r="AA295" i="17"/>
  <c r="X252" i="17"/>
  <c r="AA252" i="17"/>
  <c r="W252" i="17"/>
  <c r="AB252" i="17"/>
  <c r="F222" i="17"/>
  <c r="Q222" i="17"/>
  <c r="AC150" i="17"/>
  <c r="U437" i="17"/>
  <c r="Y437" i="17" s="1"/>
  <c r="F511" i="17"/>
  <c r="U510" i="17"/>
  <c r="Q511" i="17"/>
  <c r="R511" i="17" s="1"/>
  <c r="Q427" i="17"/>
  <c r="R427" i="17" s="1"/>
  <c r="F427" i="17"/>
  <c r="U426" i="17"/>
  <c r="Y426" i="17" s="1"/>
  <c r="Q362" i="17"/>
  <c r="R362" i="17" s="1"/>
  <c r="U361" i="17"/>
  <c r="F362" i="17"/>
  <c r="Q257" i="17"/>
  <c r="F257" i="17"/>
  <c r="U256" i="17"/>
  <c r="F393" i="17"/>
  <c r="M392" i="17"/>
  <c r="U392" i="17" s="1"/>
  <c r="Q393" i="17"/>
  <c r="R393" i="17" s="1"/>
  <c r="F338" i="17"/>
  <c r="U337" i="17"/>
  <c r="Q338" i="17"/>
  <c r="R338" i="17" s="1"/>
  <c r="AB424" i="17"/>
  <c r="X424" i="17"/>
  <c r="AA424" i="17"/>
  <c r="W424" i="17"/>
  <c r="F262" i="17"/>
  <c r="Q262" i="17"/>
  <c r="F218" i="17"/>
  <c r="U217" i="17"/>
  <c r="Q218" i="17"/>
  <c r="U166" i="17"/>
  <c r="Y166" i="17" s="1"/>
  <c r="O167" i="17"/>
  <c r="AB153" i="17"/>
  <c r="X153" i="17"/>
  <c r="AA153" i="17"/>
  <c r="W153" i="17"/>
  <c r="AC514" i="17"/>
  <c r="AC449" i="17"/>
  <c r="AC423" i="17"/>
  <c r="U372" i="17"/>
  <c r="AA335" i="17"/>
  <c r="W335" i="17"/>
  <c r="AB335" i="17"/>
  <c r="X335" i="17"/>
  <c r="AB229" i="17"/>
  <c r="W229" i="17"/>
  <c r="AA229" i="17"/>
  <c r="X229" i="17"/>
  <c r="AC436" i="17"/>
  <c r="O366" i="17"/>
  <c r="U366" i="17" s="1"/>
  <c r="M344" i="17"/>
  <c r="U554" i="17"/>
  <c r="Y554" i="17" s="1"/>
  <c r="F439" i="17"/>
  <c r="U438" i="17"/>
  <c r="Q439" i="17"/>
  <c r="R439" i="17" s="1"/>
  <c r="AC507" i="17"/>
  <c r="F388" i="17"/>
  <c r="U387" i="17"/>
  <c r="Q388" i="17"/>
  <c r="R388" i="17" s="1"/>
  <c r="AC254" i="17"/>
  <c r="Q312" i="17"/>
  <c r="F312" i="17"/>
  <c r="U268" i="17"/>
  <c r="AC267" i="17"/>
  <c r="S173" i="17"/>
  <c r="R173" i="17"/>
  <c r="AC345" i="17"/>
  <c r="F273" i="17"/>
  <c r="Q273" i="17"/>
  <c r="Q205" i="17"/>
  <c r="R205" i="17" s="1"/>
  <c r="F205" i="17"/>
  <c r="U204" i="17"/>
  <c r="U192" i="17"/>
  <c r="AC202" i="17"/>
  <c r="O158" i="17"/>
  <c r="F155" i="17"/>
  <c r="Q155" i="17"/>
  <c r="R147" i="17"/>
  <c r="U140" i="17"/>
  <c r="O141" i="17"/>
  <c r="F144" i="17"/>
  <c r="F136" i="17" s="1"/>
  <c r="Q144" i="17"/>
  <c r="AC137" i="17"/>
  <c r="S148" i="17"/>
  <c r="R148" i="17"/>
  <c r="W191" i="17" l="1"/>
  <c r="G14" i="30"/>
  <c r="H14" i="30" s="1"/>
  <c r="AB478" i="17"/>
  <c r="Q297" i="17"/>
  <c r="R297" i="17" s="1"/>
  <c r="AB504" i="17"/>
  <c r="W478" i="17"/>
  <c r="Y164" i="17"/>
  <c r="Z164" i="17" s="1"/>
  <c r="AA504" i="17"/>
  <c r="W504" i="17"/>
  <c r="F297" i="17"/>
  <c r="Q298" i="17" s="1"/>
  <c r="R298" i="17" s="1"/>
  <c r="AA242" i="17"/>
  <c r="W138" i="17"/>
  <c r="X504" i="17"/>
  <c r="X307" i="17"/>
  <c r="X242" i="17"/>
  <c r="Q355" i="17"/>
  <c r="R355" i="17" s="1"/>
  <c r="AB242" i="17"/>
  <c r="Q623" i="17"/>
  <c r="R623" i="17" s="1"/>
  <c r="W164" i="17"/>
  <c r="U354" i="17"/>
  <c r="X354" i="17" s="1"/>
  <c r="W242" i="17"/>
  <c r="AA307" i="17"/>
  <c r="U154" i="17"/>
  <c r="F578" i="17"/>
  <c r="W490" i="17"/>
  <c r="U505" i="17"/>
  <c r="X505" i="17" s="1"/>
  <c r="W307" i="17"/>
  <c r="AA191" i="17"/>
  <c r="X191" i="17"/>
  <c r="Y191" i="17"/>
  <c r="Z191" i="17" s="1"/>
  <c r="AB307" i="17"/>
  <c r="AB490" i="17"/>
  <c r="X490" i="17"/>
  <c r="X164" i="17"/>
  <c r="AA164" i="17"/>
  <c r="X138" i="17"/>
  <c r="S193" i="17"/>
  <c r="AB164" i="17"/>
  <c r="AA138" i="17"/>
  <c r="U308" i="17"/>
  <c r="Y308" i="17" s="1"/>
  <c r="Z308" i="17" s="1"/>
  <c r="Y607" i="17"/>
  <c r="Y581" i="17"/>
  <c r="Z581" i="17" s="1"/>
  <c r="Y580" i="17"/>
  <c r="Z580" i="17" s="1"/>
  <c r="Y582" i="17"/>
  <c r="Z582" i="17" s="1"/>
  <c r="Y583" i="17"/>
  <c r="Z583" i="17" s="1"/>
  <c r="Y282" i="17"/>
  <c r="Y570" i="17"/>
  <c r="Z570" i="17" s="1"/>
  <c r="Y192" i="17"/>
  <c r="Z192" i="17" s="1"/>
  <c r="Y372" i="17"/>
  <c r="Y400" i="17"/>
  <c r="Y347" i="17"/>
  <c r="Z347" i="17" s="1"/>
  <c r="Y543" i="17"/>
  <c r="Z543" i="17" s="1"/>
  <c r="Y516" i="17"/>
  <c r="Z516" i="17" s="1"/>
  <c r="Y412" i="17"/>
  <c r="Z412" i="17" s="1"/>
  <c r="Y269" i="17"/>
  <c r="Z269" i="17" s="1"/>
  <c r="Y216" i="17"/>
  <c r="Z216" i="17" s="1"/>
  <c r="Y464" i="17"/>
  <c r="Z464" i="17" s="1"/>
  <c r="Y204" i="17"/>
  <c r="Z204" i="17" s="1"/>
  <c r="F405" i="17"/>
  <c r="F406" i="17" s="1"/>
  <c r="Y217" i="17"/>
  <c r="Z217" i="17" s="1"/>
  <c r="Y392" i="17"/>
  <c r="Z392" i="17" s="1"/>
  <c r="Y256" i="17"/>
  <c r="Y361" i="17"/>
  <c r="Z361" i="17" s="1"/>
  <c r="Y401" i="17"/>
  <c r="Z401" i="17" s="1"/>
  <c r="Y452" i="17"/>
  <c r="Z452" i="17" s="1"/>
  <c r="Y243" i="17"/>
  <c r="Z243" i="17" s="1"/>
  <c r="Y509" i="17"/>
  <c r="Z509" i="17" s="1"/>
  <c r="Y285" i="17"/>
  <c r="Z285" i="17" s="1"/>
  <c r="Y375" i="17"/>
  <c r="Z375" i="17" s="1"/>
  <c r="Y491" i="17"/>
  <c r="Z491" i="17" s="1"/>
  <c r="Y492" i="17"/>
  <c r="Z492" i="17" s="1"/>
  <c r="Y178" i="17"/>
  <c r="Z178" i="17" s="1"/>
  <c r="Z502" i="17"/>
  <c r="AC502" i="17" s="1"/>
  <c r="Z542" i="17"/>
  <c r="AC542" i="17" s="1"/>
  <c r="Y268" i="17"/>
  <c r="Z268" i="17" s="1"/>
  <c r="Y337" i="17"/>
  <c r="Z337" i="17" s="1"/>
  <c r="Y231" i="17"/>
  <c r="Z231" i="17" s="1"/>
  <c r="Y185" i="17"/>
  <c r="Z185" i="17" s="1"/>
  <c r="Y296" i="17"/>
  <c r="Z296" i="17" s="1"/>
  <c r="Y320" i="17"/>
  <c r="Z320" i="17" s="1"/>
  <c r="Y259" i="17"/>
  <c r="Z259" i="17" s="1"/>
  <c r="Y333" i="17"/>
  <c r="Z333" i="17" s="1"/>
  <c r="Y490" i="17"/>
  <c r="Z490" i="17" s="1"/>
  <c r="Z463" i="17"/>
  <c r="AC463" i="17" s="1"/>
  <c r="Y387" i="17"/>
  <c r="Y438" i="17"/>
  <c r="Y366" i="17"/>
  <c r="Z366" i="17" s="1"/>
  <c r="Y510" i="17"/>
  <c r="Z510" i="17" s="1"/>
  <c r="Y479" i="17"/>
  <c r="Y300" i="17"/>
  <c r="Z300" i="17" s="1"/>
  <c r="Y402" i="17"/>
  <c r="Z402" i="17" s="1"/>
  <c r="Y325" i="17"/>
  <c r="Z325" i="17" s="1"/>
  <c r="Y411" i="17"/>
  <c r="Z411" i="17" s="1"/>
  <c r="Y547" i="17"/>
  <c r="Z547" i="17" s="1"/>
  <c r="U221" i="17"/>
  <c r="AA221" i="17" s="1"/>
  <c r="Y373" i="17"/>
  <c r="Z373" i="17" s="1"/>
  <c r="Y555" i="17"/>
  <c r="Y568" i="17"/>
  <c r="Z568" i="17" s="1"/>
  <c r="Z230" i="17"/>
  <c r="AC230" i="17" s="1"/>
  <c r="Z398" i="17"/>
  <c r="AC398" i="17" s="1"/>
  <c r="Z334" i="17"/>
  <c r="AC334" i="17" s="1"/>
  <c r="Z346" i="17"/>
  <c r="AC346" i="17" s="1"/>
  <c r="Z386" i="17"/>
  <c r="AC386" i="17" s="1"/>
  <c r="Z151" i="17"/>
  <c r="AC152" i="17"/>
  <c r="Y139" i="17"/>
  <c r="Z139" i="17" s="1"/>
  <c r="Y140" i="17"/>
  <c r="Z140" i="17" s="1"/>
  <c r="Y138" i="17"/>
  <c r="W568" i="17"/>
  <c r="AA255" i="17"/>
  <c r="W255" i="17"/>
  <c r="AB582" i="17"/>
  <c r="U165" i="17"/>
  <c r="W582" i="17"/>
  <c r="AB492" i="17"/>
  <c r="W282" i="17"/>
  <c r="AB464" i="17"/>
  <c r="X582" i="17"/>
  <c r="AA178" i="17"/>
  <c r="AC503" i="17"/>
  <c r="AB216" i="17"/>
  <c r="X139" i="17"/>
  <c r="S162" i="17"/>
  <c r="X216" i="17"/>
  <c r="W139" i="17"/>
  <c r="X255" i="17"/>
  <c r="X178" i="17"/>
  <c r="AC433" i="17"/>
  <c r="AC460" i="17"/>
  <c r="AC352" i="17"/>
  <c r="AA492" i="17"/>
  <c r="X464" i="17"/>
  <c r="X491" i="17"/>
  <c r="W492" i="17"/>
  <c r="AA464" i="17"/>
  <c r="W216" i="17"/>
  <c r="AB178" i="17"/>
  <c r="AB139" i="17"/>
  <c r="R162" i="17"/>
  <c r="X492" i="17"/>
  <c r="W464" i="17"/>
  <c r="AA216" i="17"/>
  <c r="AB255" i="17"/>
  <c r="W178" i="17"/>
  <c r="AC476" i="17"/>
  <c r="Z283" i="17"/>
  <c r="X283" i="17"/>
  <c r="AA283" i="17"/>
  <c r="W283" i="17"/>
  <c r="AB283" i="17"/>
  <c r="Z529" i="17"/>
  <c r="X529" i="17"/>
  <c r="AA529" i="17"/>
  <c r="W529" i="17"/>
  <c r="AB529" i="17"/>
  <c r="Q323" i="17"/>
  <c r="S323" i="17" s="1"/>
  <c r="X282" i="17"/>
  <c r="AB491" i="17"/>
  <c r="AA568" i="17"/>
  <c r="AC593" i="17"/>
  <c r="AB282" i="17"/>
  <c r="O409" i="17"/>
  <c r="W491" i="17"/>
  <c r="X568" i="17"/>
  <c r="AA282" i="17"/>
  <c r="AA491" i="17"/>
  <c r="AB568" i="17"/>
  <c r="R590" i="17"/>
  <c r="S590" i="17"/>
  <c r="U634" i="17"/>
  <c r="F635" i="17"/>
  <c r="Z554" i="17"/>
  <c r="Z437" i="17"/>
  <c r="U322" i="17"/>
  <c r="Y322" i="17" s="1"/>
  <c r="Z541" i="17"/>
  <c r="U493" i="17"/>
  <c r="AB493" i="17" s="1"/>
  <c r="Z255" i="17"/>
  <c r="AC564" i="17"/>
  <c r="Z294" i="17"/>
  <c r="AC294" i="17" s="1"/>
  <c r="Z515" i="17"/>
  <c r="Z620" i="17"/>
  <c r="AC176" i="17"/>
  <c r="AC374" i="17"/>
  <c r="Z385" i="17"/>
  <c r="Z203" i="17"/>
  <c r="Z190" i="17"/>
  <c r="F494" i="17"/>
  <c r="U494" i="17" s="1"/>
  <c r="Z606" i="17"/>
  <c r="Z359" i="17"/>
  <c r="AC359" i="17" s="1"/>
  <c r="Z450" i="17"/>
  <c r="Z166" i="17"/>
  <c r="Z426" i="17"/>
  <c r="Z281" i="17"/>
  <c r="U530" i="17"/>
  <c r="Y530" i="17" s="1"/>
  <c r="U595" i="17"/>
  <c r="Y595" i="17" s="1"/>
  <c r="F596" i="17"/>
  <c r="Q596" i="17"/>
  <c r="R596" i="17" s="1"/>
  <c r="Q624" i="17"/>
  <c r="R624" i="17" s="1"/>
  <c r="F624" i="17"/>
  <c r="AB434" i="17"/>
  <c r="Z434" i="17"/>
  <c r="X434" i="17"/>
  <c r="W434" i="17"/>
  <c r="AA434" i="17"/>
  <c r="AC335" i="17"/>
  <c r="W570" i="17"/>
  <c r="AA570" i="17"/>
  <c r="AB570" i="17"/>
  <c r="X570" i="17"/>
  <c r="U571" i="17"/>
  <c r="Y571" i="17" s="1"/>
  <c r="Q572" i="17"/>
  <c r="R572" i="17" s="1"/>
  <c r="AC569" i="17"/>
  <c r="X607" i="17"/>
  <c r="AB607" i="17"/>
  <c r="AA607" i="17"/>
  <c r="W607" i="17"/>
  <c r="U621" i="17"/>
  <c r="O622" i="17"/>
  <c r="W583" i="17"/>
  <c r="AA583" i="17"/>
  <c r="X583" i="17"/>
  <c r="AB583" i="17"/>
  <c r="R586" i="17"/>
  <c r="S586" i="17"/>
  <c r="W580" i="17"/>
  <c r="AA580" i="17"/>
  <c r="X580" i="17"/>
  <c r="AB580" i="17"/>
  <c r="F611" i="17"/>
  <c r="Q611" i="17"/>
  <c r="R611" i="17" s="1"/>
  <c r="AB581" i="17"/>
  <c r="W581" i="17"/>
  <c r="X581" i="17"/>
  <c r="AA581" i="17"/>
  <c r="O609" i="17"/>
  <c r="U608" i="17"/>
  <c r="X620" i="17"/>
  <c r="AB620" i="17"/>
  <c r="AA620" i="17"/>
  <c r="W620" i="17"/>
  <c r="O585" i="17"/>
  <c r="U584" i="17"/>
  <c r="Q587" i="17"/>
  <c r="Q466" i="17"/>
  <c r="R466" i="17" s="1"/>
  <c r="F466" i="17"/>
  <c r="AC391" i="17"/>
  <c r="Q377" i="17"/>
  <c r="R377" i="17" s="1"/>
  <c r="U376" i="17"/>
  <c r="X375" i="17"/>
  <c r="AA375" i="17"/>
  <c r="W375" i="17"/>
  <c r="AB375" i="17"/>
  <c r="Q303" i="17"/>
  <c r="R303" i="17" s="1"/>
  <c r="F303" i="17"/>
  <c r="AC284" i="17"/>
  <c r="F195" i="17"/>
  <c r="Q195" i="17"/>
  <c r="S194" i="17"/>
  <c r="R194" i="17"/>
  <c r="AC184" i="17"/>
  <c r="Q180" i="17"/>
  <c r="R180" i="17" s="1"/>
  <c r="F180" i="17"/>
  <c r="U179" i="17"/>
  <c r="Y179" i="17" s="1"/>
  <c r="AA366" i="17"/>
  <c r="W366" i="17"/>
  <c r="X366" i="17"/>
  <c r="AB366" i="17"/>
  <c r="AB392" i="17"/>
  <c r="AA392" i="17"/>
  <c r="X392" i="17"/>
  <c r="W392" i="17"/>
  <c r="U439" i="17"/>
  <c r="Q440" i="17"/>
  <c r="R440" i="17" s="1"/>
  <c r="W354" i="17"/>
  <c r="AB372" i="17"/>
  <c r="X372" i="17"/>
  <c r="W372" i="17"/>
  <c r="AA372" i="17"/>
  <c r="R257" i="17"/>
  <c r="S257" i="17"/>
  <c r="AB231" i="17"/>
  <c r="X231" i="17"/>
  <c r="AA231" i="17"/>
  <c r="W231" i="17"/>
  <c r="F187" i="17"/>
  <c r="U186" i="17"/>
  <c r="Q187" i="17"/>
  <c r="R187" i="17" s="1"/>
  <c r="AB411" i="17"/>
  <c r="X411" i="17"/>
  <c r="AA411" i="17"/>
  <c r="W411" i="17"/>
  <c r="AC336" i="17"/>
  <c r="AC504" i="17"/>
  <c r="Q245" i="17"/>
  <c r="F245" i="17"/>
  <c r="AC177" i="17"/>
  <c r="O209" i="17"/>
  <c r="U208" i="17"/>
  <c r="AC220" i="17"/>
  <c r="AB281" i="17"/>
  <c r="X281" i="17"/>
  <c r="AA281" i="17"/>
  <c r="W281" i="17"/>
  <c r="AB385" i="17"/>
  <c r="X385" i="17"/>
  <c r="AA385" i="17"/>
  <c r="W385" i="17"/>
  <c r="AB515" i="17"/>
  <c r="X515" i="17"/>
  <c r="AA515" i="17"/>
  <c r="W515" i="17"/>
  <c r="O443" i="17"/>
  <c r="U442" i="17"/>
  <c r="U321" i="17"/>
  <c r="S286" i="17"/>
  <c r="R286" i="17"/>
  <c r="U326" i="17"/>
  <c r="W373" i="17"/>
  <c r="AB373" i="17"/>
  <c r="AA373" i="17"/>
  <c r="X373" i="17"/>
  <c r="AB516" i="17"/>
  <c r="X516" i="17"/>
  <c r="AA516" i="17"/>
  <c r="W516" i="17"/>
  <c r="AC451" i="17"/>
  <c r="Q414" i="17"/>
  <c r="R414" i="17" s="1"/>
  <c r="F414" i="17"/>
  <c r="U413" i="17"/>
  <c r="AC546" i="17"/>
  <c r="AC488" i="17"/>
  <c r="Q532" i="17"/>
  <c r="F532" i="17"/>
  <c r="W259" i="17"/>
  <c r="X259" i="17"/>
  <c r="AB259" i="17"/>
  <c r="AA259" i="17"/>
  <c r="AB555" i="17"/>
  <c r="X555" i="17"/>
  <c r="AA555" i="17"/>
  <c r="W555" i="17"/>
  <c r="AC358" i="17"/>
  <c r="S218" i="17"/>
  <c r="R218" i="17"/>
  <c r="AA437" i="17"/>
  <c r="W437" i="17"/>
  <c r="AB437" i="17"/>
  <c r="X437" i="17"/>
  <c r="Q223" i="17"/>
  <c r="F223" i="17"/>
  <c r="O302" i="17"/>
  <c r="AB243" i="17"/>
  <c r="W243" i="17"/>
  <c r="AA243" i="17"/>
  <c r="X243" i="17"/>
  <c r="AB203" i="17"/>
  <c r="X203" i="17"/>
  <c r="AA203" i="17"/>
  <c r="W203" i="17"/>
  <c r="O272" i="17"/>
  <c r="U271" i="17"/>
  <c r="AC360" i="17"/>
  <c r="Q545" i="17"/>
  <c r="R545" i="17" s="1"/>
  <c r="U544" i="17"/>
  <c r="S327" i="17"/>
  <c r="R327" i="17"/>
  <c r="AB412" i="17"/>
  <c r="X412" i="17"/>
  <c r="AA412" i="17"/>
  <c r="W412" i="17"/>
  <c r="AB192" i="17"/>
  <c r="X192" i="17"/>
  <c r="W192" i="17"/>
  <c r="AA192" i="17"/>
  <c r="S273" i="17"/>
  <c r="R273" i="17"/>
  <c r="AB554" i="17"/>
  <c r="X554" i="17"/>
  <c r="AA554" i="17"/>
  <c r="W554" i="17"/>
  <c r="F356" i="17"/>
  <c r="U355" i="17"/>
  <c r="Q356" i="17"/>
  <c r="R356" i="17" s="1"/>
  <c r="AC153" i="17"/>
  <c r="U506" i="17"/>
  <c r="Y506" i="17" s="1"/>
  <c r="AA426" i="17"/>
  <c r="W426" i="17"/>
  <c r="AB426" i="17"/>
  <c r="X426" i="17"/>
  <c r="F233" i="17"/>
  <c r="U232" i="17"/>
  <c r="Q233" i="17"/>
  <c r="R233" i="17" s="1"/>
  <c r="AB204" i="17"/>
  <c r="X204" i="17"/>
  <c r="AA204" i="17"/>
  <c r="W204" i="17"/>
  <c r="AB387" i="17"/>
  <c r="AA387" i="17"/>
  <c r="W387" i="17"/>
  <c r="X387" i="17"/>
  <c r="O367" i="17"/>
  <c r="O168" i="17"/>
  <c r="U167" i="17"/>
  <c r="Q219" i="17"/>
  <c r="AC424" i="17"/>
  <c r="F339" i="17"/>
  <c r="U338" i="17"/>
  <c r="Q339" i="17"/>
  <c r="R339" i="17" s="1"/>
  <c r="Q394" i="17"/>
  <c r="R394" i="17" s="1"/>
  <c r="F394" i="17"/>
  <c r="U393" i="17"/>
  <c r="AB256" i="17"/>
  <c r="X256" i="17"/>
  <c r="W256" i="17"/>
  <c r="AA256" i="17"/>
  <c r="Q363" i="17"/>
  <c r="R363" i="17" s="1"/>
  <c r="F363" i="17"/>
  <c r="U362" i="17"/>
  <c r="Q428" i="17"/>
  <c r="R428" i="17" s="1"/>
  <c r="F428" i="17"/>
  <c r="U427" i="17"/>
  <c r="F512" i="17"/>
  <c r="F500" i="17" s="1"/>
  <c r="U511" i="17"/>
  <c r="Q512" i="17"/>
  <c r="R512" i="17" s="1"/>
  <c r="R500" i="17" s="1"/>
  <c r="S222" i="17"/>
  <c r="R222" i="17"/>
  <c r="AC252" i="17"/>
  <c r="AA479" i="17"/>
  <c r="W479" i="17"/>
  <c r="AB479" i="17"/>
  <c r="X479" i="17"/>
  <c r="Q454" i="17"/>
  <c r="R454" i="17" s="1"/>
  <c r="F454" i="17"/>
  <c r="U453" i="17"/>
  <c r="AB402" i="17"/>
  <c r="X402" i="17"/>
  <c r="AA402" i="17"/>
  <c r="W402" i="17"/>
  <c r="AC425" i="17"/>
  <c r="AB509" i="17"/>
  <c r="X509" i="17"/>
  <c r="AA509" i="17"/>
  <c r="W509" i="17"/>
  <c r="AC489" i="17"/>
  <c r="F298" i="17"/>
  <c r="U297" i="17"/>
  <c r="AB347" i="17"/>
  <c r="X347" i="17"/>
  <c r="AA347" i="17"/>
  <c r="W347" i="17"/>
  <c r="AC183" i="17"/>
  <c r="M383" i="17"/>
  <c r="F211" i="17"/>
  <c r="M210" i="17"/>
  <c r="M201" i="17" s="1"/>
  <c r="Q211" i="17"/>
  <c r="R211" i="17" s="1"/>
  <c r="AB325" i="17"/>
  <c r="X325" i="17"/>
  <c r="AA325" i="17"/>
  <c r="W325" i="17"/>
  <c r="W308" i="17"/>
  <c r="AC528" i="17"/>
  <c r="AA547" i="17"/>
  <c r="W547" i="17"/>
  <c r="X547" i="17"/>
  <c r="AB547" i="17"/>
  <c r="O524" i="17"/>
  <c r="U523" i="17"/>
  <c r="AA285" i="17"/>
  <c r="W285" i="17"/>
  <c r="X285" i="17"/>
  <c r="AB285" i="17"/>
  <c r="M327" i="17"/>
  <c r="M318" i="17" s="1"/>
  <c r="Q328" i="17"/>
  <c r="F328" i="17"/>
  <c r="AC353" i="17"/>
  <c r="AC384" i="17"/>
  <c r="Q518" i="17"/>
  <c r="R518" i="17" s="1"/>
  <c r="U517" i="17"/>
  <c r="F518" i="17"/>
  <c r="AC477" i="17"/>
  <c r="AB320" i="17"/>
  <c r="X320" i="17"/>
  <c r="AA320" i="17"/>
  <c r="W320" i="17"/>
  <c r="S531" i="17"/>
  <c r="R531" i="17"/>
  <c r="U301" i="17"/>
  <c r="AA268" i="17"/>
  <c r="W268" i="17"/>
  <c r="X268" i="17"/>
  <c r="AB268" i="17"/>
  <c r="AB401" i="17"/>
  <c r="X401" i="17"/>
  <c r="AA401" i="17"/>
  <c r="W401" i="17"/>
  <c r="AB190" i="17"/>
  <c r="AA190" i="17"/>
  <c r="X190" i="17"/>
  <c r="W190" i="17"/>
  <c r="O261" i="17"/>
  <c r="U260" i="17"/>
  <c r="X269" i="17"/>
  <c r="AA269" i="17"/>
  <c r="W269" i="17"/>
  <c r="AB269" i="17"/>
  <c r="AB450" i="17"/>
  <c r="X450" i="17"/>
  <c r="AA450" i="17"/>
  <c r="W450" i="17"/>
  <c r="S155" i="17"/>
  <c r="R155" i="17"/>
  <c r="O159" i="17"/>
  <c r="U158" i="17"/>
  <c r="F313" i="17"/>
  <c r="Q313" i="17"/>
  <c r="X217" i="17"/>
  <c r="W217" i="17"/>
  <c r="AB217" i="17"/>
  <c r="AA217" i="17"/>
  <c r="F263" i="17"/>
  <c r="M262" i="17"/>
  <c r="M253" i="17" s="1"/>
  <c r="Q263" i="17"/>
  <c r="AA337" i="17"/>
  <c r="AB337" i="17"/>
  <c r="X337" i="17"/>
  <c r="W337" i="17"/>
  <c r="AB510" i="17"/>
  <c r="X510" i="17"/>
  <c r="AA510" i="17"/>
  <c r="W510" i="17"/>
  <c r="U193" i="17"/>
  <c r="AC295" i="17"/>
  <c r="F369" i="17"/>
  <c r="Q369" i="17"/>
  <c r="R369" i="17" s="1"/>
  <c r="AB452" i="17"/>
  <c r="AA452" i="17"/>
  <c r="X452" i="17"/>
  <c r="W452" i="17"/>
  <c r="F156" i="17"/>
  <c r="Q156" i="17"/>
  <c r="Q206" i="17"/>
  <c r="R206" i="17" s="1"/>
  <c r="U205" i="17"/>
  <c r="F206" i="17"/>
  <c r="F274" i="17"/>
  <c r="Q274" i="17"/>
  <c r="S312" i="17"/>
  <c r="R312" i="17"/>
  <c r="Q389" i="17"/>
  <c r="R389" i="17" s="1"/>
  <c r="F389" i="17"/>
  <c r="U388" i="17"/>
  <c r="AA438" i="17"/>
  <c r="W438" i="17"/>
  <c r="X438" i="17"/>
  <c r="AB438" i="17"/>
  <c r="X166" i="17"/>
  <c r="W166" i="17"/>
  <c r="AB166" i="17"/>
  <c r="AA166" i="17"/>
  <c r="S262" i="17"/>
  <c r="R262" i="17"/>
  <c r="Q258" i="17"/>
  <c r="AB361" i="17"/>
  <c r="X361" i="17"/>
  <c r="AA361" i="17"/>
  <c r="W361" i="17"/>
  <c r="Q324" i="17"/>
  <c r="AB400" i="17"/>
  <c r="X400" i="17"/>
  <c r="AA400" i="17"/>
  <c r="W400" i="17"/>
  <c r="F481" i="17"/>
  <c r="U480" i="17"/>
  <c r="Q481" i="17"/>
  <c r="R481" i="17" s="1"/>
  <c r="F445" i="17"/>
  <c r="M444" i="17"/>
  <c r="M435" i="17" s="1"/>
  <c r="Q445" i="17"/>
  <c r="R445" i="17" s="1"/>
  <c r="AB300" i="17"/>
  <c r="X300" i="17"/>
  <c r="W300" i="17"/>
  <c r="AA300" i="17"/>
  <c r="AA185" i="17"/>
  <c r="X185" i="17"/>
  <c r="W185" i="17"/>
  <c r="AB185" i="17"/>
  <c r="S244" i="17"/>
  <c r="R244" i="17"/>
  <c r="O404" i="17"/>
  <c r="U403" i="17"/>
  <c r="AB296" i="17"/>
  <c r="X296" i="17"/>
  <c r="AA296" i="17"/>
  <c r="W296" i="17"/>
  <c r="Q349" i="17"/>
  <c r="R349" i="17" s="1"/>
  <c r="F349" i="17"/>
  <c r="U348" i="17"/>
  <c r="AC399" i="17"/>
  <c r="O318" i="17"/>
  <c r="O310" i="17"/>
  <c r="U309" i="17"/>
  <c r="Q549" i="17"/>
  <c r="R549" i="17" s="1"/>
  <c r="M548" i="17"/>
  <c r="M539" i="17" s="1"/>
  <c r="F549" i="17"/>
  <c r="AA543" i="17"/>
  <c r="X543" i="17"/>
  <c r="AB543" i="17"/>
  <c r="W543" i="17"/>
  <c r="F287" i="17"/>
  <c r="Q287" i="17"/>
  <c r="AC441" i="17"/>
  <c r="AB541" i="17"/>
  <c r="X541" i="17"/>
  <c r="AA541" i="17"/>
  <c r="W541" i="17"/>
  <c r="S270" i="17"/>
  <c r="R270" i="17"/>
  <c r="F557" i="17"/>
  <c r="U556" i="17"/>
  <c r="Q557" i="17"/>
  <c r="R557" i="17" s="1"/>
  <c r="W333" i="17"/>
  <c r="AA333" i="17"/>
  <c r="X333" i="17"/>
  <c r="AB333" i="17"/>
  <c r="O466" i="17"/>
  <c r="U465" i="17"/>
  <c r="Y465" i="17" s="1"/>
  <c r="W140" i="17"/>
  <c r="AA140" i="17"/>
  <c r="AB140" i="17"/>
  <c r="X140" i="17"/>
  <c r="Q145" i="17"/>
  <c r="S144" i="17"/>
  <c r="R144" i="17"/>
  <c r="O142" i="17"/>
  <c r="U141" i="17"/>
  <c r="Y141" i="17" s="1"/>
  <c r="AC478" i="17" l="1"/>
  <c r="X154" i="17"/>
  <c r="W154" i="17"/>
  <c r="Y354" i="17"/>
  <c r="Z354" i="17" s="1"/>
  <c r="AB354" i="17"/>
  <c r="AA354" i="17"/>
  <c r="AC242" i="17"/>
  <c r="AC490" i="17"/>
  <c r="AB154" i="17"/>
  <c r="Y154" i="17"/>
  <c r="Z154" i="17" s="1"/>
  <c r="AC307" i="17"/>
  <c r="AA154" i="17"/>
  <c r="AC164" i="17"/>
  <c r="AA505" i="17"/>
  <c r="AB505" i="17"/>
  <c r="W505" i="17"/>
  <c r="Y505" i="17"/>
  <c r="Z505" i="17" s="1"/>
  <c r="AC191" i="17"/>
  <c r="X308" i="17"/>
  <c r="M405" i="17"/>
  <c r="M396" i="17" s="1"/>
  <c r="AA308" i="17"/>
  <c r="Q406" i="17"/>
  <c r="R406" i="17" s="1"/>
  <c r="AB308" i="17"/>
  <c r="F495" i="17"/>
  <c r="Q496" i="17" s="1"/>
  <c r="R496" i="17" s="1"/>
  <c r="AA493" i="17"/>
  <c r="Q495" i="17"/>
  <c r="R495" i="17" s="1"/>
  <c r="X221" i="17"/>
  <c r="W322" i="17"/>
  <c r="AC582" i="17"/>
  <c r="Y621" i="17"/>
  <c r="Y608" i="17"/>
  <c r="Z608" i="17" s="1"/>
  <c r="Z607" i="17"/>
  <c r="AC607" i="17" s="1"/>
  <c r="Y584" i="17"/>
  <c r="Z584" i="17" s="1"/>
  <c r="Y348" i="17"/>
  <c r="Y193" i="17"/>
  <c r="Z193" i="17" s="1"/>
  <c r="Y517" i="17"/>
  <c r="Y523" i="17"/>
  <c r="Z523" i="17" s="1"/>
  <c r="Y427" i="17"/>
  <c r="Y376" i="17"/>
  <c r="Z376" i="17" s="1"/>
  <c r="Y388" i="17"/>
  <c r="Z388" i="17" s="1"/>
  <c r="Y297" i="17"/>
  <c r="Z297" i="17" s="1"/>
  <c r="Y232" i="17"/>
  <c r="Z232" i="17" s="1"/>
  <c r="Y413" i="17"/>
  <c r="Z413" i="17" s="1"/>
  <c r="Y442" i="17"/>
  <c r="Z442" i="17" s="1"/>
  <c r="AC178" i="17"/>
  <c r="Y221" i="17"/>
  <c r="Z221" i="17" s="1"/>
  <c r="Z387" i="17"/>
  <c r="AC387" i="17" s="1"/>
  <c r="Z400" i="17"/>
  <c r="AC400" i="17" s="1"/>
  <c r="AB221" i="17"/>
  <c r="Y260" i="17"/>
  <c r="Z260" i="17" s="1"/>
  <c r="Y301" i="17"/>
  <c r="Z301" i="17" s="1"/>
  <c r="Y453" i="17"/>
  <c r="Z453" i="17" s="1"/>
  <c r="Y511" i="17"/>
  <c r="Z511" i="17" s="1"/>
  <c r="Y393" i="17"/>
  <c r="Z393" i="17" s="1"/>
  <c r="Y338" i="17"/>
  <c r="Z338" i="17" s="1"/>
  <c r="Y355" i="17"/>
  <c r="Z355" i="17" s="1"/>
  <c r="Y208" i="17"/>
  <c r="Z208" i="17" s="1"/>
  <c r="Z555" i="17"/>
  <c r="AC555" i="17" s="1"/>
  <c r="Z479" i="17"/>
  <c r="AC479" i="17" s="1"/>
  <c r="Z256" i="17"/>
  <c r="AC256" i="17" s="1"/>
  <c r="Y309" i="17"/>
  <c r="Z309" i="17" s="1"/>
  <c r="Y544" i="17"/>
  <c r="Z544" i="17" s="1"/>
  <c r="Y321" i="17"/>
  <c r="Y439" i="17"/>
  <c r="Z439" i="17" s="1"/>
  <c r="Y205" i="17"/>
  <c r="Y326" i="17"/>
  <c r="Z326" i="17" s="1"/>
  <c r="AC464" i="17"/>
  <c r="Y556" i="17"/>
  <c r="Z556" i="17" s="1"/>
  <c r="Y403" i="17"/>
  <c r="Z403" i="17" s="1"/>
  <c r="Y480" i="17"/>
  <c r="W221" i="17"/>
  <c r="U222" i="17"/>
  <c r="X222" i="17" s="1"/>
  <c r="Y362" i="17"/>
  <c r="Y271" i="17"/>
  <c r="Z271" i="17" s="1"/>
  <c r="Y186" i="17"/>
  <c r="Z186" i="17" s="1"/>
  <c r="Y494" i="17"/>
  <c r="Z494" i="17" s="1"/>
  <c r="Y493" i="17"/>
  <c r="Z438" i="17"/>
  <c r="AC438" i="17" s="1"/>
  <c r="Z372" i="17"/>
  <c r="Z282" i="17"/>
  <c r="AC282" i="17" s="1"/>
  <c r="Y165" i="17"/>
  <c r="X165" i="17"/>
  <c r="Y167" i="17"/>
  <c r="Z167" i="17" s="1"/>
  <c r="Y158" i="17"/>
  <c r="Z158" i="17" s="1"/>
  <c r="Z138" i="17"/>
  <c r="AC138" i="17" s="1"/>
  <c r="AA165" i="17"/>
  <c r="W165" i="17"/>
  <c r="R323" i="17"/>
  <c r="U323" i="17" s="1"/>
  <c r="AB165" i="17"/>
  <c r="AC139" i="17"/>
  <c r="AC568" i="17"/>
  <c r="AC283" i="17"/>
  <c r="AC216" i="17"/>
  <c r="U155" i="17"/>
  <c r="X155" i="17" s="1"/>
  <c r="AB322" i="17"/>
  <c r="AC529" i="17"/>
  <c r="W493" i="17"/>
  <c r="AC492" i="17"/>
  <c r="X493" i="17"/>
  <c r="U286" i="17"/>
  <c r="AC491" i="17"/>
  <c r="AA322" i="17"/>
  <c r="U244" i="17"/>
  <c r="AA244" i="17" s="1"/>
  <c r="X322" i="17"/>
  <c r="W530" i="17"/>
  <c r="AB530" i="17"/>
  <c r="X530" i="17"/>
  <c r="AA530" i="17"/>
  <c r="Z506" i="17"/>
  <c r="Z571" i="17"/>
  <c r="U635" i="17"/>
  <c r="F636" i="17"/>
  <c r="Z465" i="17"/>
  <c r="Z179" i="17"/>
  <c r="U194" i="17"/>
  <c r="AC434" i="17"/>
  <c r="Q625" i="17"/>
  <c r="R625" i="17" s="1"/>
  <c r="F625" i="17"/>
  <c r="Q626" i="17" s="1"/>
  <c r="R626" i="17" s="1"/>
  <c r="Q597" i="17"/>
  <c r="R597" i="17" s="1"/>
  <c r="U596" i="17"/>
  <c r="Y596" i="17" s="1"/>
  <c r="F597" i="17"/>
  <c r="AC606" i="17"/>
  <c r="Z141" i="17"/>
  <c r="W595" i="17"/>
  <c r="AA595" i="17"/>
  <c r="X595" i="17"/>
  <c r="AB595" i="17"/>
  <c r="AC401" i="17"/>
  <c r="Z530" i="17"/>
  <c r="Z322" i="17"/>
  <c r="AC567" i="17"/>
  <c r="W571" i="17"/>
  <c r="AB571" i="17"/>
  <c r="X571" i="17"/>
  <c r="AA571" i="17"/>
  <c r="U572" i="17"/>
  <c r="Q573" i="17"/>
  <c r="R573" i="17" s="1"/>
  <c r="AC570" i="17"/>
  <c r="R587" i="17"/>
  <c r="R578" i="17" s="1"/>
  <c r="S587" i="17"/>
  <c r="S578" i="17" s="1"/>
  <c r="O586" i="17"/>
  <c r="U585" i="17"/>
  <c r="AC581" i="17"/>
  <c r="F612" i="17"/>
  <c r="Q612" i="17"/>
  <c r="R612" i="17" s="1"/>
  <c r="AC594" i="17"/>
  <c r="AC580" i="17"/>
  <c r="AC583" i="17"/>
  <c r="AC620" i="17"/>
  <c r="AA621" i="17"/>
  <c r="W621" i="17"/>
  <c r="AB621" i="17"/>
  <c r="X621" i="17"/>
  <c r="W584" i="17"/>
  <c r="AA584" i="17"/>
  <c r="AB584" i="17"/>
  <c r="X584" i="17"/>
  <c r="AA608" i="17"/>
  <c r="AB608" i="17"/>
  <c r="W608" i="17"/>
  <c r="X608" i="17"/>
  <c r="O610" i="17"/>
  <c r="U609" i="17"/>
  <c r="AC619" i="17"/>
  <c r="U622" i="17"/>
  <c r="O623" i="17"/>
  <c r="AC516" i="17"/>
  <c r="F467" i="17"/>
  <c r="Q467" i="17"/>
  <c r="R467" i="17" s="1"/>
  <c r="AC375" i="17"/>
  <c r="AA376" i="17"/>
  <c r="W376" i="17"/>
  <c r="AB376" i="17"/>
  <c r="X376" i="17"/>
  <c r="U377" i="17"/>
  <c r="Q378" i="17"/>
  <c r="R378" i="17" s="1"/>
  <c r="Q304" i="17"/>
  <c r="R304" i="17" s="1"/>
  <c r="F304" i="17"/>
  <c r="F292" i="17" s="1"/>
  <c r="AC285" i="17"/>
  <c r="R195" i="17"/>
  <c r="S195" i="17"/>
  <c r="Q196" i="17"/>
  <c r="F196" i="17"/>
  <c r="U187" i="17"/>
  <c r="W179" i="17"/>
  <c r="X179" i="17"/>
  <c r="AB179" i="17"/>
  <c r="AA179" i="17"/>
  <c r="F181" i="17"/>
  <c r="F175" i="17" s="1"/>
  <c r="U180" i="17"/>
  <c r="Q181" i="17"/>
  <c r="R181" i="17" s="1"/>
  <c r="AC166" i="17"/>
  <c r="S258" i="17"/>
  <c r="R258" i="17"/>
  <c r="AB205" i="17"/>
  <c r="X205" i="17"/>
  <c r="AA205" i="17"/>
  <c r="W205" i="17"/>
  <c r="AC452" i="17"/>
  <c r="O525" i="17"/>
  <c r="U525" i="17" s="1"/>
  <c r="U524" i="17"/>
  <c r="F407" i="17"/>
  <c r="Q407" i="17"/>
  <c r="R407" i="17" s="1"/>
  <c r="AB271" i="17"/>
  <c r="X271" i="17"/>
  <c r="AA271" i="17"/>
  <c r="W271" i="17"/>
  <c r="S223" i="17"/>
  <c r="R223" i="17"/>
  <c r="X556" i="17"/>
  <c r="W556" i="17"/>
  <c r="AB556" i="17"/>
  <c r="AA556" i="17"/>
  <c r="O311" i="17"/>
  <c r="U310" i="17"/>
  <c r="O405" i="17"/>
  <c r="O406" i="17" s="1"/>
  <c r="O407" i="17" s="1"/>
  <c r="O408" i="17" s="1"/>
  <c r="U404" i="17"/>
  <c r="AC185" i="17"/>
  <c r="AA388" i="17"/>
  <c r="W388" i="17"/>
  <c r="X388" i="17"/>
  <c r="AB388" i="17"/>
  <c r="S263" i="17"/>
  <c r="R263" i="17"/>
  <c r="AC269" i="17"/>
  <c r="F496" i="17"/>
  <c r="AB517" i="17"/>
  <c r="X517" i="17"/>
  <c r="AA517" i="17"/>
  <c r="W517" i="17"/>
  <c r="U327" i="17"/>
  <c r="AC547" i="17"/>
  <c r="AC325" i="17"/>
  <c r="AB297" i="17"/>
  <c r="X297" i="17"/>
  <c r="W297" i="17"/>
  <c r="AA297" i="17"/>
  <c r="AC509" i="17"/>
  <c r="AA453" i="17"/>
  <c r="W453" i="17"/>
  <c r="X453" i="17"/>
  <c r="AB453" i="17"/>
  <c r="AB427" i="17"/>
  <c r="X427" i="17"/>
  <c r="AA427" i="17"/>
  <c r="W427" i="17"/>
  <c r="AB362" i="17"/>
  <c r="X362" i="17"/>
  <c r="AA362" i="17"/>
  <c r="W362" i="17"/>
  <c r="AA393" i="17"/>
  <c r="W393" i="17"/>
  <c r="X393" i="17"/>
  <c r="AB393" i="17"/>
  <c r="O169" i="17"/>
  <c r="U168" i="17"/>
  <c r="O368" i="17"/>
  <c r="U367" i="17"/>
  <c r="AB232" i="17"/>
  <c r="X232" i="17"/>
  <c r="AA232" i="17"/>
  <c r="W232" i="17"/>
  <c r="AC426" i="17"/>
  <c r="AA355" i="17"/>
  <c r="W355" i="17"/>
  <c r="AB355" i="17"/>
  <c r="X355" i="17"/>
  <c r="O273" i="17"/>
  <c r="U272" i="17"/>
  <c r="U531" i="17"/>
  <c r="AA326" i="17"/>
  <c r="W326" i="17"/>
  <c r="AB326" i="17"/>
  <c r="X326" i="17"/>
  <c r="AB321" i="17"/>
  <c r="X321" i="17"/>
  <c r="AA321" i="17"/>
  <c r="W321" i="17"/>
  <c r="AC366" i="17"/>
  <c r="Q550" i="17"/>
  <c r="R550" i="17" s="1"/>
  <c r="F550" i="17"/>
  <c r="U549" i="17"/>
  <c r="AB309" i="17"/>
  <c r="X309" i="17"/>
  <c r="W309" i="17"/>
  <c r="AA309" i="17"/>
  <c r="F482" i="17"/>
  <c r="U481" i="17"/>
  <c r="Q482" i="17"/>
  <c r="R482" i="17" s="1"/>
  <c r="Q275" i="17"/>
  <c r="F275" i="17"/>
  <c r="AC337" i="17"/>
  <c r="Q264" i="17"/>
  <c r="F264" i="17"/>
  <c r="F314" i="17"/>
  <c r="Q314" i="17"/>
  <c r="O160" i="17"/>
  <c r="U159" i="17"/>
  <c r="AC268" i="17"/>
  <c r="AB494" i="17"/>
  <c r="X494" i="17"/>
  <c r="W494" i="17"/>
  <c r="AA494" i="17"/>
  <c r="Q519" i="17"/>
  <c r="R519" i="17" s="1"/>
  <c r="F519" i="17"/>
  <c r="U518" i="17"/>
  <c r="F212" i="17"/>
  <c r="Q212" i="17"/>
  <c r="R212" i="17" s="1"/>
  <c r="AB506" i="17"/>
  <c r="X506" i="17"/>
  <c r="AA506" i="17"/>
  <c r="W506" i="17"/>
  <c r="O444" i="17"/>
  <c r="O445" i="17" s="1"/>
  <c r="O446" i="17" s="1"/>
  <c r="O447" i="17" s="1"/>
  <c r="U443" i="17"/>
  <c r="AC281" i="17"/>
  <c r="O210" i="17"/>
  <c r="O211" i="17" s="1"/>
  <c r="O212" i="17" s="1"/>
  <c r="O213" i="17" s="1"/>
  <c r="U209" i="17"/>
  <c r="Q558" i="17"/>
  <c r="R558" i="17" s="1"/>
  <c r="F558" i="17"/>
  <c r="U557" i="17"/>
  <c r="AC296" i="17"/>
  <c r="S324" i="17"/>
  <c r="R324" i="17"/>
  <c r="AC361" i="17"/>
  <c r="Q390" i="17"/>
  <c r="R390" i="17" s="1"/>
  <c r="U390" i="17" s="1"/>
  <c r="U389" i="17"/>
  <c r="S274" i="17"/>
  <c r="R274" i="17"/>
  <c r="Q157" i="17"/>
  <c r="AB193" i="17"/>
  <c r="X193" i="17"/>
  <c r="AA193" i="17"/>
  <c r="W193" i="17"/>
  <c r="S313" i="17"/>
  <c r="R313" i="17"/>
  <c r="AA158" i="17"/>
  <c r="W158" i="17"/>
  <c r="X158" i="17"/>
  <c r="AB158" i="17"/>
  <c r="AB260" i="17"/>
  <c r="X260" i="17"/>
  <c r="AA260" i="17"/>
  <c r="W260" i="17"/>
  <c r="AC190" i="17"/>
  <c r="Q329" i="17"/>
  <c r="F329" i="17"/>
  <c r="Q299" i="17"/>
  <c r="R299" i="17" s="1"/>
  <c r="U298" i="17"/>
  <c r="Q455" i="17"/>
  <c r="R455" i="17" s="1"/>
  <c r="F455" i="17"/>
  <c r="U454" i="17"/>
  <c r="X511" i="17"/>
  <c r="W511" i="17"/>
  <c r="AB511" i="17"/>
  <c r="AA511" i="17"/>
  <c r="Q429" i="17"/>
  <c r="R429" i="17" s="1"/>
  <c r="F429" i="17"/>
  <c r="U428" i="17"/>
  <c r="Q364" i="17"/>
  <c r="R364" i="17" s="1"/>
  <c r="F364" i="17"/>
  <c r="U363" i="17"/>
  <c r="Q395" i="17"/>
  <c r="R395" i="17" s="1"/>
  <c r="F395" i="17"/>
  <c r="U394" i="17"/>
  <c r="W338" i="17"/>
  <c r="AA338" i="17"/>
  <c r="X338" i="17"/>
  <c r="AB338" i="17"/>
  <c r="U218" i="17"/>
  <c r="Y218" i="17" s="1"/>
  <c r="AC229" i="17"/>
  <c r="AC204" i="17"/>
  <c r="F234" i="17"/>
  <c r="U233" i="17"/>
  <c r="Q234" i="17"/>
  <c r="R234" i="17" s="1"/>
  <c r="U356" i="17"/>
  <c r="AC192" i="17"/>
  <c r="AC151" i="17"/>
  <c r="AC412" i="17"/>
  <c r="AA544" i="17"/>
  <c r="W544" i="17"/>
  <c r="X544" i="17"/>
  <c r="AB544" i="17"/>
  <c r="AC243" i="17"/>
  <c r="AC259" i="17"/>
  <c r="Q533" i="17"/>
  <c r="F533" i="17"/>
  <c r="AB413" i="17"/>
  <c r="X413" i="17"/>
  <c r="AA413" i="17"/>
  <c r="W413" i="17"/>
  <c r="AC255" i="17"/>
  <c r="AC385" i="17"/>
  <c r="Q246" i="17"/>
  <c r="F246" i="17"/>
  <c r="AC231" i="17"/>
  <c r="S287" i="17"/>
  <c r="R287" i="17"/>
  <c r="AB403" i="17"/>
  <c r="X403" i="17"/>
  <c r="AA403" i="17"/>
  <c r="W403" i="17"/>
  <c r="S156" i="17"/>
  <c r="R156" i="17"/>
  <c r="AB167" i="17"/>
  <c r="X167" i="17"/>
  <c r="W167" i="17"/>
  <c r="AA167" i="17"/>
  <c r="AA439" i="17"/>
  <c r="W439" i="17"/>
  <c r="AB439" i="17"/>
  <c r="X439" i="17"/>
  <c r="W465" i="17"/>
  <c r="AB465" i="17"/>
  <c r="AA465" i="17"/>
  <c r="X465" i="17"/>
  <c r="Q288" i="17"/>
  <c r="F288" i="17"/>
  <c r="AB348" i="17"/>
  <c r="X348" i="17"/>
  <c r="AA348" i="17"/>
  <c r="W348" i="17"/>
  <c r="O467" i="17"/>
  <c r="U466" i="17"/>
  <c r="U270" i="17"/>
  <c r="Y270" i="17" s="1"/>
  <c r="AC543" i="17"/>
  <c r="U548" i="17"/>
  <c r="Q350" i="17"/>
  <c r="R350" i="17" s="1"/>
  <c r="F350" i="17"/>
  <c r="F344" i="17" s="1"/>
  <c r="U349" i="17"/>
  <c r="AC300" i="17"/>
  <c r="F446" i="17"/>
  <c r="Q446" i="17"/>
  <c r="R446" i="17" s="1"/>
  <c r="AA480" i="17"/>
  <c r="W480" i="17"/>
  <c r="X480" i="17"/>
  <c r="AB480" i="17"/>
  <c r="U257" i="17"/>
  <c r="Y257" i="17" s="1"/>
  <c r="Q207" i="17"/>
  <c r="R207" i="17" s="1"/>
  <c r="U207" i="17" s="1"/>
  <c r="U206" i="17"/>
  <c r="F149" i="17"/>
  <c r="AC510" i="17"/>
  <c r="AC217" i="17"/>
  <c r="AC450" i="17"/>
  <c r="O262" i="17"/>
  <c r="U261" i="17"/>
  <c r="AB301" i="17"/>
  <c r="X301" i="17"/>
  <c r="AA301" i="17"/>
  <c r="W301" i="17"/>
  <c r="R328" i="17"/>
  <c r="S328" i="17"/>
  <c r="AB523" i="17"/>
  <c r="X523" i="17"/>
  <c r="AA523" i="17"/>
  <c r="W523" i="17"/>
  <c r="AC402" i="17"/>
  <c r="U512" i="17"/>
  <c r="Y512" i="17" s="1"/>
  <c r="F340" i="17"/>
  <c r="U339" i="17"/>
  <c r="Q340" i="17"/>
  <c r="R340" i="17" s="1"/>
  <c r="R219" i="17"/>
  <c r="S219" i="17"/>
  <c r="U545" i="17"/>
  <c r="AC203" i="17"/>
  <c r="O303" i="17"/>
  <c r="U302" i="17"/>
  <c r="F224" i="17"/>
  <c r="Q224" i="17"/>
  <c r="M223" i="17"/>
  <c r="M214" i="17" s="1"/>
  <c r="S532" i="17"/>
  <c r="R532" i="17"/>
  <c r="Q415" i="17"/>
  <c r="R415" i="17" s="1"/>
  <c r="U414" i="17"/>
  <c r="F415" i="17"/>
  <c r="AC373" i="17"/>
  <c r="AA442" i="17"/>
  <c r="W442" i="17"/>
  <c r="AB442" i="17"/>
  <c r="X442" i="17"/>
  <c r="AB208" i="17"/>
  <c r="X208" i="17"/>
  <c r="AA208" i="17"/>
  <c r="W208" i="17"/>
  <c r="R245" i="17"/>
  <c r="S245" i="17"/>
  <c r="AC411" i="17"/>
  <c r="W186" i="17"/>
  <c r="AB186" i="17"/>
  <c r="AA186" i="17"/>
  <c r="X186" i="17"/>
  <c r="U440" i="17"/>
  <c r="AC392" i="17"/>
  <c r="AB141" i="17"/>
  <c r="X141" i="17"/>
  <c r="AA141" i="17"/>
  <c r="W141" i="17"/>
  <c r="AC140" i="17"/>
  <c r="O143" i="17"/>
  <c r="U142" i="17"/>
  <c r="R145" i="17"/>
  <c r="R136" i="17" s="1"/>
  <c r="S145" i="17"/>
  <c r="S136" i="17" s="1"/>
  <c r="T28" i="22"/>
  <c r="S31" i="22"/>
  <c r="T31" i="22" s="1"/>
  <c r="F31" i="22" s="1"/>
  <c r="S30" i="22"/>
  <c r="T30" i="22" s="1"/>
  <c r="F30" i="22" s="1"/>
  <c r="S28" i="22"/>
  <c r="S29" i="22"/>
  <c r="T32" i="22"/>
  <c r="S29" i="8"/>
  <c r="W45" i="26"/>
  <c r="X45" i="26" s="1"/>
  <c r="W46" i="26"/>
  <c r="X46" i="26"/>
  <c r="W47" i="26"/>
  <c r="X47" i="26" s="1"/>
  <c r="W48" i="26"/>
  <c r="X48" i="26" s="1"/>
  <c r="W49" i="26"/>
  <c r="X49" i="26"/>
  <c r="W51" i="26"/>
  <c r="X51" i="26"/>
  <c r="W52" i="26"/>
  <c r="X52" i="26" s="1"/>
  <c r="W53" i="26"/>
  <c r="X53" i="26"/>
  <c r="W54" i="26"/>
  <c r="X54" i="26" s="1"/>
  <c r="W55" i="26"/>
  <c r="X55" i="26" s="1"/>
  <c r="W56" i="26"/>
  <c r="X56" i="26" s="1"/>
  <c r="W57" i="26"/>
  <c r="X57" i="26"/>
  <c r="W58" i="26"/>
  <c r="X58" i="26" s="1"/>
  <c r="W59" i="26"/>
  <c r="X59" i="26"/>
  <c r="W60" i="26"/>
  <c r="X60" i="26" s="1"/>
  <c r="W61" i="26"/>
  <c r="X61" i="26"/>
  <c r="W62" i="26"/>
  <c r="X62" i="26" s="1"/>
  <c r="W63" i="26"/>
  <c r="X63" i="26" s="1"/>
  <c r="W64" i="26"/>
  <c r="X64" i="26" s="1"/>
  <c r="W65" i="26"/>
  <c r="X65" i="26"/>
  <c r="W66" i="26"/>
  <c r="X66" i="26" s="1"/>
  <c r="W67" i="26"/>
  <c r="X67" i="26"/>
  <c r="W68" i="26"/>
  <c r="X68" i="26" s="1"/>
  <c r="W69" i="26"/>
  <c r="X69" i="26"/>
  <c r="W70" i="26"/>
  <c r="X70" i="26" s="1"/>
  <c r="W71" i="26"/>
  <c r="X71" i="26" s="1"/>
  <c r="W72" i="26"/>
  <c r="X72" i="26" s="1"/>
  <c r="W73" i="26"/>
  <c r="X73" i="26"/>
  <c r="W74" i="26"/>
  <c r="X74" i="26" s="1"/>
  <c r="W75" i="26"/>
  <c r="X75" i="26"/>
  <c r="W76" i="26"/>
  <c r="X76" i="26" s="1"/>
  <c r="W77" i="26"/>
  <c r="X77" i="26"/>
  <c r="W78" i="26"/>
  <c r="X78" i="26" s="1"/>
  <c r="W79" i="26"/>
  <c r="X79" i="26" s="1"/>
  <c r="W80" i="26"/>
  <c r="X80" i="26" s="1"/>
  <c r="W81" i="26"/>
  <c r="X81" i="26"/>
  <c r="W82" i="26"/>
  <c r="X82" i="26" s="1"/>
  <c r="W83" i="26"/>
  <c r="X83" i="26"/>
  <c r="W84" i="26"/>
  <c r="X84" i="26" s="1"/>
  <c r="W85" i="26"/>
  <c r="X85" i="26"/>
  <c r="W86" i="26"/>
  <c r="X86" i="26" s="1"/>
  <c r="W87" i="26"/>
  <c r="X87" i="26" s="1"/>
  <c r="W88" i="26"/>
  <c r="X88" i="26" s="1"/>
  <c r="W90" i="26"/>
  <c r="X90" i="26" s="1"/>
  <c r="W91" i="26"/>
  <c r="X91" i="26"/>
  <c r="W92" i="26"/>
  <c r="X92" i="26" s="1"/>
  <c r="W93" i="26"/>
  <c r="X93" i="26"/>
  <c r="W94" i="26"/>
  <c r="X94" i="26" s="1"/>
  <c r="W95" i="26"/>
  <c r="X95" i="26" s="1"/>
  <c r="W96" i="26"/>
  <c r="X96" i="26" s="1"/>
  <c r="W97" i="26"/>
  <c r="X97" i="26"/>
  <c r="W98" i="26"/>
  <c r="X98" i="26" s="1"/>
  <c r="W99" i="26"/>
  <c r="X99" i="26"/>
  <c r="W100" i="26"/>
  <c r="X100" i="26" s="1"/>
  <c r="W101" i="26"/>
  <c r="X101" i="26"/>
  <c r="W103" i="26"/>
  <c r="X103" i="26" s="1"/>
  <c r="W104" i="26"/>
  <c r="X104" i="26" s="1"/>
  <c r="W105" i="26"/>
  <c r="X105" i="26"/>
  <c r="W106" i="26"/>
  <c r="X106" i="26" s="1"/>
  <c r="W107" i="26"/>
  <c r="X107" i="26"/>
  <c r="W108" i="26"/>
  <c r="X108" i="26" s="1"/>
  <c r="W109" i="26"/>
  <c r="X109" i="26"/>
  <c r="W110" i="26"/>
  <c r="X110" i="26" s="1"/>
  <c r="W111" i="26"/>
  <c r="X111" i="26" s="1"/>
  <c r="W112" i="26"/>
  <c r="X112" i="26" s="1"/>
  <c r="W113" i="26"/>
  <c r="X113" i="26"/>
  <c r="W114" i="26"/>
  <c r="X114" i="26" s="1"/>
  <c r="W115" i="26"/>
  <c r="X115" i="26"/>
  <c r="W116" i="26"/>
  <c r="X116" i="26" s="1"/>
  <c r="W117" i="26"/>
  <c r="X117" i="26"/>
  <c r="W118" i="26"/>
  <c r="X118" i="26" s="1"/>
  <c r="W119" i="26"/>
  <c r="X119" i="26" s="1"/>
  <c r="W120" i="26"/>
  <c r="X120" i="26" s="1"/>
  <c r="W121" i="26"/>
  <c r="X121" i="26"/>
  <c r="W122" i="26"/>
  <c r="X122" i="26" s="1"/>
  <c r="W123" i="26"/>
  <c r="X123" i="26"/>
  <c r="W124" i="26"/>
  <c r="X124" i="26" s="1"/>
  <c r="W125" i="26"/>
  <c r="X125" i="26"/>
  <c r="W126" i="26"/>
  <c r="X126" i="26" s="1"/>
  <c r="U28" i="22" l="1"/>
  <c r="F28" i="22" s="1"/>
  <c r="AC354" i="17"/>
  <c r="AC505" i="17"/>
  <c r="AC154" i="17"/>
  <c r="AC308" i="17"/>
  <c r="U495" i="17"/>
  <c r="AB495" i="17" s="1"/>
  <c r="AC221" i="17"/>
  <c r="AB222" i="17"/>
  <c r="W222" i="17"/>
  <c r="AA222" i="17"/>
  <c r="Y500" i="17"/>
  <c r="U445" i="17"/>
  <c r="AA445" i="17" s="1"/>
  <c r="AC322" i="17"/>
  <c r="Y622" i="17"/>
  <c r="Z622" i="17" s="1"/>
  <c r="Z621" i="17"/>
  <c r="AC621" i="17" s="1"/>
  <c r="Y609" i="17"/>
  <c r="Y585" i="17"/>
  <c r="Y356" i="17"/>
  <c r="Z356" i="17" s="1"/>
  <c r="Y454" i="17"/>
  <c r="Z454" i="17" s="1"/>
  <c r="Y298" i="17"/>
  <c r="Y549" i="17"/>
  <c r="Z549" i="17" s="1"/>
  <c r="Y531" i="17"/>
  <c r="Y524" i="17"/>
  <c r="Z524" i="17" s="1"/>
  <c r="Y180" i="17"/>
  <c r="Y377" i="17"/>
  <c r="Z480" i="17"/>
  <c r="AC480" i="17" s="1"/>
  <c r="Z321" i="17"/>
  <c r="AC321" i="17" s="1"/>
  <c r="Y414" i="17"/>
  <c r="Y207" i="17"/>
  <c r="Z207" i="17" s="1"/>
  <c r="Y428" i="17"/>
  <c r="Z428" i="17" s="1"/>
  <c r="Y209" i="17"/>
  <c r="Z209" i="17" s="1"/>
  <c r="Y272" i="17"/>
  <c r="Y367" i="17"/>
  <c r="Z367" i="17" s="1"/>
  <c r="Y327" i="17"/>
  <c r="Z327" i="17" s="1"/>
  <c r="Y525" i="17"/>
  <c r="Z525" i="17" s="1"/>
  <c r="Y222" i="17"/>
  <c r="Z222" i="17" s="1"/>
  <c r="Y440" i="17"/>
  <c r="Z440" i="17" s="1"/>
  <c r="Y545" i="17"/>
  <c r="Z545" i="17" s="1"/>
  <c r="Y548" i="17"/>
  <c r="Z548" i="17" s="1"/>
  <c r="Y394" i="17"/>
  <c r="Z394" i="17" s="1"/>
  <c r="Y389" i="17"/>
  <c r="Z389" i="17" s="1"/>
  <c r="Y495" i="17"/>
  <c r="Y302" i="17"/>
  <c r="Z302" i="17" s="1"/>
  <c r="Y339" i="17"/>
  <c r="Y206" i="17"/>
  <c r="Z206" i="17" s="1"/>
  <c r="Y349" i="17"/>
  <c r="Z349" i="17" s="1"/>
  <c r="Y390" i="17"/>
  <c r="Z390" i="17" s="1"/>
  <c r="Y443" i="17"/>
  <c r="Z443" i="17" s="1"/>
  <c r="Y518" i="17"/>
  <c r="Z518" i="17" s="1"/>
  <c r="Y404" i="17"/>
  <c r="Z404" i="17" s="1"/>
  <c r="Y572" i="17"/>
  <c r="Z572" i="17" s="1"/>
  <c r="Z493" i="17"/>
  <c r="AC493" i="17" s="1"/>
  <c r="Z362" i="17"/>
  <c r="AC362" i="17" s="1"/>
  <c r="Z205" i="17"/>
  <c r="AC205" i="17" s="1"/>
  <c r="Z427" i="17"/>
  <c r="Z517" i="17"/>
  <c r="AC517" i="17" s="1"/>
  <c r="Z348" i="17"/>
  <c r="AC348" i="17" s="1"/>
  <c r="Y261" i="17"/>
  <c r="Z261" i="17" s="1"/>
  <c r="Y466" i="17"/>
  <c r="Y233" i="17"/>
  <c r="Y363" i="17"/>
  <c r="Z363" i="17" s="1"/>
  <c r="Y557" i="17"/>
  <c r="Z557" i="17" s="1"/>
  <c r="Y481" i="17"/>
  <c r="Z481" i="17" s="1"/>
  <c r="Y310" i="17"/>
  <c r="Z310" i="17" s="1"/>
  <c r="Y187" i="17"/>
  <c r="Z187" i="17" s="1"/>
  <c r="Y194" i="17"/>
  <c r="Z194" i="17" s="1"/>
  <c r="Y244" i="17"/>
  <c r="Y286" i="17"/>
  <c r="Z286" i="17" s="1"/>
  <c r="Y323" i="17"/>
  <c r="Y168" i="17"/>
  <c r="Z168" i="17" s="1"/>
  <c r="Z165" i="17"/>
  <c r="AC165" i="17" s="1"/>
  <c r="Y159" i="17"/>
  <c r="Z159" i="17" s="1"/>
  <c r="Y155" i="17"/>
  <c r="Z155" i="17" s="1"/>
  <c r="Y142" i="17"/>
  <c r="W286" i="17"/>
  <c r="AB155" i="17"/>
  <c r="AA155" i="17"/>
  <c r="W187" i="17"/>
  <c r="W323" i="17"/>
  <c r="W155" i="17"/>
  <c r="AA286" i="17"/>
  <c r="U444" i="17"/>
  <c r="AB444" i="17" s="1"/>
  <c r="X286" i="17"/>
  <c r="W244" i="17"/>
  <c r="AB286" i="17"/>
  <c r="F617" i="17"/>
  <c r="X323" i="17"/>
  <c r="O513" i="17"/>
  <c r="X187" i="17"/>
  <c r="AB323" i="17"/>
  <c r="AB194" i="17"/>
  <c r="U328" i="17"/>
  <c r="U287" i="17"/>
  <c r="W194" i="17"/>
  <c r="AA187" i="17"/>
  <c r="X244" i="17"/>
  <c r="U210" i="17"/>
  <c r="W210" i="17" s="1"/>
  <c r="AA323" i="17"/>
  <c r="AB187" i="17"/>
  <c r="AB244" i="17"/>
  <c r="AC530" i="17"/>
  <c r="O201" i="17"/>
  <c r="U405" i="17"/>
  <c r="U156" i="17"/>
  <c r="Y156" i="17" s="1"/>
  <c r="U195" i="17"/>
  <c r="X194" i="17"/>
  <c r="F637" i="17"/>
  <c r="U636" i="17"/>
  <c r="U500" i="17"/>
  <c r="Z218" i="17"/>
  <c r="Z595" i="17"/>
  <c r="AC595" i="17" s="1"/>
  <c r="Z270" i="17"/>
  <c r="AA194" i="17"/>
  <c r="F598" i="17"/>
  <c r="Q598" i="17"/>
  <c r="R598" i="17" s="1"/>
  <c r="U597" i="17"/>
  <c r="Y597" i="17" s="1"/>
  <c r="R617" i="17"/>
  <c r="Z257" i="17"/>
  <c r="Z596" i="17"/>
  <c r="W596" i="17"/>
  <c r="X596" i="17"/>
  <c r="AB596" i="17"/>
  <c r="AA596" i="17"/>
  <c r="AC608" i="17"/>
  <c r="AC453" i="17"/>
  <c r="U573" i="17"/>
  <c r="Q574" i="17"/>
  <c r="R574" i="17" s="1"/>
  <c r="AA572" i="17"/>
  <c r="W572" i="17"/>
  <c r="AB572" i="17"/>
  <c r="X572" i="17"/>
  <c r="U623" i="17"/>
  <c r="O624" i="17"/>
  <c r="Q613" i="17"/>
  <c r="R613" i="17" s="1"/>
  <c r="F613" i="17"/>
  <c r="O587" i="17"/>
  <c r="U586" i="17"/>
  <c r="X609" i="17"/>
  <c r="AA609" i="17"/>
  <c r="W609" i="17"/>
  <c r="AB609" i="17"/>
  <c r="W585" i="17"/>
  <c r="X585" i="17"/>
  <c r="AA585" i="17"/>
  <c r="AB585" i="17"/>
  <c r="AB622" i="17"/>
  <c r="X622" i="17"/>
  <c r="W622" i="17"/>
  <c r="AA622" i="17"/>
  <c r="O611" i="17"/>
  <c r="U610" i="17"/>
  <c r="AC584" i="17"/>
  <c r="AC556" i="17"/>
  <c r="Q468" i="17"/>
  <c r="R468" i="17" s="1"/>
  <c r="F468" i="17"/>
  <c r="AC442" i="17"/>
  <c r="AC413" i="17"/>
  <c r="R383" i="17"/>
  <c r="Q379" i="17"/>
  <c r="R379" i="17" s="1"/>
  <c r="U378" i="17"/>
  <c r="AC376" i="17"/>
  <c r="AB377" i="17"/>
  <c r="X377" i="17"/>
  <c r="W377" i="17"/>
  <c r="AA377" i="17"/>
  <c r="AC301" i="17"/>
  <c r="U245" i="17"/>
  <c r="Y245" i="17" s="1"/>
  <c r="R196" i="17"/>
  <c r="S196" i="17"/>
  <c r="F197" i="17"/>
  <c r="Q197" i="17"/>
  <c r="AB180" i="17"/>
  <c r="W180" i="17"/>
  <c r="AA180" i="17"/>
  <c r="X180" i="17"/>
  <c r="U181" i="17"/>
  <c r="Q182" i="17"/>
  <c r="R182" i="17" s="1"/>
  <c r="U182" i="17" s="1"/>
  <c r="AC179" i="17"/>
  <c r="S246" i="17"/>
  <c r="R246" i="17"/>
  <c r="U532" i="17"/>
  <c r="R329" i="17"/>
  <c r="S329" i="17"/>
  <c r="R157" i="17"/>
  <c r="S157" i="17"/>
  <c r="S149" i="17" s="1"/>
  <c r="AB518" i="17"/>
  <c r="X518" i="17"/>
  <c r="AA518" i="17"/>
  <c r="W518" i="17"/>
  <c r="AB159" i="17"/>
  <c r="X159" i="17"/>
  <c r="AA159" i="17"/>
  <c r="W159" i="17"/>
  <c r="O274" i="17"/>
  <c r="U273" i="17"/>
  <c r="AA367" i="17"/>
  <c r="W367" i="17"/>
  <c r="AB367" i="17"/>
  <c r="X367" i="17"/>
  <c r="AB414" i="17"/>
  <c r="X414" i="17"/>
  <c r="AA414" i="17"/>
  <c r="W414" i="17"/>
  <c r="AB302" i="17"/>
  <c r="X302" i="17"/>
  <c r="AA302" i="17"/>
  <c r="W302" i="17"/>
  <c r="U219" i="17"/>
  <c r="O263" i="17"/>
  <c r="AB207" i="17"/>
  <c r="X207" i="17"/>
  <c r="AA207" i="17"/>
  <c r="W207" i="17"/>
  <c r="F447" i="17"/>
  <c r="F435" i="17" s="1"/>
  <c r="U446" i="17"/>
  <c r="Q447" i="17"/>
  <c r="R447" i="17" s="1"/>
  <c r="R435" i="17" s="1"/>
  <c r="AB349" i="17"/>
  <c r="X349" i="17"/>
  <c r="AA349" i="17"/>
  <c r="W349" i="17"/>
  <c r="O468" i="17"/>
  <c r="U467" i="17"/>
  <c r="AC439" i="17"/>
  <c r="Q534" i="17"/>
  <c r="F534" i="17"/>
  <c r="X233" i="17"/>
  <c r="AA233" i="17"/>
  <c r="W233" i="17"/>
  <c r="AB233" i="17"/>
  <c r="AB394" i="17"/>
  <c r="X394" i="17"/>
  <c r="AA394" i="17"/>
  <c r="W394" i="17"/>
  <c r="AB363" i="17"/>
  <c r="X363" i="17"/>
  <c r="AA363" i="17"/>
  <c r="W363" i="17"/>
  <c r="F430" i="17"/>
  <c r="U429" i="17"/>
  <c r="Q430" i="17"/>
  <c r="R430" i="17" s="1"/>
  <c r="AC511" i="17"/>
  <c r="AB389" i="17"/>
  <c r="X389" i="17"/>
  <c r="AA389" i="17"/>
  <c r="W389" i="17"/>
  <c r="AA557" i="17"/>
  <c r="W557" i="17"/>
  <c r="AB557" i="17"/>
  <c r="X557" i="17"/>
  <c r="Q520" i="17"/>
  <c r="R520" i="17" s="1"/>
  <c r="F520" i="17"/>
  <c r="U519" i="17"/>
  <c r="O161" i="17"/>
  <c r="U160" i="17"/>
  <c r="AC326" i="17"/>
  <c r="AC232" i="17"/>
  <c r="O369" i="17"/>
  <c r="U369" i="17" s="1"/>
  <c r="U368" i="17"/>
  <c r="O170" i="17"/>
  <c r="U169" i="17"/>
  <c r="AC393" i="17"/>
  <c r="AC297" i="17"/>
  <c r="AB327" i="17"/>
  <c r="X327" i="17"/>
  <c r="AA327" i="17"/>
  <c r="W327" i="17"/>
  <c r="AB525" i="17"/>
  <c r="X525" i="17"/>
  <c r="AA525" i="17"/>
  <c r="W525" i="17"/>
  <c r="AA440" i="17"/>
  <c r="W440" i="17"/>
  <c r="AB440" i="17"/>
  <c r="X440" i="17"/>
  <c r="F225" i="17"/>
  <c r="Q225" i="17"/>
  <c r="F341" i="17"/>
  <c r="M340" i="17"/>
  <c r="M331" i="17" s="1"/>
  <c r="Q341" i="17"/>
  <c r="R341" i="17" s="1"/>
  <c r="AB261" i="17"/>
  <c r="X261" i="17"/>
  <c r="AA261" i="17"/>
  <c r="W261" i="17"/>
  <c r="AB206" i="17"/>
  <c r="X206" i="17"/>
  <c r="AA206" i="17"/>
  <c r="W206" i="17"/>
  <c r="AB428" i="17"/>
  <c r="X428" i="17"/>
  <c r="W428" i="17"/>
  <c r="AA428" i="17"/>
  <c r="U299" i="17"/>
  <c r="Y299" i="17" s="1"/>
  <c r="R292" i="17"/>
  <c r="F213" i="17"/>
  <c r="U212" i="17"/>
  <c r="Q213" i="17"/>
  <c r="R213" i="17" s="1"/>
  <c r="R201" i="17" s="1"/>
  <c r="Q315" i="17"/>
  <c r="F315" i="17"/>
  <c r="M314" i="17"/>
  <c r="M305" i="17" s="1"/>
  <c r="AC333" i="17"/>
  <c r="AB168" i="17"/>
  <c r="X168" i="17"/>
  <c r="AA168" i="17"/>
  <c r="W168" i="17"/>
  <c r="AC208" i="17"/>
  <c r="S224" i="17"/>
  <c r="R224" i="17"/>
  <c r="O304" i="17"/>
  <c r="U304" i="17" s="1"/>
  <c r="U303" i="17"/>
  <c r="AC523" i="17"/>
  <c r="Q351" i="17"/>
  <c r="R351" i="17" s="1"/>
  <c r="U351" i="17" s="1"/>
  <c r="U350" i="17"/>
  <c r="AB270" i="17"/>
  <c r="X270" i="17"/>
  <c r="AA270" i="17"/>
  <c r="W270" i="17"/>
  <c r="F289" i="17"/>
  <c r="Q289" i="17"/>
  <c r="M288" i="17"/>
  <c r="M279" i="17" s="1"/>
  <c r="AC320" i="17"/>
  <c r="AC403" i="17"/>
  <c r="R533" i="17"/>
  <c r="S533" i="17"/>
  <c r="AC544" i="17"/>
  <c r="Q235" i="17"/>
  <c r="R235" i="17" s="1"/>
  <c r="F235" i="17"/>
  <c r="U234" i="17"/>
  <c r="U395" i="17"/>
  <c r="F383" i="17"/>
  <c r="Q365" i="17"/>
  <c r="R365" i="17" s="1"/>
  <c r="U365" i="17" s="1"/>
  <c r="U364" i="17"/>
  <c r="F357" i="17"/>
  <c r="AC158" i="17"/>
  <c r="AB390" i="17"/>
  <c r="X390" i="17"/>
  <c r="AA390" i="17"/>
  <c r="W390" i="17"/>
  <c r="U324" i="17"/>
  <c r="Y324" i="17" s="1"/>
  <c r="Q559" i="17"/>
  <c r="R559" i="17" s="1"/>
  <c r="U558" i="17"/>
  <c r="F559" i="17"/>
  <c r="AB209" i="17"/>
  <c r="X209" i="17"/>
  <c r="AA209" i="17"/>
  <c r="W209" i="17"/>
  <c r="O435" i="17"/>
  <c r="AC494" i="17"/>
  <c r="R314" i="17"/>
  <c r="S314" i="17"/>
  <c r="Q265" i="17"/>
  <c r="F265" i="17"/>
  <c r="F276" i="17"/>
  <c r="Q276" i="17"/>
  <c r="M275" i="17"/>
  <c r="M266" i="17" s="1"/>
  <c r="AA481" i="17"/>
  <c r="W481" i="17"/>
  <c r="AB481" i="17"/>
  <c r="X481" i="17"/>
  <c r="AC309" i="17"/>
  <c r="AB549" i="17"/>
  <c r="X549" i="17"/>
  <c r="AA549" i="17"/>
  <c r="W549" i="17"/>
  <c r="AC541" i="17"/>
  <c r="AC554" i="17"/>
  <c r="AC355" i="17"/>
  <c r="AC347" i="17"/>
  <c r="AC388" i="17"/>
  <c r="O396" i="17"/>
  <c r="AB310" i="17"/>
  <c r="X310" i="17"/>
  <c r="W310" i="17"/>
  <c r="AA310" i="17"/>
  <c r="AC271" i="17"/>
  <c r="U406" i="17"/>
  <c r="Q416" i="17"/>
  <c r="R416" i="17" s="1"/>
  <c r="F416" i="17"/>
  <c r="U415" i="17"/>
  <c r="AB545" i="17"/>
  <c r="X545" i="17"/>
  <c r="AA545" i="17"/>
  <c r="W545" i="17"/>
  <c r="AA548" i="17"/>
  <c r="W548" i="17"/>
  <c r="AB548" i="17"/>
  <c r="X548" i="17"/>
  <c r="U455" i="17"/>
  <c r="F456" i="17"/>
  <c r="Q456" i="17"/>
  <c r="R456" i="17" s="1"/>
  <c r="Q497" i="17"/>
  <c r="R497" i="17" s="1"/>
  <c r="F497" i="17"/>
  <c r="M496" i="17"/>
  <c r="M487" i="17" s="1"/>
  <c r="AB524" i="17"/>
  <c r="X524" i="17"/>
  <c r="AA524" i="17"/>
  <c r="W524" i="17"/>
  <c r="AC372" i="17"/>
  <c r="AC186" i="17"/>
  <c r="U223" i="17"/>
  <c r="AA339" i="17"/>
  <c r="AB339" i="17"/>
  <c r="X339" i="17"/>
  <c r="W339" i="17"/>
  <c r="AA512" i="17"/>
  <c r="AA500" i="17" s="1"/>
  <c r="W512" i="17"/>
  <c r="AB512" i="17"/>
  <c r="AB500" i="17" s="1"/>
  <c r="X512" i="17"/>
  <c r="X500" i="17" s="1"/>
  <c r="U262" i="17"/>
  <c r="AB257" i="17"/>
  <c r="X257" i="17"/>
  <c r="AA257" i="17"/>
  <c r="W257" i="17"/>
  <c r="AA466" i="17"/>
  <c r="X466" i="17"/>
  <c r="AB466" i="17"/>
  <c r="W466" i="17"/>
  <c r="S288" i="17"/>
  <c r="R288" i="17"/>
  <c r="AC167" i="17"/>
  <c r="Q247" i="17"/>
  <c r="F247" i="17"/>
  <c r="AA356" i="17"/>
  <c r="W356" i="17"/>
  <c r="X356" i="17"/>
  <c r="AB356" i="17"/>
  <c r="AB218" i="17"/>
  <c r="X218" i="17"/>
  <c r="AA218" i="17"/>
  <c r="W218" i="17"/>
  <c r="AC338" i="17"/>
  <c r="AB454" i="17"/>
  <c r="X454" i="17"/>
  <c r="AA454" i="17"/>
  <c r="W454" i="17"/>
  <c r="AB298" i="17"/>
  <c r="X298" i="17"/>
  <c r="AA298" i="17"/>
  <c r="W298" i="17"/>
  <c r="F330" i="17"/>
  <c r="Q330" i="17"/>
  <c r="AC260" i="17"/>
  <c r="AC193" i="17"/>
  <c r="AA443" i="17"/>
  <c r="W443" i="17"/>
  <c r="X443" i="17"/>
  <c r="AB443" i="17"/>
  <c r="U211" i="17"/>
  <c r="R264" i="17"/>
  <c r="S264" i="17"/>
  <c r="S275" i="17"/>
  <c r="R275" i="17"/>
  <c r="F483" i="17"/>
  <c r="U482" i="17"/>
  <c r="Q483" i="17"/>
  <c r="R483" i="17" s="1"/>
  <c r="F551" i="17"/>
  <c r="U550" i="17"/>
  <c r="Q551" i="17"/>
  <c r="R551" i="17" s="1"/>
  <c r="R539" i="17" s="1"/>
  <c r="AA531" i="17"/>
  <c r="W531" i="17"/>
  <c r="X531" i="17"/>
  <c r="AB531" i="17"/>
  <c r="AC437" i="17"/>
  <c r="AA272" i="17"/>
  <c r="W272" i="17"/>
  <c r="X272" i="17"/>
  <c r="AB272" i="17"/>
  <c r="AB404" i="17"/>
  <c r="X404" i="17"/>
  <c r="AA404" i="17"/>
  <c r="W404" i="17"/>
  <c r="O312" i="17"/>
  <c r="U311" i="17"/>
  <c r="AC515" i="17"/>
  <c r="F408" i="17"/>
  <c r="U407" i="17"/>
  <c r="Q408" i="17"/>
  <c r="R408" i="17" s="1"/>
  <c r="R396" i="17" s="1"/>
  <c r="U258" i="17"/>
  <c r="AB142" i="17"/>
  <c r="X142" i="17"/>
  <c r="AA142" i="17"/>
  <c r="W142" i="17"/>
  <c r="AC141" i="17"/>
  <c r="O144" i="17"/>
  <c r="U143" i="17"/>
  <c r="Z17" i="6"/>
  <c r="AB445" i="17" l="1"/>
  <c r="W495" i="17"/>
  <c r="AA495" i="17"/>
  <c r="X495" i="17"/>
  <c r="AC222" i="17"/>
  <c r="W445" i="17"/>
  <c r="X445" i="17"/>
  <c r="Y445" i="17"/>
  <c r="Z445" i="17" s="1"/>
  <c r="AC155" i="17"/>
  <c r="AC286" i="17"/>
  <c r="U246" i="17"/>
  <c r="X246" i="17" s="1"/>
  <c r="Y623" i="17"/>
  <c r="Z623" i="17" s="1"/>
  <c r="Y610" i="17"/>
  <c r="Z610" i="17" s="1"/>
  <c r="Z609" i="17"/>
  <c r="AC609" i="17" s="1"/>
  <c r="Y586" i="17"/>
  <c r="Z586" i="17" s="1"/>
  <c r="Z585" i="17"/>
  <c r="AC585" i="17" s="1"/>
  <c r="Y444" i="17"/>
  <c r="Z444" i="17" s="1"/>
  <c r="Y407" i="17"/>
  <c r="Z407" i="17" s="1"/>
  <c r="Y550" i="17"/>
  <c r="Z550" i="17" s="1"/>
  <c r="Y262" i="17"/>
  <c r="Z262" i="17" s="1"/>
  <c r="Y415" i="17"/>
  <c r="Z415" i="17" s="1"/>
  <c r="Y303" i="17"/>
  <c r="Z303" i="17" s="1"/>
  <c r="Y429" i="17"/>
  <c r="Y446" i="17"/>
  <c r="Z446" i="17" s="1"/>
  <c r="Y219" i="17"/>
  <c r="Y181" i="17"/>
  <c r="Z181" i="17" s="1"/>
  <c r="Y405" i="17"/>
  <c r="Z405" i="17" s="1"/>
  <c r="Y258" i="17"/>
  <c r="Z258" i="17" s="1"/>
  <c r="Y211" i="17"/>
  <c r="Z211" i="17" s="1"/>
  <c r="Y558" i="17"/>
  <c r="Z558" i="17" s="1"/>
  <c r="Y395" i="17"/>
  <c r="Y383" i="17" s="1"/>
  <c r="Y350" i="17"/>
  <c r="Z350" i="17" s="1"/>
  <c r="Y304" i="17"/>
  <c r="W405" i="17"/>
  <c r="Y368" i="17"/>
  <c r="Z368" i="17" s="1"/>
  <c r="Y467" i="17"/>
  <c r="Z467" i="17" s="1"/>
  <c r="Y273" i="17"/>
  <c r="Y573" i="17"/>
  <c r="Z573" i="17" s="1"/>
  <c r="Z233" i="17"/>
  <c r="AC233" i="17" s="1"/>
  <c r="Z339" i="17"/>
  <c r="AC339" i="17" s="1"/>
  <c r="Z180" i="17"/>
  <c r="AC180" i="17" s="1"/>
  <c r="Z531" i="17"/>
  <c r="AC531" i="17" s="1"/>
  <c r="Z298" i="17"/>
  <c r="AC298" i="17" s="1"/>
  <c r="Y223" i="17"/>
  <c r="Z223" i="17" s="1"/>
  <c r="Y364" i="17"/>
  <c r="Z364" i="17" s="1"/>
  <c r="Y234" i="17"/>
  <c r="Z234" i="17" s="1"/>
  <c r="Y351" i="17"/>
  <c r="Y212" i="17"/>
  <c r="Z212" i="17" s="1"/>
  <c r="AA405" i="17"/>
  <c r="Y369" i="17"/>
  <c r="Z369" i="17" s="1"/>
  <c r="Y378" i="17"/>
  <c r="Z378" i="17" s="1"/>
  <c r="Y195" i="17"/>
  <c r="Z195" i="17" s="1"/>
  <c r="Y210" i="17"/>
  <c r="Z210" i="17" s="1"/>
  <c r="Y287" i="17"/>
  <c r="Z287" i="17" s="1"/>
  <c r="Z323" i="17"/>
  <c r="AC323" i="17" s="1"/>
  <c r="Z244" i="17"/>
  <c r="AC244" i="17" s="1"/>
  <c r="Z495" i="17"/>
  <c r="Z272" i="17"/>
  <c r="AC272" i="17" s="1"/>
  <c r="Y311" i="17"/>
  <c r="Z311" i="17" s="1"/>
  <c r="Y482" i="17"/>
  <c r="Z482" i="17" s="1"/>
  <c r="Y455" i="17"/>
  <c r="Z455" i="17" s="1"/>
  <c r="Y406" i="17"/>
  <c r="Z406" i="17" s="1"/>
  <c r="Y365" i="17"/>
  <c r="Z365" i="17" s="1"/>
  <c r="Y519" i="17"/>
  <c r="Z519" i="17" s="1"/>
  <c r="Y532" i="17"/>
  <c r="Z532" i="17" s="1"/>
  <c r="Y182" i="17"/>
  <c r="Z182" i="17" s="1"/>
  <c r="Y328" i="17"/>
  <c r="Z328" i="17" s="1"/>
  <c r="Z466" i="17"/>
  <c r="AC466" i="17" s="1"/>
  <c r="Z414" i="17"/>
  <c r="Z377" i="17"/>
  <c r="AC377" i="17" s="1"/>
  <c r="Y169" i="17"/>
  <c r="Y160" i="17"/>
  <c r="Z160" i="17" s="1"/>
  <c r="W156" i="17"/>
  <c r="Y143" i="17"/>
  <c r="Z143" i="17" s="1"/>
  <c r="Z142" i="17"/>
  <c r="AC142" i="17" s="1"/>
  <c r="AA287" i="17"/>
  <c r="AA328" i="17"/>
  <c r="U496" i="17"/>
  <c r="AA496" i="17" s="1"/>
  <c r="X444" i="17"/>
  <c r="AB287" i="17"/>
  <c r="W444" i="17"/>
  <c r="AB210" i="17"/>
  <c r="AA444" i="17"/>
  <c r="U329" i="17"/>
  <c r="X405" i="17"/>
  <c r="AB328" i="17"/>
  <c r="X156" i="17"/>
  <c r="U196" i="17"/>
  <c r="AC194" i="17"/>
  <c r="X328" i="17"/>
  <c r="AA156" i="17"/>
  <c r="U213" i="17"/>
  <c r="AB213" i="17" s="1"/>
  <c r="U340" i="17"/>
  <c r="X340" i="17" s="1"/>
  <c r="AB405" i="17"/>
  <c r="W328" i="17"/>
  <c r="X245" i="17"/>
  <c r="AB156" i="17"/>
  <c r="AC187" i="17"/>
  <c r="AA210" i="17"/>
  <c r="W287" i="17"/>
  <c r="X195" i="17"/>
  <c r="X210" i="17"/>
  <c r="O292" i="17"/>
  <c r="X287" i="17"/>
  <c r="AB245" i="17"/>
  <c r="AB195" i="17"/>
  <c r="W245" i="17"/>
  <c r="AA195" i="17"/>
  <c r="AA245" i="17"/>
  <c r="W195" i="17"/>
  <c r="Z245" i="17"/>
  <c r="AC596" i="17"/>
  <c r="F638" i="17"/>
  <c r="U637" i="17"/>
  <c r="Z597" i="17"/>
  <c r="X597" i="17"/>
  <c r="AB597" i="17"/>
  <c r="W597" i="17"/>
  <c r="AA597" i="17"/>
  <c r="Z512" i="17"/>
  <c r="Z500" i="17" s="1"/>
  <c r="Z156" i="17"/>
  <c r="Z324" i="17"/>
  <c r="U224" i="17"/>
  <c r="U292" i="17"/>
  <c r="R357" i="17"/>
  <c r="AC548" i="17"/>
  <c r="Q599" i="17"/>
  <c r="R599" i="17" s="1"/>
  <c r="U598" i="17"/>
  <c r="Y598" i="17" s="1"/>
  <c r="F599" i="17"/>
  <c r="AC524" i="17"/>
  <c r="W573" i="17"/>
  <c r="AA573" i="17"/>
  <c r="AB573" i="17"/>
  <c r="X573" i="17"/>
  <c r="AC572" i="17"/>
  <c r="AC571" i="17"/>
  <c r="M574" i="17"/>
  <c r="M565" i="17" s="1"/>
  <c r="Q575" i="17"/>
  <c r="R575" i="17" s="1"/>
  <c r="W623" i="17"/>
  <c r="AB623" i="17"/>
  <c r="AA623" i="17"/>
  <c r="X623" i="17"/>
  <c r="AC622" i="17"/>
  <c r="W610" i="17"/>
  <c r="AB610" i="17"/>
  <c r="X610" i="17"/>
  <c r="AA610" i="17"/>
  <c r="X586" i="17"/>
  <c r="AB586" i="17"/>
  <c r="AA586" i="17"/>
  <c r="W586" i="17"/>
  <c r="Q614" i="17"/>
  <c r="R614" i="17" s="1"/>
  <c r="M613" i="17"/>
  <c r="M604" i="17" s="1"/>
  <c r="F614" i="17"/>
  <c r="O612" i="17"/>
  <c r="U611" i="17"/>
  <c r="O588" i="17"/>
  <c r="U587" i="17"/>
  <c r="O625" i="17"/>
  <c r="U624" i="17"/>
  <c r="U533" i="17"/>
  <c r="AC481" i="17"/>
  <c r="F469" i="17"/>
  <c r="Q469" i="17"/>
  <c r="R469" i="17" s="1"/>
  <c r="AC443" i="17"/>
  <c r="U447" i="17"/>
  <c r="AA378" i="17"/>
  <c r="X378" i="17"/>
  <c r="W378" i="17"/>
  <c r="AB378" i="17"/>
  <c r="Q380" i="17"/>
  <c r="R380" i="17" s="1"/>
  <c r="M370" i="17"/>
  <c r="U344" i="17"/>
  <c r="F201" i="17"/>
  <c r="AC207" i="17"/>
  <c r="S197" i="17"/>
  <c r="R197" i="17"/>
  <c r="F198" i="17"/>
  <c r="M197" i="17"/>
  <c r="Q198" i="17"/>
  <c r="W181" i="17"/>
  <c r="U175" i="17"/>
  <c r="AB181" i="17"/>
  <c r="X181" i="17"/>
  <c r="AA181" i="17"/>
  <c r="W182" i="17"/>
  <c r="X182" i="17"/>
  <c r="AB182" i="17"/>
  <c r="AA182" i="17"/>
  <c r="R175" i="17"/>
  <c r="R247" i="17"/>
  <c r="S247" i="17"/>
  <c r="AC427" i="17"/>
  <c r="F457" i="17"/>
  <c r="U456" i="17"/>
  <c r="Q457" i="17"/>
  <c r="R457" i="17" s="1"/>
  <c r="S265" i="17"/>
  <c r="S253" i="17" s="1"/>
  <c r="R265" i="17"/>
  <c r="R253" i="17" s="1"/>
  <c r="AA212" i="17"/>
  <c r="W212" i="17"/>
  <c r="AB212" i="17"/>
  <c r="X212" i="17"/>
  <c r="U161" i="17"/>
  <c r="O149" i="17"/>
  <c r="AA258" i="17"/>
  <c r="W258" i="17"/>
  <c r="X258" i="17"/>
  <c r="AB258" i="17"/>
  <c r="AA482" i="17"/>
  <c r="W482" i="17"/>
  <c r="X482" i="17"/>
  <c r="AB482" i="17"/>
  <c r="AA211" i="17"/>
  <c r="W211" i="17"/>
  <c r="X211" i="17"/>
  <c r="AB211" i="17"/>
  <c r="F318" i="17"/>
  <c r="Q498" i="17"/>
  <c r="R498" i="17" s="1"/>
  <c r="F498" i="17"/>
  <c r="U497" i="17"/>
  <c r="AB455" i="17"/>
  <c r="X455" i="17"/>
  <c r="AA455" i="17"/>
  <c r="W455" i="17"/>
  <c r="F277" i="17"/>
  <c r="Q277" i="17"/>
  <c r="AC209" i="17"/>
  <c r="Q560" i="17"/>
  <c r="R560" i="17" s="1"/>
  <c r="F560" i="17"/>
  <c r="U559" i="17"/>
  <c r="AB324" i="17"/>
  <c r="X324" i="17"/>
  <c r="W324" i="17"/>
  <c r="AA324" i="17"/>
  <c r="AB395" i="17"/>
  <c r="AB383" i="17" s="1"/>
  <c r="X395" i="17"/>
  <c r="X383" i="17" s="1"/>
  <c r="AA395" i="17"/>
  <c r="AA383" i="17" s="1"/>
  <c r="W395" i="17"/>
  <c r="W383" i="17" s="1"/>
  <c r="S289" i="17"/>
  <c r="R289" i="17"/>
  <c r="AC270" i="17"/>
  <c r="F316" i="17"/>
  <c r="Q316" i="17"/>
  <c r="AA213" i="17"/>
  <c r="AB299" i="17"/>
  <c r="X299" i="17"/>
  <c r="W299" i="17"/>
  <c r="AA299" i="17"/>
  <c r="S225" i="17"/>
  <c r="R225" i="17"/>
  <c r="AC440" i="17"/>
  <c r="AC327" i="17"/>
  <c r="AA368" i="17"/>
  <c r="W368" i="17"/>
  <c r="X368" i="17"/>
  <c r="AB368" i="17"/>
  <c r="U383" i="17"/>
  <c r="AC363" i="17"/>
  <c r="AC367" i="17"/>
  <c r="AA532" i="17"/>
  <c r="W532" i="17"/>
  <c r="AB532" i="17"/>
  <c r="X532" i="17"/>
  <c r="R344" i="17"/>
  <c r="Q521" i="17"/>
  <c r="R521" i="17" s="1"/>
  <c r="F521" i="17"/>
  <c r="U520" i="17"/>
  <c r="O469" i="17"/>
  <c r="U468" i="17"/>
  <c r="AA446" i="17"/>
  <c r="X446" i="17"/>
  <c r="AB446" i="17"/>
  <c r="W446" i="17"/>
  <c r="AB219" i="17"/>
  <c r="X219" i="17"/>
  <c r="AA219" i="17"/>
  <c r="W219" i="17"/>
  <c r="U408" i="17"/>
  <c r="F396" i="17"/>
  <c r="AC404" i="17"/>
  <c r="AB550" i="17"/>
  <c r="X550" i="17"/>
  <c r="AA550" i="17"/>
  <c r="W550" i="17"/>
  <c r="F484" i="17"/>
  <c r="M483" i="17"/>
  <c r="M474" i="17" s="1"/>
  <c r="Q484" i="17"/>
  <c r="R484" i="17" s="1"/>
  <c r="AC454" i="17"/>
  <c r="AC218" i="17"/>
  <c r="AC356" i="17"/>
  <c r="AA246" i="17"/>
  <c r="AB415" i="17"/>
  <c r="X415" i="17"/>
  <c r="AA415" i="17"/>
  <c r="W415" i="17"/>
  <c r="AB558" i="17"/>
  <c r="X558" i="17"/>
  <c r="AA558" i="17"/>
  <c r="W558" i="17"/>
  <c r="AC390" i="17"/>
  <c r="AB364" i="17"/>
  <c r="X364" i="17"/>
  <c r="AA364" i="17"/>
  <c r="W364" i="17"/>
  <c r="AA234" i="17"/>
  <c r="W234" i="17"/>
  <c r="X234" i="17"/>
  <c r="AB234" i="17"/>
  <c r="U288" i="17"/>
  <c r="Y288" i="17" s="1"/>
  <c r="AB350" i="17"/>
  <c r="X350" i="17"/>
  <c r="AA350" i="17"/>
  <c r="W350" i="17"/>
  <c r="AB303" i="17"/>
  <c r="X303" i="17"/>
  <c r="AA303" i="17"/>
  <c r="W303" i="17"/>
  <c r="S315" i="17"/>
  <c r="R315" i="17"/>
  <c r="W500" i="17"/>
  <c r="AC261" i="17"/>
  <c r="F342" i="17"/>
  <c r="U341" i="17"/>
  <c r="Q342" i="17"/>
  <c r="R342" i="17" s="1"/>
  <c r="AC525" i="17"/>
  <c r="O357" i="17"/>
  <c r="AB429" i="17"/>
  <c r="AA429" i="17"/>
  <c r="X429" i="17"/>
  <c r="W429" i="17"/>
  <c r="AC394" i="17"/>
  <c r="F535" i="17"/>
  <c r="Q535" i="17"/>
  <c r="O264" i="17"/>
  <c r="U263" i="17"/>
  <c r="AC159" i="17"/>
  <c r="U157" i="17"/>
  <c r="R149" i="17"/>
  <c r="AA407" i="17"/>
  <c r="W407" i="17"/>
  <c r="AB407" i="17"/>
  <c r="X407" i="17"/>
  <c r="O313" i="17"/>
  <c r="U312" i="17"/>
  <c r="U170" i="17"/>
  <c r="O171" i="17"/>
  <c r="O275" i="17"/>
  <c r="U274" i="17"/>
  <c r="AB311" i="17"/>
  <c r="X311" i="17"/>
  <c r="AA311" i="17"/>
  <c r="W311" i="17"/>
  <c r="U551" i="17"/>
  <c r="F539" i="17"/>
  <c r="S330" i="17"/>
  <c r="S318" i="17" s="1"/>
  <c r="R330" i="17"/>
  <c r="R318" i="17" s="1"/>
  <c r="Q248" i="17"/>
  <c r="F248" i="17"/>
  <c r="W262" i="17"/>
  <c r="X262" i="17"/>
  <c r="AB262" i="17"/>
  <c r="AA262" i="17"/>
  <c r="AA223" i="17"/>
  <c r="W223" i="17"/>
  <c r="X223" i="17"/>
  <c r="AB223" i="17"/>
  <c r="Q417" i="17"/>
  <c r="R417" i="17" s="1"/>
  <c r="F417" i="17"/>
  <c r="U416" i="17"/>
  <c r="AA406" i="17"/>
  <c r="W406" i="17"/>
  <c r="X406" i="17"/>
  <c r="AB406" i="17"/>
  <c r="AC549" i="17"/>
  <c r="S276" i="17"/>
  <c r="R276" i="17"/>
  <c r="F253" i="17"/>
  <c r="AB365" i="17"/>
  <c r="X365" i="17"/>
  <c r="AA365" i="17"/>
  <c r="W365" i="17"/>
  <c r="Q236" i="17"/>
  <c r="R236" i="17" s="1"/>
  <c r="F236" i="17"/>
  <c r="U235" i="17"/>
  <c r="AC465" i="17"/>
  <c r="F290" i="17"/>
  <c r="Q290" i="17"/>
  <c r="AB351" i="17"/>
  <c r="X351" i="17"/>
  <c r="AA351" i="17"/>
  <c r="W351" i="17"/>
  <c r="AB304" i="17"/>
  <c r="X304" i="17"/>
  <c r="AA304" i="17"/>
  <c r="W304" i="17"/>
  <c r="AC506" i="17"/>
  <c r="AC428" i="17"/>
  <c r="Q226" i="17"/>
  <c r="F226" i="17"/>
  <c r="AA169" i="17"/>
  <c r="W169" i="17"/>
  <c r="X169" i="17"/>
  <c r="AB169" i="17"/>
  <c r="AA369" i="17"/>
  <c r="W369" i="17"/>
  <c r="AB369" i="17"/>
  <c r="X369" i="17"/>
  <c r="U357" i="17"/>
  <c r="AB160" i="17"/>
  <c r="X160" i="17"/>
  <c r="AA160" i="17"/>
  <c r="W160" i="17"/>
  <c r="AB519" i="17"/>
  <c r="X519" i="17"/>
  <c r="AA519" i="17"/>
  <c r="W519" i="17"/>
  <c r="AC557" i="17"/>
  <c r="AC389" i="17"/>
  <c r="F431" i="17"/>
  <c r="U430" i="17"/>
  <c r="Q431" i="17"/>
  <c r="R431" i="17" s="1"/>
  <c r="S534" i="17"/>
  <c r="R534" i="17"/>
  <c r="W467" i="17"/>
  <c r="AB467" i="17"/>
  <c r="X467" i="17"/>
  <c r="AA467" i="17"/>
  <c r="AC349" i="17"/>
  <c r="AC302" i="17"/>
  <c r="X273" i="17"/>
  <c r="AA273" i="17"/>
  <c r="W273" i="17"/>
  <c r="AB273" i="17"/>
  <c r="AA143" i="17"/>
  <c r="W143" i="17"/>
  <c r="AB143" i="17"/>
  <c r="X143" i="17"/>
  <c r="O145" i="17"/>
  <c r="U144" i="17"/>
  <c r="L38" i="4"/>
  <c r="M38" i="4" s="1"/>
  <c r="N38" i="4" s="1"/>
  <c r="L37" i="4"/>
  <c r="AC495" i="17" l="1"/>
  <c r="U149" i="17"/>
  <c r="M37" i="4"/>
  <c r="N37" i="4" s="1"/>
  <c r="W246" i="17"/>
  <c r="W496" i="17"/>
  <c r="AB246" i="17"/>
  <c r="Y246" i="17"/>
  <c r="Z246" i="17" s="1"/>
  <c r="Y344" i="17"/>
  <c r="AC445" i="17"/>
  <c r="Z357" i="17"/>
  <c r="Y292" i="17"/>
  <c r="Z395" i="17"/>
  <c r="Z383" i="17" s="1"/>
  <c r="Z304" i="17"/>
  <c r="AC304" i="17" s="1"/>
  <c r="Y175" i="17"/>
  <c r="Z175" i="17"/>
  <c r="U534" i="17"/>
  <c r="W534" i="17" s="1"/>
  <c r="Y624" i="17"/>
  <c r="Z624" i="17" s="1"/>
  <c r="Y611" i="17"/>
  <c r="Z611" i="17" s="1"/>
  <c r="Y587" i="17"/>
  <c r="Z587" i="17" s="1"/>
  <c r="Y430" i="17"/>
  <c r="Z430" i="17" s="1"/>
  <c r="Y235" i="17"/>
  <c r="Z235" i="17" s="1"/>
  <c r="Y533" i="17"/>
  <c r="Z533" i="17" s="1"/>
  <c r="Y196" i="17"/>
  <c r="Z196" i="17" s="1"/>
  <c r="Y456" i="17"/>
  <c r="Z456" i="17" s="1"/>
  <c r="Y263" i="17"/>
  <c r="Z263" i="17" s="1"/>
  <c r="Y340" i="17"/>
  <c r="Z219" i="17"/>
  <c r="AC219" i="17" s="1"/>
  <c r="Z429" i="17"/>
  <c r="Y551" i="17"/>
  <c r="Y539" i="17" s="1"/>
  <c r="Y408" i="17"/>
  <c r="Y396" i="17" s="1"/>
  <c r="Y224" i="17"/>
  <c r="Z224" i="17" s="1"/>
  <c r="Y329" i="17"/>
  <c r="Z329" i="17" s="1"/>
  <c r="Y274" i="17"/>
  <c r="Z274" i="17" s="1"/>
  <c r="Y312" i="17"/>
  <c r="Z312" i="17" s="1"/>
  <c r="Y468" i="17"/>
  <c r="Z468" i="17" s="1"/>
  <c r="Y497" i="17"/>
  <c r="Z497" i="17" s="1"/>
  <c r="Z351" i="17"/>
  <c r="Z344" i="17" s="1"/>
  <c r="Z273" i="17"/>
  <c r="AC273" i="17" s="1"/>
  <c r="AB329" i="17"/>
  <c r="Y559" i="17"/>
  <c r="Z559" i="17" s="1"/>
  <c r="Y416" i="17"/>
  <c r="Z416" i="17" s="1"/>
  <c r="Y341" i="17"/>
  <c r="Z341" i="17" s="1"/>
  <c r="Y520" i="17"/>
  <c r="Z520" i="17" s="1"/>
  <c r="Y447" i="17"/>
  <c r="Y435" i="17" s="1"/>
  <c r="Y213" i="17"/>
  <c r="Y201" i="17" s="1"/>
  <c r="Y496" i="17"/>
  <c r="Z496" i="17" s="1"/>
  <c r="Y357" i="17"/>
  <c r="Y170" i="17"/>
  <c r="Z170" i="17" s="1"/>
  <c r="Z169" i="17"/>
  <c r="AC169" i="17" s="1"/>
  <c r="Y161" i="17"/>
  <c r="Y157" i="17"/>
  <c r="Z157" i="17" s="1"/>
  <c r="Y144" i="17"/>
  <c r="Z144" i="17" s="1"/>
  <c r="AA340" i="17"/>
  <c r="X213" i="17"/>
  <c r="X201" i="17" s="1"/>
  <c r="U201" i="17"/>
  <c r="AC210" i="17"/>
  <c r="AC328" i="17"/>
  <c r="W340" i="17"/>
  <c r="X496" i="17"/>
  <c r="W447" i="17"/>
  <c r="W435" i="17" s="1"/>
  <c r="AB340" i="17"/>
  <c r="AB496" i="17"/>
  <c r="W213" i="17"/>
  <c r="W201" i="17" s="1"/>
  <c r="AC405" i="17"/>
  <c r="AC444" i="17"/>
  <c r="AC512" i="17"/>
  <c r="AC500" i="17" s="1"/>
  <c r="AA329" i="17"/>
  <c r="AA224" i="17"/>
  <c r="AC287" i="17"/>
  <c r="W329" i="17"/>
  <c r="X329" i="17"/>
  <c r="U289" i="17"/>
  <c r="W289" i="17" s="1"/>
  <c r="AA533" i="17"/>
  <c r="AB196" i="17"/>
  <c r="U225" i="17"/>
  <c r="AB533" i="17"/>
  <c r="W196" i="17"/>
  <c r="W224" i="17"/>
  <c r="X533" i="17"/>
  <c r="AA196" i="17"/>
  <c r="AC156" i="17"/>
  <c r="AC245" i="17"/>
  <c r="AB224" i="17"/>
  <c r="X224" i="17"/>
  <c r="W533" i="17"/>
  <c r="X196" i="17"/>
  <c r="AC195" i="17"/>
  <c r="AA344" i="17"/>
  <c r="AA447" i="17"/>
  <c r="AA435" i="17" s="1"/>
  <c r="U247" i="17"/>
  <c r="AA247" i="17" s="1"/>
  <c r="AB175" i="17"/>
  <c r="X447" i="17"/>
  <c r="X435" i="17" s="1"/>
  <c r="U435" i="17"/>
  <c r="AB447" i="17"/>
  <c r="AB435" i="17" s="1"/>
  <c r="AC369" i="17"/>
  <c r="Z288" i="17"/>
  <c r="AA175" i="17"/>
  <c r="U638" i="17"/>
  <c r="F639" i="17"/>
  <c r="X292" i="17"/>
  <c r="AA357" i="17"/>
  <c r="X175" i="17"/>
  <c r="U379" i="17"/>
  <c r="Y379" i="17" s="1"/>
  <c r="Q600" i="17"/>
  <c r="R600" i="17" s="1"/>
  <c r="U599" i="17"/>
  <c r="Y599" i="17" s="1"/>
  <c r="F600" i="17"/>
  <c r="Z299" i="17"/>
  <c r="AC597" i="17"/>
  <c r="U574" i="17"/>
  <c r="Y574" i="17" s="1"/>
  <c r="Z598" i="17"/>
  <c r="AB598" i="17"/>
  <c r="AA598" i="17"/>
  <c r="W598" i="17"/>
  <c r="X598" i="17"/>
  <c r="AC378" i="17"/>
  <c r="AC407" i="17"/>
  <c r="U575" i="17"/>
  <c r="Q576" i="17"/>
  <c r="R576" i="17" s="1"/>
  <c r="AC573" i="17"/>
  <c r="O626" i="17"/>
  <c r="U625" i="17"/>
  <c r="Q615" i="17"/>
  <c r="R615" i="17" s="1"/>
  <c r="F615" i="17"/>
  <c r="O613" i="17"/>
  <c r="U612" i="17"/>
  <c r="U588" i="17"/>
  <c r="O589" i="17"/>
  <c r="AC610" i="17"/>
  <c r="AA611" i="17"/>
  <c r="AB611" i="17"/>
  <c r="W611" i="17"/>
  <c r="X611" i="17"/>
  <c r="X624" i="17"/>
  <c r="AB624" i="17"/>
  <c r="W624" i="17"/>
  <c r="AA624" i="17"/>
  <c r="W587" i="17"/>
  <c r="AA587" i="17"/>
  <c r="AB587" i="17"/>
  <c r="X587" i="17"/>
  <c r="AC586" i="17"/>
  <c r="AC623" i="17"/>
  <c r="AC532" i="17"/>
  <c r="F470" i="17"/>
  <c r="Q470" i="17"/>
  <c r="R470" i="17" s="1"/>
  <c r="Q381" i="17"/>
  <c r="R381" i="17" s="1"/>
  <c r="U380" i="17"/>
  <c r="X357" i="17"/>
  <c r="AC368" i="17"/>
  <c r="AB357" i="17"/>
  <c r="X344" i="17"/>
  <c r="AB344" i="17"/>
  <c r="AB292" i="17"/>
  <c r="AA292" i="17"/>
  <c r="AC303" i="17"/>
  <c r="AC258" i="17"/>
  <c r="AB201" i="17"/>
  <c r="AA201" i="17"/>
  <c r="F199" i="17"/>
  <c r="Q199" i="17"/>
  <c r="R198" i="17"/>
  <c r="S198" i="17"/>
  <c r="M188" i="17"/>
  <c r="U197" i="17"/>
  <c r="Y197" i="17" s="1"/>
  <c r="W175" i="17"/>
  <c r="AC182" i="17"/>
  <c r="AC181" i="17"/>
  <c r="Q432" i="17"/>
  <c r="R432" i="17" s="1"/>
  <c r="M431" i="17"/>
  <c r="M422" i="17" s="1"/>
  <c r="F422" i="17"/>
  <c r="AB416" i="17"/>
  <c r="X416" i="17"/>
  <c r="AA416" i="17"/>
  <c r="W416" i="17"/>
  <c r="F536" i="17"/>
  <c r="M535" i="17"/>
  <c r="M526" i="17" s="1"/>
  <c r="Q536" i="17"/>
  <c r="AA408" i="17"/>
  <c r="AA396" i="17" s="1"/>
  <c r="W408" i="17"/>
  <c r="X408" i="17"/>
  <c r="X396" i="17" s="1"/>
  <c r="AB408" i="17"/>
  <c r="AB396" i="17" s="1"/>
  <c r="U396" i="17"/>
  <c r="Q499" i="17"/>
  <c r="R499" i="17" s="1"/>
  <c r="R487" i="17" s="1"/>
  <c r="F499" i="17"/>
  <c r="F487" i="17" s="1"/>
  <c r="U498" i="17"/>
  <c r="AC467" i="17"/>
  <c r="Q291" i="17"/>
  <c r="F291" i="17"/>
  <c r="F279" i="17" s="1"/>
  <c r="AB235" i="17"/>
  <c r="X235" i="17"/>
  <c r="AA235" i="17"/>
  <c r="W235" i="17"/>
  <c r="AC365" i="17"/>
  <c r="F418" i="17"/>
  <c r="U417" i="17"/>
  <c r="Q418" i="17"/>
  <c r="R418" i="17" s="1"/>
  <c r="AC311" i="17"/>
  <c r="AA312" i="17"/>
  <c r="W312" i="17"/>
  <c r="X312" i="17"/>
  <c r="AB312" i="17"/>
  <c r="AB157" i="17"/>
  <c r="X157" i="17"/>
  <c r="AA157" i="17"/>
  <c r="W157" i="17"/>
  <c r="AB263" i="17"/>
  <c r="X263" i="17"/>
  <c r="AA263" i="17"/>
  <c r="W263" i="17"/>
  <c r="F343" i="17"/>
  <c r="F331" i="17" s="1"/>
  <c r="U342" i="17"/>
  <c r="Q343" i="17"/>
  <c r="R343" i="17" s="1"/>
  <c r="R331" i="17" s="1"/>
  <c r="W344" i="17"/>
  <c r="AC558" i="17"/>
  <c r="U483" i="17"/>
  <c r="Y483" i="17" s="1"/>
  <c r="AC446" i="17"/>
  <c r="AC206" i="17"/>
  <c r="S316" i="17"/>
  <c r="R316" i="17"/>
  <c r="AB559" i="17"/>
  <c r="X559" i="17"/>
  <c r="W559" i="17"/>
  <c r="AA559" i="17"/>
  <c r="S277" i="17"/>
  <c r="R277" i="17"/>
  <c r="AC455" i="17"/>
  <c r="AC212" i="17"/>
  <c r="AC234" i="17"/>
  <c r="O470" i="17"/>
  <c r="O471" i="17" s="1"/>
  <c r="O472" i="17" s="1"/>
  <c r="U469" i="17"/>
  <c r="F214" i="17"/>
  <c r="Q237" i="17"/>
  <c r="R237" i="17" s="1"/>
  <c r="M236" i="17"/>
  <c r="M227" i="17" s="1"/>
  <c r="F237" i="17"/>
  <c r="AC310" i="17"/>
  <c r="AC406" i="17"/>
  <c r="AC223" i="17"/>
  <c r="AC257" i="17"/>
  <c r="F249" i="17"/>
  <c r="Q249" i="17"/>
  <c r="AA551" i="17"/>
  <c r="AA539" i="17" s="1"/>
  <c r="X551" i="17"/>
  <c r="X539" i="17" s="1"/>
  <c r="W551" i="17"/>
  <c r="AB551" i="17"/>
  <c r="AB539" i="17" s="1"/>
  <c r="AB274" i="17"/>
  <c r="X274" i="17"/>
  <c r="AA274" i="17"/>
  <c r="W274" i="17"/>
  <c r="O172" i="17"/>
  <c r="U171" i="17"/>
  <c r="AC545" i="17"/>
  <c r="O314" i="17"/>
  <c r="U313" i="17"/>
  <c r="O265" i="17"/>
  <c r="U265" i="17" s="1"/>
  <c r="U264" i="17"/>
  <c r="S535" i="17"/>
  <c r="R535" i="17"/>
  <c r="AA288" i="17"/>
  <c r="W288" i="17"/>
  <c r="X288" i="17"/>
  <c r="AB288" i="17"/>
  <c r="F485" i="17"/>
  <c r="U484" i="17"/>
  <c r="Q485" i="17"/>
  <c r="R485" i="17" s="1"/>
  <c r="F561" i="17"/>
  <c r="U560" i="17"/>
  <c r="Q561" i="17"/>
  <c r="R561" i="17" s="1"/>
  <c r="U330" i="17"/>
  <c r="Y330" i="17" s="1"/>
  <c r="AC211" i="17"/>
  <c r="X456" i="17"/>
  <c r="W456" i="17"/>
  <c r="AB456" i="17"/>
  <c r="AA456" i="17"/>
  <c r="X341" i="17"/>
  <c r="W341" i="17"/>
  <c r="AA341" i="17"/>
  <c r="AB341" i="17"/>
  <c r="Q522" i="17"/>
  <c r="R522" i="17" s="1"/>
  <c r="U521" i="17"/>
  <c r="F513" i="17"/>
  <c r="AB161" i="17"/>
  <c r="X161" i="17"/>
  <c r="AA161" i="17"/>
  <c r="W161" i="17"/>
  <c r="AA430" i="17"/>
  <c r="W430" i="17"/>
  <c r="X430" i="17"/>
  <c r="AB430" i="17"/>
  <c r="AC519" i="17"/>
  <c r="AC160" i="17"/>
  <c r="W292" i="17"/>
  <c r="R226" i="17"/>
  <c r="R214" i="17" s="1"/>
  <c r="S226" i="17"/>
  <c r="S214" i="17" s="1"/>
  <c r="S290" i="17"/>
  <c r="R290" i="17"/>
  <c r="U539" i="17"/>
  <c r="AC262" i="17"/>
  <c r="S248" i="17"/>
  <c r="R248" i="17"/>
  <c r="O276" i="17"/>
  <c r="U275" i="17"/>
  <c r="X170" i="17"/>
  <c r="W170" i="17"/>
  <c r="AB170" i="17"/>
  <c r="AA170" i="17"/>
  <c r="AC364" i="17"/>
  <c r="W357" i="17"/>
  <c r="AC415" i="17"/>
  <c r="AC550" i="17"/>
  <c r="AC518" i="17"/>
  <c r="AA468" i="17"/>
  <c r="X468" i="17"/>
  <c r="AB468" i="17"/>
  <c r="W468" i="17"/>
  <c r="AB520" i="17"/>
  <c r="X520" i="17"/>
  <c r="AA520" i="17"/>
  <c r="W520" i="17"/>
  <c r="AC414" i="17"/>
  <c r="F317" i="17"/>
  <c r="Q317" i="17"/>
  <c r="AC324" i="17"/>
  <c r="Q278" i="17"/>
  <c r="F278" i="17"/>
  <c r="AB497" i="17"/>
  <c r="X497" i="17"/>
  <c r="AA497" i="17"/>
  <c r="W497" i="17"/>
  <c r="AC482" i="17"/>
  <c r="AC168" i="17"/>
  <c r="F458" i="17"/>
  <c r="M457" i="17"/>
  <c r="M448" i="17" s="1"/>
  <c r="Q458" i="17"/>
  <c r="R458" i="17" s="1"/>
  <c r="AC143" i="17"/>
  <c r="AA144" i="17"/>
  <c r="W144" i="17"/>
  <c r="AB144" i="17"/>
  <c r="X144" i="17"/>
  <c r="O146" i="17"/>
  <c r="U145" i="17"/>
  <c r="AA289" i="17" l="1"/>
  <c r="AC395" i="17"/>
  <c r="AC383" i="17" s="1"/>
  <c r="X534" i="17"/>
  <c r="AC246" i="17"/>
  <c r="AA534" i="17"/>
  <c r="Y534" i="17"/>
  <c r="Z534" i="17" s="1"/>
  <c r="AB534" i="17"/>
  <c r="Z292" i="17"/>
  <c r="Z213" i="17"/>
  <c r="Z201" i="17" s="1"/>
  <c r="AC496" i="17"/>
  <c r="Y625" i="17"/>
  <c r="Z625" i="17" s="1"/>
  <c r="Y612" i="17"/>
  <c r="Z612" i="17" s="1"/>
  <c r="Y588" i="17"/>
  <c r="Z588" i="17" s="1"/>
  <c r="Y318" i="17"/>
  <c r="Y313" i="17"/>
  <c r="Z313" i="17" s="1"/>
  <c r="Y469" i="17"/>
  <c r="Z469" i="17" s="1"/>
  <c r="Y417" i="17"/>
  <c r="Z417" i="17" s="1"/>
  <c r="Y498" i="17"/>
  <c r="Z498" i="17" s="1"/>
  <c r="Y575" i="17"/>
  <c r="Z575" i="17" s="1"/>
  <c r="Z408" i="17"/>
  <c r="Z396" i="17" s="1"/>
  <c r="U248" i="17"/>
  <c r="AA248" i="17" s="1"/>
  <c r="Y521" i="17"/>
  <c r="Z521" i="17" s="1"/>
  <c r="Y484" i="17"/>
  <c r="Z484" i="17" s="1"/>
  <c r="Y342" i="17"/>
  <c r="Z342" i="17" s="1"/>
  <c r="AC351" i="17"/>
  <c r="Z447" i="17"/>
  <c r="Z435" i="17" s="1"/>
  <c r="Y265" i="17"/>
  <c r="Y247" i="17"/>
  <c r="Z247" i="17" s="1"/>
  <c r="Y225" i="17"/>
  <c r="Z225" i="17" s="1"/>
  <c r="AC329" i="17"/>
  <c r="Y275" i="17"/>
  <c r="Z275" i="17" s="1"/>
  <c r="Y560" i="17"/>
  <c r="Z560" i="17" s="1"/>
  <c r="Y264" i="17"/>
  <c r="Z264" i="17" s="1"/>
  <c r="AA225" i="17"/>
  <c r="Y380" i="17"/>
  <c r="Z380" i="17" s="1"/>
  <c r="Y289" i="17"/>
  <c r="Z551" i="17"/>
  <c r="Z539" i="17" s="1"/>
  <c r="Z340" i="17"/>
  <c r="AC340" i="17" s="1"/>
  <c r="Y171" i="17"/>
  <c r="Z171" i="17" s="1"/>
  <c r="Y149" i="17"/>
  <c r="Z161" i="17"/>
  <c r="Z149" i="17" s="1"/>
  <c r="Y145" i="17"/>
  <c r="Z145" i="17" s="1"/>
  <c r="W379" i="17"/>
  <c r="AC299" i="17"/>
  <c r="AC292" i="17" s="1"/>
  <c r="AB225" i="17"/>
  <c r="AB247" i="17"/>
  <c r="AC533" i="17"/>
  <c r="AC196" i="17"/>
  <c r="X225" i="17"/>
  <c r="X247" i="17"/>
  <c r="W225" i="17"/>
  <c r="W247" i="17"/>
  <c r="AA379" i="17"/>
  <c r="X289" i="17"/>
  <c r="AB379" i="17"/>
  <c r="AB289" i="17"/>
  <c r="X379" i="17"/>
  <c r="AC224" i="17"/>
  <c r="AA149" i="17"/>
  <c r="AC598" i="17"/>
  <c r="U253" i="17"/>
  <c r="O253" i="17"/>
  <c r="AA574" i="17"/>
  <c r="AB574" i="17"/>
  <c r="F601" i="17"/>
  <c r="Q601" i="17"/>
  <c r="R601" i="17" s="1"/>
  <c r="M600" i="17"/>
  <c r="M591" i="17" s="1"/>
  <c r="Z379" i="17"/>
  <c r="F640" i="17"/>
  <c r="U639" i="17"/>
  <c r="U290" i="17"/>
  <c r="Y290" i="17" s="1"/>
  <c r="Z197" i="17"/>
  <c r="W574" i="17"/>
  <c r="W599" i="17"/>
  <c r="AA599" i="17"/>
  <c r="X599" i="17"/>
  <c r="AB599" i="17"/>
  <c r="Z574" i="17"/>
  <c r="Z330" i="17"/>
  <c r="Z318" i="17" s="1"/>
  <c r="Z483" i="17"/>
  <c r="X574" i="17"/>
  <c r="AC175" i="17"/>
  <c r="AB575" i="17"/>
  <c r="X575" i="17"/>
  <c r="AA575" i="17"/>
  <c r="W575" i="17"/>
  <c r="Q577" i="17"/>
  <c r="R577" i="17" s="1"/>
  <c r="R565" i="17" s="1"/>
  <c r="U576" i="17"/>
  <c r="X625" i="17"/>
  <c r="AB625" i="17"/>
  <c r="W625" i="17"/>
  <c r="AA625" i="17"/>
  <c r="AC624" i="17"/>
  <c r="Q616" i="17"/>
  <c r="R616" i="17" s="1"/>
  <c r="R604" i="17" s="1"/>
  <c r="F616" i="17"/>
  <c r="O627" i="17"/>
  <c r="U626" i="17"/>
  <c r="AB588" i="17"/>
  <c r="W588" i="17"/>
  <c r="X588" i="17"/>
  <c r="AA588" i="17"/>
  <c r="O614" i="17"/>
  <c r="U613" i="17"/>
  <c r="AC587" i="17"/>
  <c r="AC611" i="17"/>
  <c r="U589" i="17"/>
  <c r="O590" i="17"/>
  <c r="W612" i="17"/>
  <c r="X612" i="17"/>
  <c r="AA612" i="17"/>
  <c r="AB612" i="17"/>
  <c r="F471" i="17"/>
  <c r="M470" i="17"/>
  <c r="Q471" i="17"/>
  <c r="R471" i="17" s="1"/>
  <c r="Q382" i="17"/>
  <c r="R382" i="17" s="1"/>
  <c r="R370" i="17" s="1"/>
  <c r="AB380" i="17"/>
  <c r="X380" i="17"/>
  <c r="AA380" i="17"/>
  <c r="W380" i="17"/>
  <c r="AC350" i="17"/>
  <c r="U198" i="17"/>
  <c r="X197" i="17"/>
  <c r="AB197" i="17"/>
  <c r="AA197" i="17"/>
  <c r="W197" i="17"/>
  <c r="S199" i="17"/>
  <c r="R199" i="17"/>
  <c r="Q200" i="17"/>
  <c r="F200" i="17"/>
  <c r="F188" i="17" s="1"/>
  <c r="X149" i="17"/>
  <c r="AC170" i="17"/>
  <c r="AC559" i="17"/>
  <c r="AA275" i="17"/>
  <c r="W275" i="17"/>
  <c r="X275" i="17"/>
  <c r="AB275" i="17"/>
  <c r="AB521" i="17"/>
  <c r="X521" i="17"/>
  <c r="AA521" i="17"/>
  <c r="W521" i="17"/>
  <c r="AC341" i="17"/>
  <c r="AB264" i="17"/>
  <c r="X264" i="17"/>
  <c r="AA264" i="17"/>
  <c r="W264" i="17"/>
  <c r="AC274" i="17"/>
  <c r="F250" i="17"/>
  <c r="M249" i="17"/>
  <c r="M240" i="17" s="1"/>
  <c r="Q250" i="17"/>
  <c r="W469" i="17"/>
  <c r="AB469" i="17"/>
  <c r="AA469" i="17"/>
  <c r="X469" i="17"/>
  <c r="W149" i="17"/>
  <c r="AC235" i="17"/>
  <c r="AB498" i="17"/>
  <c r="X498" i="17"/>
  <c r="W498" i="17"/>
  <c r="AA498" i="17"/>
  <c r="AC416" i="17"/>
  <c r="U432" i="17"/>
  <c r="R422" i="17"/>
  <c r="F305" i="17"/>
  <c r="AC456" i="17"/>
  <c r="F562" i="17"/>
  <c r="F552" i="17" s="1"/>
  <c r="Q562" i="17"/>
  <c r="R562" i="17" s="1"/>
  <c r="M561" i="17"/>
  <c r="M552" i="17" s="1"/>
  <c r="O315" i="17"/>
  <c r="U314" i="17"/>
  <c r="AC312" i="17"/>
  <c r="S536" i="17"/>
  <c r="R536" i="17"/>
  <c r="F266" i="17"/>
  <c r="U457" i="17"/>
  <c r="R278" i="17"/>
  <c r="R266" i="17" s="1"/>
  <c r="S278" i="17"/>
  <c r="S266" i="17" s="1"/>
  <c r="AC357" i="17"/>
  <c r="O277" i="17"/>
  <c r="U276" i="17"/>
  <c r="AC430" i="17"/>
  <c r="U522" i="17"/>
  <c r="Y522" i="17" s="1"/>
  <c r="R513" i="17"/>
  <c r="X484" i="17"/>
  <c r="W484" i="17"/>
  <c r="AB484" i="17"/>
  <c r="AA484" i="17"/>
  <c r="AA265" i="17"/>
  <c r="W265" i="17"/>
  <c r="X265" i="17"/>
  <c r="AB265" i="17"/>
  <c r="AB171" i="17"/>
  <c r="X171" i="17"/>
  <c r="AA171" i="17"/>
  <c r="W171" i="17"/>
  <c r="U236" i="17"/>
  <c r="U226" i="17"/>
  <c r="Y226" i="17" s="1"/>
  <c r="O473" i="17"/>
  <c r="AB483" i="17"/>
  <c r="AA483" i="17"/>
  <c r="X483" i="17"/>
  <c r="W483" i="17"/>
  <c r="AB342" i="17"/>
  <c r="AA342" i="17"/>
  <c r="X342" i="17"/>
  <c r="W342" i="17"/>
  <c r="AC263" i="17"/>
  <c r="AB417" i="17"/>
  <c r="X417" i="17"/>
  <c r="AA417" i="17"/>
  <c r="W417" i="17"/>
  <c r="U499" i="17"/>
  <c r="Y499" i="17" s="1"/>
  <c r="Y487" i="17" s="1"/>
  <c r="W396" i="17"/>
  <c r="U535" i="17"/>
  <c r="Y535" i="17" s="1"/>
  <c r="AC468" i="17"/>
  <c r="AC288" i="17"/>
  <c r="R291" i="17"/>
  <c r="R279" i="17" s="1"/>
  <c r="S291" i="17"/>
  <c r="S279" i="17" s="1"/>
  <c r="S317" i="17"/>
  <c r="S305" i="17" s="1"/>
  <c r="R317" i="17"/>
  <c r="R305" i="17" s="1"/>
  <c r="Q459" i="17"/>
  <c r="R459" i="17" s="1"/>
  <c r="U458" i="17"/>
  <c r="F448" i="17"/>
  <c r="AC497" i="17"/>
  <c r="AC520" i="17"/>
  <c r="AB149" i="17"/>
  <c r="AB330" i="17"/>
  <c r="AB318" i="17" s="1"/>
  <c r="W330" i="17"/>
  <c r="AA330" i="17"/>
  <c r="AA318" i="17" s="1"/>
  <c r="X330" i="17"/>
  <c r="X318" i="17" s="1"/>
  <c r="U318" i="17"/>
  <c r="AB560" i="17"/>
  <c r="AA560" i="17"/>
  <c r="W560" i="17"/>
  <c r="X560" i="17"/>
  <c r="F486" i="17"/>
  <c r="U485" i="17"/>
  <c r="Q486" i="17"/>
  <c r="R486" i="17" s="1"/>
  <c r="R474" i="17" s="1"/>
  <c r="X313" i="17"/>
  <c r="AB313" i="17"/>
  <c r="AA313" i="17"/>
  <c r="W313" i="17"/>
  <c r="O173" i="17"/>
  <c r="U172" i="17"/>
  <c r="W539" i="17"/>
  <c r="S249" i="17"/>
  <c r="R249" i="17"/>
  <c r="F238" i="17"/>
  <c r="U237" i="17"/>
  <c r="Q238" i="17"/>
  <c r="R238" i="17" s="1"/>
  <c r="U343" i="17"/>
  <c r="Y343" i="17" s="1"/>
  <c r="AC429" i="17"/>
  <c r="F419" i="17"/>
  <c r="M418" i="17"/>
  <c r="M409" i="17" s="1"/>
  <c r="Q419" i="17"/>
  <c r="R419" i="17" s="1"/>
  <c r="F537" i="17"/>
  <c r="Q537" i="17"/>
  <c r="U431" i="17"/>
  <c r="Y431" i="17" s="1"/>
  <c r="O147" i="17"/>
  <c r="U146" i="17"/>
  <c r="AB145" i="17"/>
  <c r="X145" i="17"/>
  <c r="AA145" i="17"/>
  <c r="W145" i="17"/>
  <c r="AC144" i="17"/>
  <c r="AC534" i="17" l="1"/>
  <c r="AB248" i="17"/>
  <c r="Y331" i="17"/>
  <c r="AC408" i="17"/>
  <c r="AC396" i="17" s="1"/>
  <c r="Y214" i="17"/>
  <c r="AC447" i="17"/>
  <c r="AC435" i="17" s="1"/>
  <c r="W248" i="17"/>
  <c r="AC344" i="17"/>
  <c r="AC161" i="17"/>
  <c r="AC225" i="17"/>
  <c r="X248" i="17"/>
  <c r="Y253" i="17"/>
  <c r="AC213" i="17"/>
  <c r="AC201" i="17" s="1"/>
  <c r="Y626" i="17"/>
  <c r="Z626" i="17" s="1"/>
  <c r="Y613" i="17"/>
  <c r="Z613" i="17" s="1"/>
  <c r="U600" i="17"/>
  <c r="Y600" i="17" s="1"/>
  <c r="Z600" i="17" s="1"/>
  <c r="Y589" i="17"/>
  <c r="Z589" i="17" s="1"/>
  <c r="AC247" i="17"/>
  <c r="Y457" i="17"/>
  <c r="Z457" i="17" s="1"/>
  <c r="Y458" i="17"/>
  <c r="Z458" i="17" s="1"/>
  <c r="Y513" i="17"/>
  <c r="Y314" i="17"/>
  <c r="Z314" i="17" s="1"/>
  <c r="Y432" i="17"/>
  <c r="Y422" i="17" s="1"/>
  <c r="Y198" i="17"/>
  <c r="Z198" i="17" s="1"/>
  <c r="AC551" i="17"/>
  <c r="AC539" i="17" s="1"/>
  <c r="Y485" i="17"/>
  <c r="Z485" i="17" s="1"/>
  <c r="Y248" i="17"/>
  <c r="Z248" i="17" s="1"/>
  <c r="AC248" i="17" s="1"/>
  <c r="Y576" i="17"/>
  <c r="Z576" i="17" s="1"/>
  <c r="Y237" i="17"/>
  <c r="Z237" i="17" s="1"/>
  <c r="Y236" i="17"/>
  <c r="Z236" i="17" s="1"/>
  <c r="Y276" i="17"/>
  <c r="Z276" i="17" s="1"/>
  <c r="Z289" i="17"/>
  <c r="AC289" i="17" s="1"/>
  <c r="Z265" i="17"/>
  <c r="Z253" i="17" s="1"/>
  <c r="Y172" i="17"/>
  <c r="Z172" i="17" s="1"/>
  <c r="Y146" i="17"/>
  <c r="Z146" i="17" s="1"/>
  <c r="AA290" i="17"/>
  <c r="AB290" i="17"/>
  <c r="AC574" i="17"/>
  <c r="X253" i="17"/>
  <c r="W290" i="17"/>
  <c r="X290" i="17"/>
  <c r="U291" i="17"/>
  <c r="X291" i="17" s="1"/>
  <c r="AB253" i="17"/>
  <c r="U199" i="17"/>
  <c r="W199" i="17" s="1"/>
  <c r="Z290" i="17"/>
  <c r="Z499" i="17"/>
  <c r="Z487" i="17" s="1"/>
  <c r="Z522" i="17"/>
  <c r="Z513" i="17" s="1"/>
  <c r="U601" i="17"/>
  <c r="Y601" i="17" s="1"/>
  <c r="F602" i="17"/>
  <c r="Q602" i="17"/>
  <c r="R602" i="17" s="1"/>
  <c r="Z535" i="17"/>
  <c r="Z226" i="17"/>
  <c r="Z214" i="17" s="1"/>
  <c r="U561" i="17"/>
  <c r="Z599" i="17"/>
  <c r="AC599" i="17" s="1"/>
  <c r="Z431" i="17"/>
  <c r="Z343" i="17"/>
  <c r="Z331" i="17" s="1"/>
  <c r="F641" i="17"/>
  <c r="U640" i="17"/>
  <c r="AC157" i="17"/>
  <c r="AC521" i="17"/>
  <c r="AB576" i="17"/>
  <c r="X576" i="17"/>
  <c r="AA576" i="17"/>
  <c r="W576" i="17"/>
  <c r="AC575" i="17"/>
  <c r="U577" i="17"/>
  <c r="Y577" i="17" s="1"/>
  <c r="F565" i="17"/>
  <c r="AC612" i="17"/>
  <c r="W626" i="17"/>
  <c r="X626" i="17"/>
  <c r="AA626" i="17"/>
  <c r="AB626" i="17"/>
  <c r="X613" i="17"/>
  <c r="AB613" i="17"/>
  <c r="W613" i="17"/>
  <c r="AA613" i="17"/>
  <c r="AC588" i="17"/>
  <c r="O628" i="17"/>
  <c r="U627" i="17"/>
  <c r="AC625" i="17"/>
  <c r="X589" i="17"/>
  <c r="AB589" i="17"/>
  <c r="W589" i="17"/>
  <c r="AA589" i="17"/>
  <c r="U590" i="17"/>
  <c r="O578" i="17"/>
  <c r="O615" i="17"/>
  <c r="U614" i="17"/>
  <c r="F604" i="17"/>
  <c r="U536" i="17"/>
  <c r="AB536" i="17" s="1"/>
  <c r="AC484" i="17"/>
  <c r="M461" i="17"/>
  <c r="U470" i="17"/>
  <c r="Q472" i="17"/>
  <c r="R472" i="17" s="1"/>
  <c r="U471" i="17"/>
  <c r="F461" i="17"/>
  <c r="U382" i="17"/>
  <c r="Y382" i="17" s="1"/>
  <c r="F370" i="17"/>
  <c r="AC380" i="17"/>
  <c r="AC379" i="17"/>
  <c r="AA253" i="17"/>
  <c r="U249" i="17"/>
  <c r="R200" i="17"/>
  <c r="S200" i="17"/>
  <c r="S188" i="17" s="1"/>
  <c r="AC197" i="17"/>
  <c r="AA198" i="17"/>
  <c r="X198" i="17"/>
  <c r="AB198" i="17"/>
  <c r="W198" i="17"/>
  <c r="U486" i="17"/>
  <c r="Y486" i="17" s="1"/>
  <c r="Y474" i="17" s="1"/>
  <c r="F474" i="17"/>
  <c r="Q251" i="17"/>
  <c r="F240" i="17"/>
  <c r="S537" i="17"/>
  <c r="R537" i="17"/>
  <c r="X343" i="17"/>
  <c r="X331" i="17" s="1"/>
  <c r="W343" i="17"/>
  <c r="W331" i="17" s="1"/>
  <c r="AB343" i="17"/>
  <c r="AB331" i="17" s="1"/>
  <c r="AA343" i="17"/>
  <c r="AA331" i="17" s="1"/>
  <c r="U331" i="17"/>
  <c r="AB237" i="17"/>
  <c r="X237" i="17"/>
  <c r="AA237" i="17"/>
  <c r="W237" i="17"/>
  <c r="AC313" i="17"/>
  <c r="AA458" i="17"/>
  <c r="W458" i="17"/>
  <c r="X458" i="17"/>
  <c r="AB458" i="17"/>
  <c r="AC483" i="17"/>
  <c r="AB226" i="17"/>
  <c r="AB214" i="17" s="1"/>
  <c r="X226" i="17"/>
  <c r="X214" i="17" s="1"/>
  <c r="AA226" i="17"/>
  <c r="AA214" i="17" s="1"/>
  <c r="W226" i="17"/>
  <c r="U214" i="17"/>
  <c r="AC171" i="17"/>
  <c r="O278" i="17"/>
  <c r="U277" i="17"/>
  <c r="O316" i="17"/>
  <c r="U315" i="17"/>
  <c r="AC498" i="17"/>
  <c r="S250" i="17"/>
  <c r="R250" i="17"/>
  <c r="U173" i="17"/>
  <c r="O174" i="17"/>
  <c r="U473" i="17"/>
  <c r="Y473" i="17" s="1"/>
  <c r="O461" i="17"/>
  <c r="W253" i="17"/>
  <c r="W318" i="17"/>
  <c r="U459" i="17"/>
  <c r="Y459" i="17" s="1"/>
  <c r="R448" i="17"/>
  <c r="AB499" i="17"/>
  <c r="AB487" i="17" s="1"/>
  <c r="X499" i="17"/>
  <c r="X487" i="17" s="1"/>
  <c r="AA499" i="17"/>
  <c r="AA487" i="17" s="1"/>
  <c r="W499" i="17"/>
  <c r="AC417" i="17"/>
  <c r="AC342" i="17"/>
  <c r="AB236" i="17"/>
  <c r="X236" i="17"/>
  <c r="AA236" i="17"/>
  <c r="W236" i="17"/>
  <c r="AB522" i="17"/>
  <c r="AB513" i="17" s="1"/>
  <c r="X522" i="17"/>
  <c r="X513" i="17" s="1"/>
  <c r="AA522" i="17"/>
  <c r="AA513" i="17" s="1"/>
  <c r="W522" i="17"/>
  <c r="U513" i="17"/>
  <c r="AB457" i="17"/>
  <c r="AA457" i="17"/>
  <c r="X457" i="17"/>
  <c r="W457" i="17"/>
  <c r="Q563" i="17"/>
  <c r="R563" i="17" s="1"/>
  <c r="U562" i="17"/>
  <c r="AB432" i="17"/>
  <c r="X432" i="17"/>
  <c r="AA432" i="17"/>
  <c r="W432" i="17"/>
  <c r="AA431" i="17"/>
  <c r="W431" i="17"/>
  <c r="AB431" i="17"/>
  <c r="X431" i="17"/>
  <c r="U422" i="17"/>
  <c r="F420" i="17"/>
  <c r="U419" i="17"/>
  <c r="Q420" i="17"/>
  <c r="R420" i="17" s="1"/>
  <c r="X276" i="17"/>
  <c r="AA276" i="17"/>
  <c r="W276" i="17"/>
  <c r="AB276" i="17"/>
  <c r="AB314" i="17"/>
  <c r="X314" i="17"/>
  <c r="AA314" i="17"/>
  <c r="W314" i="17"/>
  <c r="U238" i="17"/>
  <c r="Q239" i="17"/>
  <c r="R239" i="17" s="1"/>
  <c r="F538" i="17"/>
  <c r="Q538" i="17"/>
  <c r="U418" i="17"/>
  <c r="F227" i="17"/>
  <c r="AA172" i="17"/>
  <c r="W172" i="17"/>
  <c r="AB172" i="17"/>
  <c r="X172" i="17"/>
  <c r="AB485" i="17"/>
  <c r="AA485" i="17"/>
  <c r="W485" i="17"/>
  <c r="X485" i="17"/>
  <c r="AC560" i="17"/>
  <c r="X535" i="17"/>
  <c r="W535" i="17"/>
  <c r="AA535" i="17"/>
  <c r="AB535" i="17"/>
  <c r="U487" i="17"/>
  <c r="AC469" i="17"/>
  <c r="AC264" i="17"/>
  <c r="AC275" i="17"/>
  <c r="AC145" i="17"/>
  <c r="AA146" i="17"/>
  <c r="W146" i="17"/>
  <c r="AB146" i="17"/>
  <c r="X146" i="17"/>
  <c r="O148" i="17"/>
  <c r="U147" i="17"/>
  <c r="L46" i="27"/>
  <c r="Y590" i="17" l="1"/>
  <c r="U578" i="17"/>
  <c r="AB600" i="17"/>
  <c r="AC149" i="17"/>
  <c r="Y565" i="17"/>
  <c r="AA600" i="17"/>
  <c r="X600" i="17"/>
  <c r="W600" i="17"/>
  <c r="AA536" i="17"/>
  <c r="Y578" i="17"/>
  <c r="Z432" i="17"/>
  <c r="Z422" i="17" s="1"/>
  <c r="AC265" i="17"/>
  <c r="AC253" i="17" s="1"/>
  <c r="Y627" i="17"/>
  <c r="Z627" i="17" s="1"/>
  <c r="Y614" i="17"/>
  <c r="Z614" i="17" s="1"/>
  <c r="Y562" i="17"/>
  <c r="Z562" i="17" s="1"/>
  <c r="Y249" i="17"/>
  <c r="Z249" i="17" s="1"/>
  <c r="Y561" i="17"/>
  <c r="Z561" i="17" s="1"/>
  <c r="X279" i="17"/>
  <c r="Y199" i="17"/>
  <c r="Z199" i="17" s="1"/>
  <c r="Y418" i="17"/>
  <c r="Z418" i="17" s="1"/>
  <c r="Y238" i="17"/>
  <c r="Z238" i="17" s="1"/>
  <c r="Y448" i="17"/>
  <c r="X199" i="17"/>
  <c r="Y470" i="17"/>
  <c r="Z470" i="17" s="1"/>
  <c r="Y419" i="17"/>
  <c r="Z419" i="17" s="1"/>
  <c r="Y471" i="17"/>
  <c r="Z471" i="17" s="1"/>
  <c r="Y315" i="17"/>
  <c r="Z315" i="17" s="1"/>
  <c r="Y536" i="17"/>
  <c r="Z536" i="17" s="1"/>
  <c r="Y277" i="17"/>
  <c r="Z277" i="17" s="1"/>
  <c r="AB199" i="17"/>
  <c r="AA291" i="17"/>
  <c r="AA279" i="17" s="1"/>
  <c r="Y291" i="17"/>
  <c r="Y279" i="17" s="1"/>
  <c r="Y173" i="17"/>
  <c r="Z173" i="17" s="1"/>
  <c r="Y147" i="17"/>
  <c r="Z147" i="17" s="1"/>
  <c r="AA249" i="17"/>
  <c r="W536" i="17"/>
  <c r="X249" i="17"/>
  <c r="X536" i="17"/>
  <c r="AC290" i="17"/>
  <c r="AB291" i="17"/>
  <c r="AB279" i="17" s="1"/>
  <c r="AA561" i="17"/>
  <c r="W291" i="17"/>
  <c r="W279" i="17" s="1"/>
  <c r="U279" i="17"/>
  <c r="AA199" i="17"/>
  <c r="AB249" i="17"/>
  <c r="W249" i="17"/>
  <c r="AB561" i="17"/>
  <c r="W561" i="17"/>
  <c r="X561" i="17"/>
  <c r="Z382" i="17"/>
  <c r="Z577" i="17"/>
  <c r="Z565" i="17" s="1"/>
  <c r="U537" i="17"/>
  <c r="Z590" i="17"/>
  <c r="Z578" i="17" s="1"/>
  <c r="U641" i="17"/>
  <c r="F642" i="17"/>
  <c r="U448" i="17"/>
  <c r="Z473" i="17"/>
  <c r="Z486" i="17"/>
  <c r="Z474" i="17" s="1"/>
  <c r="Q603" i="17"/>
  <c r="R603" i="17" s="1"/>
  <c r="R591" i="17" s="1"/>
  <c r="F603" i="17"/>
  <c r="U602" i="17"/>
  <c r="Y602" i="17" s="1"/>
  <c r="Z601" i="17"/>
  <c r="AA601" i="17"/>
  <c r="X601" i="17"/>
  <c r="AB601" i="17"/>
  <c r="W601" i="17"/>
  <c r="AC613" i="17"/>
  <c r="AC330" i="17"/>
  <c r="AC318" i="17" s="1"/>
  <c r="AB577" i="17"/>
  <c r="AB565" i="17" s="1"/>
  <c r="X577" i="17"/>
  <c r="X565" i="17" s="1"/>
  <c r="AA577" i="17"/>
  <c r="AA565" i="17" s="1"/>
  <c r="W577" i="17"/>
  <c r="U565" i="17"/>
  <c r="AC576" i="17"/>
  <c r="O616" i="17"/>
  <c r="U615" i="17"/>
  <c r="W627" i="17"/>
  <c r="AA627" i="17"/>
  <c r="X627" i="17"/>
  <c r="AB627" i="17"/>
  <c r="O629" i="17"/>
  <c r="U628" i="17"/>
  <c r="AC626" i="17"/>
  <c r="X614" i="17"/>
  <c r="AB614" i="17"/>
  <c r="AA614" i="17"/>
  <c r="W614" i="17"/>
  <c r="W590" i="17"/>
  <c r="AA590" i="17"/>
  <c r="AA578" i="17" s="1"/>
  <c r="X590" i="17"/>
  <c r="X578" i="17" s="1"/>
  <c r="AB590" i="17"/>
  <c r="AB578" i="17" s="1"/>
  <c r="AC589" i="17"/>
  <c r="X471" i="17"/>
  <c r="W471" i="17"/>
  <c r="AA471" i="17"/>
  <c r="AB471" i="17"/>
  <c r="R461" i="17"/>
  <c r="U472" i="17"/>
  <c r="X470" i="17"/>
  <c r="AA470" i="17"/>
  <c r="AB470" i="17"/>
  <c r="W470" i="17"/>
  <c r="X382" i="17"/>
  <c r="W382" i="17"/>
  <c r="AA382" i="17"/>
  <c r="AB382" i="17"/>
  <c r="U250" i="17"/>
  <c r="R188" i="17"/>
  <c r="U200" i="17"/>
  <c r="Y200" i="17" s="1"/>
  <c r="AC198" i="17"/>
  <c r="U239" i="17"/>
  <c r="Y239" i="17" s="1"/>
  <c r="R227" i="17"/>
  <c r="W422" i="17"/>
  <c r="W214" i="17"/>
  <c r="X486" i="17"/>
  <c r="X474" i="17" s="1"/>
  <c r="W486" i="17"/>
  <c r="AA486" i="17"/>
  <c r="AA474" i="17" s="1"/>
  <c r="AB486" i="17"/>
  <c r="AB474" i="17" s="1"/>
  <c r="U474" i="17"/>
  <c r="AC535" i="17"/>
  <c r="AC172" i="17"/>
  <c r="S538" i="17"/>
  <c r="S526" i="17" s="1"/>
  <c r="R538" i="17"/>
  <c r="R526" i="17" s="1"/>
  <c r="X238" i="17"/>
  <c r="AA238" i="17"/>
  <c r="W238" i="17"/>
  <c r="AB238" i="17"/>
  <c r="AC314" i="17"/>
  <c r="AC431" i="17"/>
  <c r="AA422" i="17"/>
  <c r="U563" i="17"/>
  <c r="Y563" i="17" s="1"/>
  <c r="R552" i="17"/>
  <c r="AC236" i="17"/>
  <c r="W487" i="17"/>
  <c r="AB173" i="17"/>
  <c r="AA173" i="17"/>
  <c r="X173" i="17"/>
  <c r="W173" i="17"/>
  <c r="O317" i="17"/>
  <c r="U316" i="17"/>
  <c r="AC458" i="17"/>
  <c r="AA418" i="17"/>
  <c r="W418" i="17"/>
  <c r="X418" i="17"/>
  <c r="AB418" i="17"/>
  <c r="AA562" i="17"/>
  <c r="W562" i="17"/>
  <c r="AB562" i="17"/>
  <c r="X562" i="17"/>
  <c r="AC485" i="17"/>
  <c r="AA419" i="17"/>
  <c r="W419" i="17"/>
  <c r="AB419" i="17"/>
  <c r="X419" i="17"/>
  <c r="X422" i="17"/>
  <c r="AC522" i="17"/>
  <c r="AC513" i="17" s="1"/>
  <c r="W513" i="17"/>
  <c r="AC237" i="17"/>
  <c r="U174" i="17"/>
  <c r="O162" i="17"/>
  <c r="AA315" i="17"/>
  <c r="W315" i="17"/>
  <c r="X315" i="17"/>
  <c r="AB315" i="17"/>
  <c r="O266" i="17"/>
  <c r="U278" i="17"/>
  <c r="F526" i="17"/>
  <c r="AC276" i="17"/>
  <c r="F421" i="17"/>
  <c r="U420" i="17"/>
  <c r="Q421" i="17"/>
  <c r="R421" i="17" s="1"/>
  <c r="R409" i="17" s="1"/>
  <c r="AB422" i="17"/>
  <c r="AC457" i="17"/>
  <c r="AB459" i="17"/>
  <c r="AB448" i="17" s="1"/>
  <c r="X459" i="17"/>
  <c r="X448" i="17" s="1"/>
  <c r="AA459" i="17"/>
  <c r="AA448" i="17" s="1"/>
  <c r="W459" i="17"/>
  <c r="AB473" i="17"/>
  <c r="X473" i="17"/>
  <c r="W473" i="17"/>
  <c r="AA473" i="17"/>
  <c r="AB277" i="17"/>
  <c r="X277" i="17"/>
  <c r="AA277" i="17"/>
  <c r="W277" i="17"/>
  <c r="S251" i="17"/>
  <c r="S240" i="17" s="1"/>
  <c r="R251" i="17"/>
  <c r="W147" i="17"/>
  <c r="AB147" i="17"/>
  <c r="X147" i="17"/>
  <c r="AA147" i="17"/>
  <c r="U148" i="17"/>
  <c r="Y148" i="17" s="1"/>
  <c r="O136" i="17"/>
  <c r="AC146" i="17"/>
  <c r="AC600" i="17" l="1"/>
  <c r="E46" i="4"/>
  <c r="E46" i="27"/>
  <c r="Y174" i="17"/>
  <c r="Y162" i="17" s="1"/>
  <c r="U162" i="17"/>
  <c r="Y188" i="17"/>
  <c r="Y227" i="17"/>
  <c r="Y136" i="17"/>
  <c r="AC199" i="17"/>
  <c r="AC432" i="17"/>
  <c r="AC422" i="17" s="1"/>
  <c r="Y552" i="17"/>
  <c r="Z291" i="17"/>
  <c r="Z279" i="17" s="1"/>
  <c r="Y628" i="17"/>
  <c r="Z628" i="17" s="1"/>
  <c r="Y615" i="17"/>
  <c r="Z615" i="17" s="1"/>
  <c r="Y472" i="17"/>
  <c r="Y461" i="17" s="1"/>
  <c r="Y537" i="17"/>
  <c r="Z537" i="17" s="1"/>
  <c r="Y250" i="17"/>
  <c r="Z250" i="17" s="1"/>
  <c r="Y316" i="17"/>
  <c r="Z316" i="17" s="1"/>
  <c r="Y420" i="17"/>
  <c r="Z420" i="17" s="1"/>
  <c r="Y278" i="17"/>
  <c r="Y266" i="17" s="1"/>
  <c r="AB537" i="17"/>
  <c r="AC249" i="17"/>
  <c r="AC536" i="17"/>
  <c r="U552" i="17"/>
  <c r="AB250" i="17"/>
  <c r="AC561" i="17"/>
  <c r="W537" i="17"/>
  <c r="AC601" i="17"/>
  <c r="X537" i="17"/>
  <c r="AA537" i="17"/>
  <c r="W250" i="17"/>
  <c r="Z200" i="17"/>
  <c r="Z188" i="17" s="1"/>
  <c r="Z563" i="17"/>
  <c r="Z552" i="17" s="1"/>
  <c r="AC627" i="17"/>
  <c r="U642" i="17"/>
  <c r="U630" i="17" s="1"/>
  <c r="F630" i="17"/>
  <c r="Z239" i="17"/>
  <c r="Z227" i="17" s="1"/>
  <c r="Z602" i="17"/>
  <c r="W602" i="17"/>
  <c r="AA602" i="17"/>
  <c r="X602" i="17"/>
  <c r="AB602" i="17"/>
  <c r="Z459" i="17"/>
  <c r="Z448" i="17" s="1"/>
  <c r="Z148" i="17"/>
  <c r="Z136" i="17" s="1"/>
  <c r="AA250" i="17"/>
  <c r="U603" i="17"/>
  <c r="Y603" i="17" s="1"/>
  <c r="Y591" i="17" s="1"/>
  <c r="F591" i="17"/>
  <c r="AC470" i="17"/>
  <c r="W565" i="17"/>
  <c r="W578" i="17"/>
  <c r="U629" i="17"/>
  <c r="Y629" i="17" s="1"/>
  <c r="Y617" i="17" s="1"/>
  <c r="O617" i="17"/>
  <c r="AC614" i="17"/>
  <c r="X615" i="17"/>
  <c r="AB615" i="17"/>
  <c r="AA615" i="17"/>
  <c r="W615" i="17"/>
  <c r="X628" i="17"/>
  <c r="AB628" i="17"/>
  <c r="W628" i="17"/>
  <c r="AA628" i="17"/>
  <c r="O604" i="17"/>
  <c r="U616" i="17"/>
  <c r="Y616" i="17" s="1"/>
  <c r="AC499" i="17"/>
  <c r="AC487" i="17" s="1"/>
  <c r="AC471" i="17"/>
  <c r="AB472" i="17"/>
  <c r="AB461" i="17" s="1"/>
  <c r="AA472" i="17"/>
  <c r="AA461" i="17" s="1"/>
  <c r="X472" i="17"/>
  <c r="X461" i="17" s="1"/>
  <c r="W472" i="17"/>
  <c r="W461" i="17" s="1"/>
  <c r="U461" i="17"/>
  <c r="AC382" i="17"/>
  <c r="AC343" i="17"/>
  <c r="AC331" i="17" s="1"/>
  <c r="X250" i="17"/>
  <c r="AB200" i="17"/>
  <c r="AB188" i="17" s="1"/>
  <c r="X200" i="17"/>
  <c r="X188" i="17" s="1"/>
  <c r="U188" i="17"/>
  <c r="AA200" i="17"/>
  <c r="AA188" i="17" s="1"/>
  <c r="W200" i="17"/>
  <c r="AB278" i="17"/>
  <c r="AB266" i="17" s="1"/>
  <c r="X278" i="17"/>
  <c r="X266" i="17" s="1"/>
  <c r="AA278" i="17"/>
  <c r="AA266" i="17" s="1"/>
  <c r="W278" i="17"/>
  <c r="U266" i="17"/>
  <c r="AC473" i="17"/>
  <c r="U538" i="17"/>
  <c r="Y538" i="17" s="1"/>
  <c r="AC315" i="17"/>
  <c r="AC419" i="17"/>
  <c r="AC418" i="17"/>
  <c r="U317" i="17"/>
  <c r="Y317" i="17" s="1"/>
  <c r="O305" i="17"/>
  <c r="AC226" i="17"/>
  <c r="AC214" i="17" s="1"/>
  <c r="U421" i="17"/>
  <c r="Y421" i="17" s="1"/>
  <c r="F409" i="17"/>
  <c r="X316" i="17"/>
  <c r="AA316" i="17"/>
  <c r="W316" i="17"/>
  <c r="AB316" i="17"/>
  <c r="AC277" i="17"/>
  <c r="AC562" i="17"/>
  <c r="AA239" i="17"/>
  <c r="AA227" i="17" s="1"/>
  <c r="W239" i="17"/>
  <c r="AB239" i="17"/>
  <c r="AB227" i="17" s="1"/>
  <c r="X239" i="17"/>
  <c r="X227" i="17" s="1"/>
  <c r="U227" i="17"/>
  <c r="AB174" i="17"/>
  <c r="AB162" i="17" s="1"/>
  <c r="X174" i="17"/>
  <c r="X162" i="17" s="1"/>
  <c r="AA174" i="17"/>
  <c r="AA162" i="17" s="1"/>
  <c r="W174" i="17"/>
  <c r="U251" i="17"/>
  <c r="Y251" i="17" s="1"/>
  <c r="R240" i="17"/>
  <c r="W448" i="17"/>
  <c r="AA420" i="17"/>
  <c r="W420" i="17"/>
  <c r="X420" i="17"/>
  <c r="AB420" i="17"/>
  <c r="AC173" i="17"/>
  <c r="AB563" i="17"/>
  <c r="AB552" i="17" s="1"/>
  <c r="X563" i="17"/>
  <c r="X552" i="17" s="1"/>
  <c r="AA563" i="17"/>
  <c r="AA552" i="17" s="1"/>
  <c r="W563" i="17"/>
  <c r="AC238" i="17"/>
  <c r="AC486" i="17"/>
  <c r="AC474" i="17" s="1"/>
  <c r="W474" i="17"/>
  <c r="AC147" i="17"/>
  <c r="AB148" i="17"/>
  <c r="AB136" i="17" s="1"/>
  <c r="X148" i="17"/>
  <c r="X136" i="17" s="1"/>
  <c r="AA148" i="17"/>
  <c r="AA136" i="17" s="1"/>
  <c r="W148" i="17"/>
  <c r="U136" i="17"/>
  <c r="Z174" i="17" l="1"/>
  <c r="Z162" i="17" s="1"/>
  <c r="Y240" i="17"/>
  <c r="Y604" i="17"/>
  <c r="Y305" i="17"/>
  <c r="AC291" i="17"/>
  <c r="AC279" i="17" s="1"/>
  <c r="Y526" i="17"/>
  <c r="Y409" i="17"/>
  <c r="Z278" i="17"/>
  <c r="Z266" i="17" s="1"/>
  <c r="Z472" i="17"/>
  <c r="Z461" i="17" s="1"/>
  <c r="AC250" i="17"/>
  <c r="AC537" i="17"/>
  <c r="AC459" i="17"/>
  <c r="AC448" i="17" s="1"/>
  <c r="Z251" i="17"/>
  <c r="Z240" i="17" s="1"/>
  <c r="AC602" i="17"/>
  <c r="Z629" i="17"/>
  <c r="Z617" i="17" s="1"/>
  <c r="AA603" i="17"/>
  <c r="AA591" i="17" s="1"/>
  <c r="X603" i="17"/>
  <c r="X591" i="17" s="1"/>
  <c r="AB603" i="17"/>
  <c r="AB591" i="17" s="1"/>
  <c r="W603" i="17"/>
  <c r="U591" i="17"/>
  <c r="Z421" i="17"/>
  <c r="Z409" i="17" s="1"/>
  <c r="Z317" i="17"/>
  <c r="Z305" i="17" s="1"/>
  <c r="Z538" i="17"/>
  <c r="Z526" i="17" s="1"/>
  <c r="Z616" i="17"/>
  <c r="Z604" i="17" s="1"/>
  <c r="AC577" i="17"/>
  <c r="AC565" i="17" s="1"/>
  <c r="AA629" i="17"/>
  <c r="AA617" i="17" s="1"/>
  <c r="W629" i="17"/>
  <c r="X629" i="17"/>
  <c r="X617" i="17" s="1"/>
  <c r="AB629" i="17"/>
  <c r="AB617" i="17" s="1"/>
  <c r="U617" i="17"/>
  <c r="AC628" i="17"/>
  <c r="AC615" i="17"/>
  <c r="X616" i="17"/>
  <c r="X604" i="17" s="1"/>
  <c r="AB616" i="17"/>
  <c r="AB604" i="17" s="1"/>
  <c r="AA616" i="17"/>
  <c r="AA604" i="17" s="1"/>
  <c r="W616" i="17"/>
  <c r="U604" i="17"/>
  <c r="AC590" i="17"/>
  <c r="AC578" i="17" s="1"/>
  <c r="AC420" i="17"/>
  <c r="AC316" i="17"/>
  <c r="W188" i="17"/>
  <c r="W227" i="17"/>
  <c r="W251" i="17"/>
  <c r="X251" i="17"/>
  <c r="X240" i="17" s="1"/>
  <c r="AB251" i="17"/>
  <c r="AB240" i="17" s="1"/>
  <c r="AA251" i="17"/>
  <c r="AA240" i="17" s="1"/>
  <c r="U240" i="17"/>
  <c r="AA421" i="17"/>
  <c r="AA409" i="17" s="1"/>
  <c r="W421" i="17"/>
  <c r="AB421" i="17"/>
  <c r="AB409" i="17" s="1"/>
  <c r="X421" i="17"/>
  <c r="X409" i="17" s="1"/>
  <c r="U409" i="17"/>
  <c r="W266" i="17"/>
  <c r="W552" i="17"/>
  <c r="AC174" i="17"/>
  <c r="AC162" i="17" s="1"/>
  <c r="W162" i="17"/>
  <c r="AB317" i="17"/>
  <c r="AB305" i="17" s="1"/>
  <c r="X317" i="17"/>
  <c r="X305" i="17" s="1"/>
  <c r="AA317" i="17"/>
  <c r="AA305" i="17" s="1"/>
  <c r="W317" i="17"/>
  <c r="U305" i="17"/>
  <c r="AB538" i="17"/>
  <c r="AB526" i="17" s="1"/>
  <c r="AA538" i="17"/>
  <c r="AA526" i="17" s="1"/>
  <c r="W538" i="17"/>
  <c r="X538" i="17"/>
  <c r="X526" i="17" s="1"/>
  <c r="U526" i="17"/>
  <c r="W136" i="17"/>
  <c r="AC472" i="17" l="1"/>
  <c r="AC461" i="17" s="1"/>
  <c r="W591" i="17"/>
  <c r="Z603" i="17"/>
  <c r="Z591" i="17" s="1"/>
  <c r="W617" i="17"/>
  <c r="AC616" i="17"/>
  <c r="AC604" i="17" s="1"/>
  <c r="W604" i="17"/>
  <c r="AC563" i="17"/>
  <c r="AC552" i="17" s="1"/>
  <c r="AC200" i="17"/>
  <c r="AC188" i="17" s="1"/>
  <c r="W305" i="17"/>
  <c r="AC239" i="17"/>
  <c r="AC227" i="17" s="1"/>
  <c r="W240" i="17"/>
  <c r="W409" i="17"/>
  <c r="W526" i="17"/>
  <c r="AC278" i="17"/>
  <c r="AC266" i="17" s="1"/>
  <c r="AC148" i="17"/>
  <c r="AC136" i="17" s="1"/>
  <c r="AC603" i="17" l="1"/>
  <c r="AC591" i="17" s="1"/>
  <c r="AC421" i="17"/>
  <c r="AC409" i="17" s="1"/>
  <c r="AC629" i="17"/>
  <c r="AC617" i="17" s="1"/>
  <c r="AC538" i="17"/>
  <c r="AC526" i="17" s="1"/>
  <c r="AC251" i="17"/>
  <c r="AC240" i="17" s="1"/>
  <c r="AC317" i="17"/>
  <c r="AC305" i="17" s="1"/>
  <c r="O112" i="17" l="1"/>
  <c r="O113" i="17" l="1"/>
  <c r="O114" i="17" s="1"/>
  <c r="O115" i="17" s="1"/>
  <c r="Q112" i="17"/>
  <c r="R112" i="17" s="1"/>
  <c r="F112" i="17"/>
  <c r="U111" i="17"/>
  <c r="T110" i="17"/>
  <c r="P110" i="17"/>
  <c r="N110" i="17"/>
  <c r="L110" i="17"/>
  <c r="K110" i="17"/>
  <c r="J110" i="17"/>
  <c r="I110" i="17"/>
  <c r="H110" i="17"/>
  <c r="G110" i="17"/>
  <c r="Q108" i="17"/>
  <c r="F108" i="17"/>
  <c r="Q109" i="17" s="1"/>
  <c r="C107" i="17"/>
  <c r="Q99" i="17"/>
  <c r="R99" i="17" s="1"/>
  <c r="F99" i="17"/>
  <c r="U98" i="17"/>
  <c r="Y98" i="17" s="1"/>
  <c r="T97" i="17"/>
  <c r="P97" i="17"/>
  <c r="O97" i="17"/>
  <c r="N97" i="17"/>
  <c r="L97" i="17"/>
  <c r="K97" i="17"/>
  <c r="J97" i="17"/>
  <c r="I97" i="17"/>
  <c r="H97" i="17"/>
  <c r="G97" i="17"/>
  <c r="G123" i="17"/>
  <c r="H123" i="17"/>
  <c r="I123" i="17"/>
  <c r="J123" i="17"/>
  <c r="K123" i="17"/>
  <c r="L123" i="17"/>
  <c r="N123" i="17"/>
  <c r="P123" i="17"/>
  <c r="T123" i="17"/>
  <c r="U124" i="17"/>
  <c r="Y124" i="17" s="1"/>
  <c r="F125" i="17"/>
  <c r="M125" i="17" s="1"/>
  <c r="O125" i="17"/>
  <c r="O126" i="17" s="1"/>
  <c r="Q125" i="17"/>
  <c r="R125" i="17" s="1"/>
  <c r="F126" i="17"/>
  <c r="Q127" i="17" s="1"/>
  <c r="F127" i="17"/>
  <c r="Q128" i="17" s="1"/>
  <c r="F128" i="17"/>
  <c r="Q129" i="17" s="1"/>
  <c r="F129" i="17"/>
  <c r="Q130" i="17" s="1"/>
  <c r="F130" i="17"/>
  <c r="Q131" i="17" s="1"/>
  <c r="R131" i="17" s="1"/>
  <c r="O130" i="17"/>
  <c r="F131" i="17"/>
  <c r="Q132" i="17" s="1"/>
  <c r="F132" i="17"/>
  <c r="M132" i="17" s="1"/>
  <c r="C133" i="17"/>
  <c r="F134" i="17"/>
  <c r="Q134" i="17"/>
  <c r="R134" i="17" s="1"/>
  <c r="F135" i="17"/>
  <c r="Q89" i="17"/>
  <c r="F89" i="17"/>
  <c r="Q90" i="17" s="1"/>
  <c r="R90" i="17" s="1"/>
  <c r="C88" i="17"/>
  <c r="Q86" i="17"/>
  <c r="R86" i="17" s="1"/>
  <c r="O86" i="17"/>
  <c r="O87" i="17" s="1"/>
  <c r="F86" i="17"/>
  <c r="Q87" i="17" s="1"/>
  <c r="U85" i="17"/>
  <c r="Y85" i="17" s="1"/>
  <c r="T84" i="17"/>
  <c r="P84" i="17"/>
  <c r="N84" i="17"/>
  <c r="L84" i="17"/>
  <c r="K84" i="17"/>
  <c r="J84" i="17"/>
  <c r="I84" i="17"/>
  <c r="H84" i="17"/>
  <c r="G84" i="17"/>
  <c r="Q73" i="17"/>
  <c r="F73" i="17"/>
  <c r="Q74" i="17" s="1"/>
  <c r="R74" i="17" s="1"/>
  <c r="U72" i="17"/>
  <c r="Y72" i="17" s="1"/>
  <c r="O73" i="17"/>
  <c r="O74" i="17" s="1"/>
  <c r="O75" i="17" s="1"/>
  <c r="O76" i="17" s="1"/>
  <c r="O77" i="17" s="1"/>
  <c r="O78" i="17" s="1"/>
  <c r="O79" i="17" s="1"/>
  <c r="O80" i="17" s="1"/>
  <c r="O81" i="17" s="1"/>
  <c r="O82" i="17" s="1"/>
  <c r="O83" i="17" s="1"/>
  <c r="T71" i="17"/>
  <c r="P71" i="17"/>
  <c r="N71" i="17"/>
  <c r="L71" i="17"/>
  <c r="K71" i="17"/>
  <c r="J71" i="17"/>
  <c r="I71" i="17"/>
  <c r="H71" i="17"/>
  <c r="G71" i="17"/>
  <c r="Q70" i="17"/>
  <c r="R70" i="17" s="1"/>
  <c r="F70" i="17"/>
  <c r="C69" i="17"/>
  <c r="F68" i="17"/>
  <c r="Q69" i="17" s="1"/>
  <c r="S69" i="17" s="1"/>
  <c r="F67" i="17"/>
  <c r="F66" i="17"/>
  <c r="F65" i="17"/>
  <c r="Q66" i="17" s="1"/>
  <c r="S66" i="17" s="1"/>
  <c r="F64" i="17"/>
  <c r="Q65" i="17" s="1"/>
  <c r="F63" i="17"/>
  <c r="Q64" i="17" s="1"/>
  <c r="F62" i="17"/>
  <c r="Q63" i="17" s="1"/>
  <c r="R63" i="17" s="1"/>
  <c r="F61" i="17"/>
  <c r="Q60" i="17"/>
  <c r="S60" i="17" s="1"/>
  <c r="O60" i="17"/>
  <c r="O61" i="17" s="1"/>
  <c r="Q61" i="17"/>
  <c r="U59" i="17"/>
  <c r="T58" i="17"/>
  <c r="P58" i="17"/>
  <c r="N58" i="17"/>
  <c r="L58" i="17"/>
  <c r="K58" i="17"/>
  <c r="J58" i="17"/>
  <c r="I58" i="17"/>
  <c r="H58" i="17"/>
  <c r="G58" i="17"/>
  <c r="H90" i="9"/>
  <c r="H18" i="9"/>
  <c r="H103" i="9"/>
  <c r="H27" i="19"/>
  <c r="Q62" i="17" l="1"/>
  <c r="S62" i="17" s="1"/>
  <c r="Q68" i="17"/>
  <c r="Q67" i="17"/>
  <c r="S67" i="17" s="1"/>
  <c r="Y111" i="17"/>
  <c r="Z111" i="17" s="1"/>
  <c r="Y59" i="17"/>
  <c r="Z59" i="17" s="1"/>
  <c r="W124" i="17"/>
  <c r="Z98" i="17"/>
  <c r="Z72" i="17"/>
  <c r="Z85" i="17"/>
  <c r="M67" i="17"/>
  <c r="Q133" i="17"/>
  <c r="AB85" i="17"/>
  <c r="X85" i="17"/>
  <c r="S86" i="17"/>
  <c r="S134" i="17"/>
  <c r="R60" i="17"/>
  <c r="M60" i="17"/>
  <c r="S125" i="17"/>
  <c r="U125" i="17" s="1"/>
  <c r="Q126" i="17"/>
  <c r="S126" i="17" s="1"/>
  <c r="X124" i="17"/>
  <c r="M123" i="17"/>
  <c r="S131" i="17"/>
  <c r="AA124" i="17"/>
  <c r="S112" i="17"/>
  <c r="S108" i="17"/>
  <c r="R108" i="17"/>
  <c r="S99" i="17"/>
  <c r="S109" i="17"/>
  <c r="R109" i="17"/>
  <c r="S89" i="17"/>
  <c r="R89" i="17"/>
  <c r="AA85" i="17"/>
  <c r="F90" i="17"/>
  <c r="Q91" i="17" s="1"/>
  <c r="R91" i="17" s="1"/>
  <c r="S87" i="17"/>
  <c r="R87" i="17"/>
  <c r="M86" i="17"/>
  <c r="F87" i="17"/>
  <c r="Q88" i="17" s="1"/>
  <c r="R88" i="17" s="1"/>
  <c r="W85" i="17"/>
  <c r="S73" i="17"/>
  <c r="R73" i="17"/>
  <c r="AA59" i="17"/>
  <c r="S63" i="17"/>
  <c r="S70" i="17"/>
  <c r="W59" i="17"/>
  <c r="O116" i="17"/>
  <c r="O117" i="17" s="1"/>
  <c r="O118" i="17" s="1"/>
  <c r="O119" i="17" s="1"/>
  <c r="O120" i="17" s="1"/>
  <c r="O121" i="17" s="1"/>
  <c r="O122" i="17" s="1"/>
  <c r="Q113" i="17"/>
  <c r="R113" i="17" s="1"/>
  <c r="F113" i="17"/>
  <c r="F114" i="17" s="1"/>
  <c r="M112" i="17"/>
  <c r="AB98" i="17"/>
  <c r="X98" i="17"/>
  <c r="AA98" i="17"/>
  <c r="W98" i="17"/>
  <c r="Q100" i="17"/>
  <c r="R100" i="17" s="1"/>
  <c r="F100" i="17"/>
  <c r="M99" i="17"/>
  <c r="AB111" i="17"/>
  <c r="X111" i="17"/>
  <c r="AA111" i="17"/>
  <c r="W111" i="17"/>
  <c r="F109" i="17"/>
  <c r="O131" i="17"/>
  <c r="O132" i="17" s="1"/>
  <c r="O133" i="17" s="1"/>
  <c r="R128" i="17"/>
  <c r="S128" i="17"/>
  <c r="Q135" i="17"/>
  <c r="R129" i="17"/>
  <c r="S129" i="17"/>
  <c r="R127" i="17"/>
  <c r="S127" i="17"/>
  <c r="R130" i="17"/>
  <c r="S130" i="17"/>
  <c r="R132" i="17"/>
  <c r="S132" i="17"/>
  <c r="F123" i="17"/>
  <c r="O127" i="17"/>
  <c r="AB124" i="17"/>
  <c r="AB72" i="17"/>
  <c r="X72" i="17"/>
  <c r="AA72" i="17"/>
  <c r="W72" i="17"/>
  <c r="S90" i="17"/>
  <c r="F91" i="17"/>
  <c r="O88" i="17"/>
  <c r="S74" i="17"/>
  <c r="F74" i="17"/>
  <c r="M73" i="17"/>
  <c r="O71" i="17"/>
  <c r="R61" i="17"/>
  <c r="S61" i="17"/>
  <c r="R65" i="17"/>
  <c r="S65" i="17"/>
  <c r="S68" i="17"/>
  <c r="R68" i="17"/>
  <c r="R64" i="17"/>
  <c r="S64" i="17"/>
  <c r="O62" i="17"/>
  <c r="R67" i="17"/>
  <c r="F58" i="17"/>
  <c r="X59" i="17"/>
  <c r="AB59" i="17"/>
  <c r="R62" i="17"/>
  <c r="R66" i="17"/>
  <c r="R69" i="17"/>
  <c r="U61" i="17" l="1"/>
  <c r="Y125" i="17"/>
  <c r="Y61" i="17"/>
  <c r="Z61" i="17" s="1"/>
  <c r="U73" i="17"/>
  <c r="AB73" i="17" s="1"/>
  <c r="U108" i="17"/>
  <c r="X108" i="17" s="1"/>
  <c r="M58" i="17"/>
  <c r="S58" i="17"/>
  <c r="Z124" i="17"/>
  <c r="AC124" i="17" s="1"/>
  <c r="U131" i="17"/>
  <c r="AA131" i="17" s="1"/>
  <c r="R133" i="17"/>
  <c r="S133" i="17"/>
  <c r="U112" i="17"/>
  <c r="W112" i="17" s="1"/>
  <c r="U109" i="17"/>
  <c r="AA109" i="17" s="1"/>
  <c r="U60" i="17"/>
  <c r="R126" i="17"/>
  <c r="U126" i="17" s="1"/>
  <c r="U86" i="17"/>
  <c r="Y86" i="17" s="1"/>
  <c r="AC85" i="17"/>
  <c r="U127" i="17"/>
  <c r="U130" i="17"/>
  <c r="Y130" i="17" s="1"/>
  <c r="U129" i="17"/>
  <c r="F115" i="17"/>
  <c r="Q115" i="17"/>
  <c r="S88" i="17"/>
  <c r="U88" i="17" s="1"/>
  <c r="U87" i="17"/>
  <c r="AA87" i="17" s="1"/>
  <c r="AC111" i="17"/>
  <c r="S100" i="17"/>
  <c r="U100" i="17" s="1"/>
  <c r="Q101" i="17"/>
  <c r="R101" i="17" s="1"/>
  <c r="F101" i="17"/>
  <c r="O110" i="17"/>
  <c r="U99" i="17"/>
  <c r="Y99" i="17" s="1"/>
  <c r="Q114" i="17"/>
  <c r="R114" i="17" s="1"/>
  <c r="S113" i="17"/>
  <c r="U132" i="17"/>
  <c r="W125" i="17"/>
  <c r="AA125" i="17"/>
  <c r="X125" i="17"/>
  <c r="AB125" i="17"/>
  <c r="U128" i="17"/>
  <c r="O134" i="17"/>
  <c r="S135" i="17"/>
  <c r="R135" i="17"/>
  <c r="F92" i="17"/>
  <c r="Q92" i="17"/>
  <c r="R92" i="17" s="1"/>
  <c r="O89" i="17"/>
  <c r="S91" i="17"/>
  <c r="F75" i="17"/>
  <c r="U74" i="17"/>
  <c r="Q75" i="17"/>
  <c r="R75" i="17" s="1"/>
  <c r="AC72" i="17"/>
  <c r="AA61" i="17"/>
  <c r="W61" i="17"/>
  <c r="AB61" i="17"/>
  <c r="X61" i="17"/>
  <c r="U62" i="17"/>
  <c r="Y62" i="17" s="1"/>
  <c r="O63" i="17"/>
  <c r="AC59" i="17"/>
  <c r="R58" i="17"/>
  <c r="AA86" i="17" l="1"/>
  <c r="U133" i="17"/>
  <c r="Y133" i="17" s="1"/>
  <c r="Z133" i="17" s="1"/>
  <c r="W131" i="17"/>
  <c r="AA112" i="17"/>
  <c r="X112" i="17"/>
  <c r="W73" i="17"/>
  <c r="AA73" i="17"/>
  <c r="X73" i="17"/>
  <c r="AB87" i="17"/>
  <c r="X86" i="17"/>
  <c r="AB131" i="17"/>
  <c r="W108" i="17"/>
  <c r="AB112" i="17"/>
  <c r="Y132" i="17"/>
  <c r="Z132" i="17" s="1"/>
  <c r="Y129" i="17"/>
  <c r="Z129" i="17" s="1"/>
  <c r="Y126" i="17"/>
  <c r="AA129" i="17"/>
  <c r="Y127" i="17"/>
  <c r="Z127" i="17" s="1"/>
  <c r="Y128" i="17"/>
  <c r="Z128" i="17" s="1"/>
  <c r="Y131" i="17"/>
  <c r="Z131" i="17" s="1"/>
  <c r="Z125" i="17"/>
  <c r="Y112" i="17"/>
  <c r="Z112" i="17" s="1"/>
  <c r="Y100" i="17"/>
  <c r="Z100" i="17" s="1"/>
  <c r="Y109" i="17"/>
  <c r="Z109" i="17" s="1"/>
  <c r="Y108" i="17"/>
  <c r="Z108" i="17" s="1"/>
  <c r="AA108" i="17"/>
  <c r="W109" i="17"/>
  <c r="Y87" i="17"/>
  <c r="X87" i="17"/>
  <c r="Y88" i="17"/>
  <c r="Z88" i="17" s="1"/>
  <c r="Y73" i="17"/>
  <c r="Y74" i="17"/>
  <c r="Z74" i="17" s="1"/>
  <c r="Y60" i="17"/>
  <c r="AB108" i="17"/>
  <c r="X109" i="17"/>
  <c r="W126" i="17"/>
  <c r="AA60" i="17"/>
  <c r="X60" i="17"/>
  <c r="X131" i="17"/>
  <c r="AB109" i="17"/>
  <c r="AA127" i="17"/>
  <c r="AB60" i="17"/>
  <c r="W60" i="17"/>
  <c r="AB126" i="17"/>
  <c r="R123" i="17"/>
  <c r="AA126" i="17"/>
  <c r="Z86" i="17"/>
  <c r="W130" i="17"/>
  <c r="Z130" i="17"/>
  <c r="Z62" i="17"/>
  <c r="Z99" i="17"/>
  <c r="S123" i="17"/>
  <c r="X126" i="17"/>
  <c r="AB86" i="17"/>
  <c r="W86" i="17"/>
  <c r="W127" i="17"/>
  <c r="W87" i="17"/>
  <c r="X130" i="17"/>
  <c r="AB127" i="17"/>
  <c r="X127" i="17"/>
  <c r="AB129" i="17"/>
  <c r="AA130" i="17"/>
  <c r="X129" i="17"/>
  <c r="AB130" i="17"/>
  <c r="W129" i="17"/>
  <c r="S115" i="17"/>
  <c r="R115" i="17"/>
  <c r="F116" i="17"/>
  <c r="Q116" i="17"/>
  <c r="AB100" i="17"/>
  <c r="X100" i="17"/>
  <c r="AA100" i="17"/>
  <c r="W100" i="17"/>
  <c r="S114" i="17"/>
  <c r="AB99" i="17"/>
  <c r="X99" i="17"/>
  <c r="AA99" i="17"/>
  <c r="W99" i="17"/>
  <c r="F119" i="17"/>
  <c r="Q119" i="17"/>
  <c r="R119" i="17" s="1"/>
  <c r="U113" i="17"/>
  <c r="Q102" i="17"/>
  <c r="R102" i="17" s="1"/>
  <c r="F102" i="17"/>
  <c r="S101" i="17"/>
  <c r="U101" i="17" s="1"/>
  <c r="AC98" i="17"/>
  <c r="X132" i="17"/>
  <c r="AB132" i="17"/>
  <c r="W132" i="17"/>
  <c r="AA132" i="17"/>
  <c r="O135" i="17"/>
  <c r="U135" i="17" s="1"/>
  <c r="U134" i="17"/>
  <c r="W133" i="17"/>
  <c r="AA133" i="17"/>
  <c r="X133" i="17"/>
  <c r="AB133" i="17"/>
  <c r="X128" i="17"/>
  <c r="AB128" i="17"/>
  <c r="W128" i="17"/>
  <c r="AA128" i="17"/>
  <c r="O90" i="17"/>
  <c r="U89" i="17"/>
  <c r="AB88" i="17"/>
  <c r="X88" i="17"/>
  <c r="AA88" i="17"/>
  <c r="W88" i="17"/>
  <c r="F93" i="17"/>
  <c r="Q93" i="17"/>
  <c r="R93" i="17" s="1"/>
  <c r="Q76" i="17"/>
  <c r="R76" i="17" s="1"/>
  <c r="F76" i="17"/>
  <c r="S75" i="17"/>
  <c r="AB74" i="17"/>
  <c r="X74" i="17"/>
  <c r="AA74" i="17"/>
  <c r="W74" i="17"/>
  <c r="S92" i="17"/>
  <c r="AC61" i="17"/>
  <c r="O64" i="17"/>
  <c r="U63" i="17"/>
  <c r="W62" i="17"/>
  <c r="AA62" i="17"/>
  <c r="AB62" i="17"/>
  <c r="X62" i="17"/>
  <c r="AC131" i="17" l="1"/>
  <c r="AC112" i="17"/>
  <c r="AC108" i="17"/>
  <c r="Z126" i="17"/>
  <c r="AC126" i="17" s="1"/>
  <c r="Y134" i="17"/>
  <c r="Z134" i="17" s="1"/>
  <c r="Y135" i="17"/>
  <c r="Y113" i="17"/>
  <c r="Z113" i="17" s="1"/>
  <c r="AC109" i="17"/>
  <c r="Y101" i="17"/>
  <c r="Z87" i="17"/>
  <c r="AC87" i="17" s="1"/>
  <c r="Y89" i="17"/>
  <c r="Z89" i="17" s="1"/>
  <c r="Z73" i="17"/>
  <c r="AC73" i="17" s="1"/>
  <c r="Z60" i="17"/>
  <c r="Y63" i="17"/>
  <c r="AC129" i="17"/>
  <c r="U115" i="17"/>
  <c r="AC127" i="17"/>
  <c r="O123" i="17"/>
  <c r="AC130" i="17"/>
  <c r="AC132" i="17"/>
  <c r="R116" i="17"/>
  <c r="S116" i="17"/>
  <c r="F117" i="17"/>
  <c r="Q117" i="17"/>
  <c r="AC100" i="17"/>
  <c r="AB101" i="17"/>
  <c r="X101" i="17"/>
  <c r="AA101" i="17"/>
  <c r="W101" i="17"/>
  <c r="S102" i="17"/>
  <c r="U102" i="17" s="1"/>
  <c r="Q120" i="17"/>
  <c r="R120" i="17" s="1"/>
  <c r="F120" i="17"/>
  <c r="M119" i="17"/>
  <c r="M110" i="17" s="1"/>
  <c r="AA113" i="17"/>
  <c r="W113" i="17"/>
  <c r="X113" i="17"/>
  <c r="AB113" i="17"/>
  <c r="S119" i="17"/>
  <c r="Q103" i="17"/>
  <c r="R103" i="17" s="1"/>
  <c r="F103" i="17"/>
  <c r="U114" i="17"/>
  <c r="Y114" i="17" s="1"/>
  <c r="W135" i="17"/>
  <c r="AA135" i="17"/>
  <c r="X135" i="17"/>
  <c r="AB135" i="17"/>
  <c r="W134" i="17"/>
  <c r="AA134" i="17"/>
  <c r="X134" i="17"/>
  <c r="AB134" i="17"/>
  <c r="U123" i="17"/>
  <c r="AC128" i="17"/>
  <c r="AC133" i="17"/>
  <c r="AC125" i="17"/>
  <c r="AC74" i="17"/>
  <c r="S93" i="17"/>
  <c r="S76" i="17"/>
  <c r="U76" i="17" s="1"/>
  <c r="AC86" i="17"/>
  <c r="U75" i="17"/>
  <c r="Y75" i="17" s="1"/>
  <c r="AB89" i="17"/>
  <c r="X89" i="17"/>
  <c r="AA89" i="17"/>
  <c r="W89" i="17"/>
  <c r="Q77" i="17"/>
  <c r="R77" i="17" s="1"/>
  <c r="F77" i="17"/>
  <c r="Q94" i="17"/>
  <c r="R94" i="17" s="1"/>
  <c r="M93" i="17"/>
  <c r="M84" i="17" s="1"/>
  <c r="F94" i="17"/>
  <c r="AC88" i="17"/>
  <c r="O91" i="17"/>
  <c r="U90" i="17"/>
  <c r="AB63" i="17"/>
  <c r="X63" i="17"/>
  <c r="AA63" i="17"/>
  <c r="W63" i="17"/>
  <c r="O65" i="17"/>
  <c r="U64" i="17"/>
  <c r="AC60" i="17"/>
  <c r="AC62" i="17"/>
  <c r="Y123" i="17" l="1"/>
  <c r="Z135" i="17"/>
  <c r="Z123" i="17" s="1"/>
  <c r="Y115" i="17"/>
  <c r="Y102" i="17"/>
  <c r="Z102" i="17" s="1"/>
  <c r="Z101" i="17"/>
  <c r="AC101" i="17" s="1"/>
  <c r="Y90" i="17"/>
  <c r="Z90" i="17" s="1"/>
  <c r="Y76" i="17"/>
  <c r="Z76" i="17" s="1"/>
  <c r="Z63" i="17"/>
  <c r="AC63" i="17" s="1"/>
  <c r="Y64" i="17"/>
  <c r="Z64" i="17" s="1"/>
  <c r="U116" i="17"/>
  <c r="W115" i="17"/>
  <c r="AB115" i="17"/>
  <c r="Z75" i="17"/>
  <c r="Z114" i="17"/>
  <c r="AA115" i="17"/>
  <c r="X115" i="17"/>
  <c r="X123" i="17"/>
  <c r="AA123" i="17"/>
  <c r="AB123" i="17"/>
  <c r="Q118" i="17"/>
  <c r="R117" i="17"/>
  <c r="S117" i="17"/>
  <c r="U119" i="17"/>
  <c r="AB102" i="17"/>
  <c r="X102" i="17"/>
  <c r="AA102" i="17"/>
  <c r="W102" i="17"/>
  <c r="AA119" i="17"/>
  <c r="F121" i="17"/>
  <c r="Q121" i="17"/>
  <c r="R121" i="17" s="1"/>
  <c r="AB114" i="17"/>
  <c r="X114" i="17"/>
  <c r="AA114" i="17"/>
  <c r="W114" i="17"/>
  <c r="S120" i="17"/>
  <c r="U120" i="17" s="1"/>
  <c r="Q104" i="17"/>
  <c r="R104" i="17" s="1"/>
  <c r="F104" i="17"/>
  <c r="AC99" i="17"/>
  <c r="S103" i="17"/>
  <c r="U103" i="17" s="1"/>
  <c r="AC113" i="17"/>
  <c r="AC134" i="17"/>
  <c r="W123" i="17"/>
  <c r="AC135" i="17"/>
  <c r="AB90" i="17"/>
  <c r="X90" i="17"/>
  <c r="AA90" i="17"/>
  <c r="W90" i="17"/>
  <c r="AC89" i="17"/>
  <c r="O92" i="17"/>
  <c r="U91" i="17"/>
  <c r="F95" i="17"/>
  <c r="Q95" i="17"/>
  <c r="R95" i="17" s="1"/>
  <c r="F78" i="17"/>
  <c r="Q78" i="17"/>
  <c r="R78" i="17" s="1"/>
  <c r="S77" i="17"/>
  <c r="AB75" i="17"/>
  <c r="X75" i="17"/>
  <c r="AA75" i="17"/>
  <c r="W75" i="17"/>
  <c r="AB76" i="17"/>
  <c r="X76" i="17"/>
  <c r="AA76" i="17"/>
  <c r="W76" i="17"/>
  <c r="S94" i="17"/>
  <c r="AB64" i="17"/>
  <c r="X64" i="17"/>
  <c r="AA64" i="17"/>
  <c r="W64" i="17"/>
  <c r="O66" i="17"/>
  <c r="U66" i="17" s="1"/>
  <c r="U65" i="17"/>
  <c r="Y116" i="17" l="1"/>
  <c r="Z115" i="17"/>
  <c r="AC115" i="17" s="1"/>
  <c r="AB116" i="17"/>
  <c r="Y120" i="17"/>
  <c r="Z120" i="17" s="1"/>
  <c r="Y119" i="17"/>
  <c r="Z119" i="17" s="1"/>
  <c r="W116" i="17"/>
  <c r="AA116" i="17"/>
  <c r="X116" i="17"/>
  <c r="Y103" i="17"/>
  <c r="Z103" i="17" s="1"/>
  <c r="Y91" i="17"/>
  <c r="Z91" i="17" s="1"/>
  <c r="Y65" i="17"/>
  <c r="Z65" i="17" s="1"/>
  <c r="U117" i="17"/>
  <c r="Y117" i="17" s="1"/>
  <c r="X119" i="17"/>
  <c r="W119" i="17"/>
  <c r="AC123" i="17"/>
  <c r="R118" i="17"/>
  <c r="S118" i="17"/>
  <c r="AB119" i="17"/>
  <c r="AC114" i="17"/>
  <c r="AA120" i="17"/>
  <c r="W120" i="17"/>
  <c r="X120" i="17"/>
  <c r="AB120" i="17"/>
  <c r="AB103" i="17"/>
  <c r="X103" i="17"/>
  <c r="AA103" i="17"/>
  <c r="W103" i="17"/>
  <c r="Q105" i="17"/>
  <c r="R105" i="17" s="1"/>
  <c r="F105" i="17"/>
  <c r="S104" i="17"/>
  <c r="U104" i="17" s="1"/>
  <c r="S121" i="17"/>
  <c r="F122" i="17"/>
  <c r="Q122" i="17"/>
  <c r="R122" i="17" s="1"/>
  <c r="AC102" i="17"/>
  <c r="F79" i="17"/>
  <c r="Q79" i="17"/>
  <c r="R79" i="17" s="1"/>
  <c r="S95" i="17"/>
  <c r="AA91" i="17"/>
  <c r="W91" i="17"/>
  <c r="AB91" i="17"/>
  <c r="X91" i="17"/>
  <c r="AC76" i="17"/>
  <c r="S78" i="17"/>
  <c r="U78" i="17" s="1"/>
  <c r="O93" i="17"/>
  <c r="U92" i="17"/>
  <c r="U77" i="17"/>
  <c r="Y77" i="17" s="1"/>
  <c r="F96" i="17"/>
  <c r="Q96" i="17"/>
  <c r="R96" i="17" s="1"/>
  <c r="AC90" i="17"/>
  <c r="O67" i="17"/>
  <c r="U67" i="17" s="1"/>
  <c r="AA65" i="17"/>
  <c r="W65" i="17"/>
  <c r="AB65" i="17"/>
  <c r="X65" i="17"/>
  <c r="AC64" i="17"/>
  <c r="AA117" i="17" l="1"/>
  <c r="X117" i="17"/>
  <c r="Z116" i="17"/>
  <c r="AC116" i="17" s="1"/>
  <c r="Y104" i="17"/>
  <c r="Z104" i="17" s="1"/>
  <c r="Y92" i="17"/>
  <c r="Z92" i="17" s="1"/>
  <c r="Y78" i="17"/>
  <c r="Z78" i="17" s="1"/>
  <c r="Y66" i="17"/>
  <c r="Z66" i="17" s="1"/>
  <c r="Z77" i="17"/>
  <c r="Z117" i="17"/>
  <c r="W117" i="17"/>
  <c r="AB117" i="17"/>
  <c r="AC119" i="17"/>
  <c r="U118" i="17"/>
  <c r="U121" i="17"/>
  <c r="AC120" i="17"/>
  <c r="Q106" i="17"/>
  <c r="R106" i="17" s="1"/>
  <c r="F106" i="17"/>
  <c r="S122" i="17"/>
  <c r="S110" i="17" s="1"/>
  <c r="R110" i="17"/>
  <c r="F110" i="17"/>
  <c r="S105" i="17"/>
  <c r="U105" i="17" s="1"/>
  <c r="AC103" i="17"/>
  <c r="AB104" i="17"/>
  <c r="X104" i="17"/>
  <c r="AA104" i="17"/>
  <c r="W104" i="17"/>
  <c r="AB78" i="17"/>
  <c r="X78" i="17"/>
  <c r="AA78" i="17"/>
  <c r="W78" i="17"/>
  <c r="F84" i="17"/>
  <c r="O94" i="17"/>
  <c r="U93" i="17"/>
  <c r="S79" i="17"/>
  <c r="U79" i="17" s="1"/>
  <c r="AA77" i="17"/>
  <c r="W77" i="17"/>
  <c r="X77" i="17"/>
  <c r="AB77" i="17"/>
  <c r="AC75" i="17"/>
  <c r="AC91" i="17"/>
  <c r="Q80" i="17"/>
  <c r="R80" i="17" s="1"/>
  <c r="F80" i="17"/>
  <c r="S96" i="17"/>
  <c r="S84" i="17" s="1"/>
  <c r="R84" i="17"/>
  <c r="W92" i="17"/>
  <c r="AB92" i="17"/>
  <c r="X92" i="17"/>
  <c r="AA92" i="17"/>
  <c r="O68" i="17"/>
  <c r="AC65" i="17"/>
  <c r="AA66" i="17"/>
  <c r="W66" i="17"/>
  <c r="AB66" i="17"/>
  <c r="X66" i="17"/>
  <c r="Y121" i="17" l="1"/>
  <c r="Z121" i="17" s="1"/>
  <c r="Y118" i="17"/>
  <c r="Z118" i="17" s="1"/>
  <c r="Y105" i="17"/>
  <c r="Z105" i="17" s="1"/>
  <c r="Y93" i="17"/>
  <c r="Z93" i="17" s="1"/>
  <c r="Y79" i="17"/>
  <c r="Z79" i="17" s="1"/>
  <c r="Y67" i="17"/>
  <c r="Z67" i="17" s="1"/>
  <c r="AC117" i="17"/>
  <c r="W121" i="17"/>
  <c r="X118" i="17"/>
  <c r="W118" i="17"/>
  <c r="AB121" i="17"/>
  <c r="AB118" i="17"/>
  <c r="AA118" i="17"/>
  <c r="X121" i="17"/>
  <c r="AA121" i="17"/>
  <c r="AC92" i="17"/>
  <c r="AC104" i="17"/>
  <c r="U122" i="17"/>
  <c r="AB105" i="17"/>
  <c r="X105" i="17"/>
  <c r="AA105" i="17"/>
  <c r="W105" i="17"/>
  <c r="Q107" i="17"/>
  <c r="R107" i="17" s="1"/>
  <c r="M106" i="17"/>
  <c r="M97" i="17" s="1"/>
  <c r="F97" i="17"/>
  <c r="S106" i="17"/>
  <c r="AB79" i="17"/>
  <c r="X79" i="17"/>
  <c r="AA79" i="17"/>
  <c r="W79" i="17"/>
  <c r="F81" i="17"/>
  <c r="M80" i="17"/>
  <c r="M71" i="17" s="1"/>
  <c r="Q81" i="17"/>
  <c r="R81" i="17" s="1"/>
  <c r="AC77" i="17"/>
  <c r="O95" i="17"/>
  <c r="U94" i="17"/>
  <c r="S80" i="17"/>
  <c r="AB93" i="17"/>
  <c r="X93" i="17"/>
  <c r="AA93" i="17"/>
  <c r="W93" i="17"/>
  <c r="AC78" i="17"/>
  <c r="AB67" i="17"/>
  <c r="X67" i="17"/>
  <c r="AA67" i="17"/>
  <c r="W67" i="17"/>
  <c r="AC66" i="17"/>
  <c r="O69" i="17"/>
  <c r="U68" i="17"/>
  <c r="Y122" i="17" l="1"/>
  <c r="Y110" i="17" s="1"/>
  <c r="Y94" i="17"/>
  <c r="Z94" i="17" s="1"/>
  <c r="Y68" i="17"/>
  <c r="Z68" i="17" s="1"/>
  <c r="AC118" i="17"/>
  <c r="U80" i="17"/>
  <c r="AC121" i="17"/>
  <c r="U106" i="17"/>
  <c r="AC93" i="17"/>
  <c r="AB122" i="17"/>
  <c r="AB110" i="17" s="1"/>
  <c r="X122" i="17"/>
  <c r="X110" i="17" s="1"/>
  <c r="AA122" i="17"/>
  <c r="AA110" i="17" s="1"/>
  <c r="W122" i="17"/>
  <c r="U110" i="17"/>
  <c r="S107" i="17"/>
  <c r="S97" i="17" s="1"/>
  <c r="AC105" i="17"/>
  <c r="AA94" i="17"/>
  <c r="W94" i="17"/>
  <c r="X94" i="17"/>
  <c r="AB94" i="17"/>
  <c r="F82" i="17"/>
  <c r="Q82" i="17"/>
  <c r="R82" i="17" s="1"/>
  <c r="O96" i="17"/>
  <c r="U95" i="17"/>
  <c r="S81" i="17"/>
  <c r="U81" i="17" s="1"/>
  <c r="AC79" i="17"/>
  <c r="AA68" i="17"/>
  <c r="W68" i="17"/>
  <c r="AB68" i="17"/>
  <c r="X68" i="17"/>
  <c r="U69" i="17"/>
  <c r="O70" i="17"/>
  <c r="AC67" i="17"/>
  <c r="Z122" i="17" l="1"/>
  <c r="Z110" i="17" s="1"/>
  <c r="Y106" i="17"/>
  <c r="Z106" i="17" s="1"/>
  <c r="Y95" i="17"/>
  <c r="Z95" i="17" s="1"/>
  <c r="Y80" i="17"/>
  <c r="Z80" i="17" s="1"/>
  <c r="Y81" i="17"/>
  <c r="Z81" i="17" s="1"/>
  <c r="Y69" i="17"/>
  <c r="Z69" i="17" s="1"/>
  <c r="AB80" i="17"/>
  <c r="W80" i="17"/>
  <c r="AA80" i="17"/>
  <c r="X80" i="17"/>
  <c r="W106" i="17"/>
  <c r="X106" i="17"/>
  <c r="AA106" i="17"/>
  <c r="AB106" i="17"/>
  <c r="U107" i="17"/>
  <c r="Y107" i="17" s="1"/>
  <c r="Y97" i="17" s="1"/>
  <c r="R97" i="17"/>
  <c r="W110" i="17"/>
  <c r="AB81" i="17"/>
  <c r="X81" i="17"/>
  <c r="W81" i="17"/>
  <c r="AA81" i="17"/>
  <c r="W95" i="17"/>
  <c r="AB95" i="17"/>
  <c r="X95" i="17"/>
  <c r="AA95" i="17"/>
  <c r="Q83" i="17"/>
  <c r="R83" i="17" s="1"/>
  <c r="F83" i="17"/>
  <c r="AC94" i="17"/>
  <c r="U96" i="17"/>
  <c r="Y96" i="17" s="1"/>
  <c r="O84" i="17"/>
  <c r="S82" i="17"/>
  <c r="U82" i="17" s="1"/>
  <c r="AB69" i="17"/>
  <c r="X69" i="17"/>
  <c r="AA69" i="17"/>
  <c r="W69" i="17"/>
  <c r="U70" i="17"/>
  <c r="Y70" i="17" s="1"/>
  <c r="Y58" i="17" s="1"/>
  <c r="O58" i="17"/>
  <c r="AC68" i="17"/>
  <c r="Y84" i="17" l="1"/>
  <c r="Y82" i="17"/>
  <c r="Z82" i="17" s="1"/>
  <c r="AC80" i="17"/>
  <c r="Z96" i="17"/>
  <c r="Z84" i="17" s="1"/>
  <c r="Z70" i="17"/>
  <c r="Z58" i="17" s="1"/>
  <c r="AC106" i="17"/>
  <c r="Z107" i="17"/>
  <c r="Z97" i="17" s="1"/>
  <c r="AC122" i="17"/>
  <c r="AC110" i="17" s="1"/>
  <c r="AC81" i="17"/>
  <c r="AA107" i="17"/>
  <c r="AA97" i="17" s="1"/>
  <c r="W107" i="17"/>
  <c r="AB107" i="17"/>
  <c r="AB97" i="17" s="1"/>
  <c r="X107" i="17"/>
  <c r="X97" i="17" s="1"/>
  <c r="U97" i="17"/>
  <c r="R71" i="17"/>
  <c r="S83" i="17"/>
  <c r="S71" i="17" s="1"/>
  <c r="AC95" i="17"/>
  <c r="AB82" i="17"/>
  <c r="X82" i="17"/>
  <c r="AA82" i="17"/>
  <c r="W82" i="17"/>
  <c r="AB96" i="17"/>
  <c r="AB84" i="17" s="1"/>
  <c r="X96" i="17"/>
  <c r="X84" i="17" s="1"/>
  <c r="AA96" i="17"/>
  <c r="AA84" i="17" s="1"/>
  <c r="W96" i="17"/>
  <c r="U84" i="17"/>
  <c r="F71" i="17"/>
  <c r="AB70" i="17"/>
  <c r="AB58" i="17" s="1"/>
  <c r="X70" i="17"/>
  <c r="X58" i="17" s="1"/>
  <c r="AA70" i="17"/>
  <c r="AA58" i="17" s="1"/>
  <c r="W70" i="17"/>
  <c r="U58" i="17"/>
  <c r="AC69" i="17"/>
  <c r="U83" i="17" l="1"/>
  <c r="Y83" i="17" s="1"/>
  <c r="Y71" i="17" s="1"/>
  <c r="AC107" i="17"/>
  <c r="AC97" i="17" s="1"/>
  <c r="W97" i="17"/>
  <c r="AC82" i="17"/>
  <c r="W84" i="17"/>
  <c r="W58" i="17"/>
  <c r="U71" i="17" l="1"/>
  <c r="Z83" i="17"/>
  <c r="Z71" i="17" s="1"/>
  <c r="AB83" i="17"/>
  <c r="AB71" i="17" s="1"/>
  <c r="W83" i="17"/>
  <c r="W71" i="17" s="1"/>
  <c r="AA83" i="17"/>
  <c r="AA71" i="17" s="1"/>
  <c r="X83" i="17"/>
  <c r="X71" i="17" s="1"/>
  <c r="AC96" i="17"/>
  <c r="AC84" i="17" s="1"/>
  <c r="AC70" i="17"/>
  <c r="AC58" i="17" s="1"/>
  <c r="AC83" i="17" l="1"/>
  <c r="AC71" i="17" s="1"/>
  <c r="R675" i="17" l="1"/>
  <c r="O675" i="17"/>
  <c r="F84" i="28" l="1"/>
  <c r="F97" i="28"/>
  <c r="F110" i="28"/>
  <c r="F123" i="28"/>
  <c r="F136" i="28"/>
  <c r="F149" i="28"/>
  <c r="F162" i="28"/>
  <c r="F175" i="28"/>
  <c r="F188" i="28"/>
  <c r="F201" i="28"/>
  <c r="F214" i="28"/>
  <c r="F227" i="28"/>
  <c r="F240" i="28"/>
  <c r="F253" i="28"/>
  <c r="F266" i="28"/>
  <c r="F279" i="28"/>
  <c r="F292" i="28"/>
  <c r="F305" i="28"/>
  <c r="F318" i="28"/>
  <c r="F331" i="28"/>
  <c r="F344" i="28"/>
  <c r="F357" i="28"/>
  <c r="F370" i="28"/>
  <c r="F383" i="28"/>
  <c r="F396" i="28"/>
  <c r="F409" i="28"/>
  <c r="F422" i="28"/>
  <c r="F435" i="28"/>
  <c r="F448" i="28"/>
  <c r="F461" i="28"/>
  <c r="F474" i="28"/>
  <c r="F487" i="28"/>
  <c r="F500" i="28"/>
  <c r="F513" i="28"/>
  <c r="F526" i="28"/>
  <c r="F539" i="28"/>
  <c r="F552" i="28"/>
  <c r="F565" i="28"/>
  <c r="F578" i="28"/>
  <c r="F591" i="28"/>
  <c r="F604" i="28"/>
  <c r="F617" i="28"/>
  <c r="F630" i="28"/>
  <c r="F643" i="28"/>
  <c r="O45" i="28"/>
  <c r="O58" i="28"/>
  <c r="O71" i="28"/>
  <c r="O84" i="28"/>
  <c r="O97" i="28"/>
  <c r="O110" i="28"/>
  <c r="O123" i="28"/>
  <c r="O136" i="28"/>
  <c r="O149" i="28"/>
  <c r="O162" i="28"/>
  <c r="O175" i="28"/>
  <c r="O188" i="28"/>
  <c r="O201" i="28"/>
  <c r="O214" i="28"/>
  <c r="O227" i="28"/>
  <c r="O240" i="28"/>
  <c r="O253" i="28"/>
  <c r="O266" i="28"/>
  <c r="O279" i="28"/>
  <c r="O292" i="28"/>
  <c r="O305" i="28"/>
  <c r="O318" i="28"/>
  <c r="O331" i="28"/>
  <c r="O344" i="28"/>
  <c r="O357" i="28"/>
  <c r="O370" i="28"/>
  <c r="O383" i="28"/>
  <c r="O396" i="28"/>
  <c r="O409" i="28"/>
  <c r="O422" i="28"/>
  <c r="O435" i="28"/>
  <c r="O448" i="28"/>
  <c r="O461" i="28"/>
  <c r="O474" i="28"/>
  <c r="O487" i="28"/>
  <c r="O500" i="28"/>
  <c r="O513" i="28"/>
  <c r="O526" i="28"/>
  <c r="O539" i="28"/>
  <c r="O552" i="28"/>
  <c r="O565" i="28"/>
  <c r="O578" i="28"/>
  <c r="O591" i="28"/>
  <c r="O604" i="28"/>
  <c r="O617" i="28"/>
  <c r="O630" i="28"/>
  <c r="O643" i="28"/>
  <c r="I97" i="28"/>
  <c r="I110" i="28"/>
  <c r="I123" i="28"/>
  <c r="I136" i="28"/>
  <c r="I149" i="28"/>
  <c r="I162" i="28"/>
  <c r="I175" i="28"/>
  <c r="I188" i="28"/>
  <c r="I201" i="28"/>
  <c r="I214" i="28"/>
  <c r="I227" i="28"/>
  <c r="I240" i="28"/>
  <c r="I253" i="28"/>
  <c r="I266" i="28"/>
  <c r="I279" i="28"/>
  <c r="I292" i="28"/>
  <c r="I305" i="28"/>
  <c r="I318" i="28"/>
  <c r="I331" i="28"/>
  <c r="I344" i="28"/>
  <c r="I357" i="28"/>
  <c r="I370" i="28"/>
  <c r="I383" i="28"/>
  <c r="I396" i="28"/>
  <c r="I409" i="28"/>
  <c r="I422" i="28"/>
  <c r="I435" i="28"/>
  <c r="I448" i="28"/>
  <c r="I461" i="28"/>
  <c r="I474" i="28"/>
  <c r="I487" i="28"/>
  <c r="I500" i="28"/>
  <c r="I513" i="28"/>
  <c r="I526" i="28"/>
  <c r="I539" i="28"/>
  <c r="I552" i="28"/>
  <c r="I565" i="28"/>
  <c r="I578" i="28"/>
  <c r="I591" i="28"/>
  <c r="I604" i="28"/>
  <c r="I617" i="28"/>
  <c r="I630" i="28"/>
  <c r="I643" i="28"/>
  <c r="T19" i="17" l="1"/>
  <c r="T32" i="17"/>
  <c r="T45" i="17"/>
  <c r="P19" i="17"/>
  <c r="P32" i="17"/>
  <c r="P45" i="17"/>
  <c r="J8" i="28"/>
  <c r="K8" i="28" s="1"/>
  <c r="C49" i="17" l="1"/>
  <c r="C39" i="17"/>
  <c r="O20" i="17"/>
  <c r="O21" i="17" s="1"/>
  <c r="C24" i="17"/>
  <c r="C12" i="17"/>
  <c r="L43" i="27" l="1"/>
  <c r="L42" i="27" s="1"/>
  <c r="L37" i="27" l="1"/>
  <c r="L36" i="27"/>
  <c r="E33" i="27"/>
  <c r="E32" i="27"/>
  <c r="C20" i="27"/>
  <c r="C20" i="4"/>
  <c r="E31" i="27" l="1"/>
  <c r="B8" i="1" l="1"/>
  <c r="F55" i="22" l="1"/>
  <c r="F53" i="22" s="1"/>
  <c r="G45" i="22"/>
  <c r="H45" i="22" s="1"/>
  <c r="T84" i="22" l="1"/>
  <c r="U44" i="22"/>
  <c r="T44" i="22"/>
  <c r="F37" i="19" l="1"/>
  <c r="C10" i="1" s="1"/>
  <c r="G26" i="19"/>
  <c r="H26" i="19" s="1"/>
  <c r="E4" i="19"/>
  <c r="X97" i="28" l="1"/>
  <c r="X110" i="28"/>
  <c r="X123" i="28"/>
  <c r="X136" i="28"/>
  <c r="X149" i="28"/>
  <c r="X162" i="28"/>
  <c r="X175" i="28"/>
  <c r="X188" i="28"/>
  <c r="X201" i="28"/>
  <c r="X214" i="28"/>
  <c r="X227" i="28"/>
  <c r="X240" i="28"/>
  <c r="X253" i="28"/>
  <c r="X266" i="28"/>
  <c r="X279" i="28"/>
  <c r="X292" i="28"/>
  <c r="X305" i="28"/>
  <c r="X318" i="28"/>
  <c r="X331" i="28"/>
  <c r="X344" i="28"/>
  <c r="X357" i="28"/>
  <c r="X370" i="28"/>
  <c r="X383" i="28"/>
  <c r="X396" i="28"/>
  <c r="X409" i="28"/>
  <c r="X422" i="28"/>
  <c r="X435" i="28"/>
  <c r="X448" i="28"/>
  <c r="X461" i="28"/>
  <c r="X474" i="28"/>
  <c r="X487" i="28"/>
  <c r="X500" i="28"/>
  <c r="X513" i="28"/>
  <c r="X526" i="28"/>
  <c r="X539" i="28"/>
  <c r="X552" i="28"/>
  <c r="X565" i="28"/>
  <c r="X578" i="28"/>
  <c r="X591" i="28"/>
  <c r="X604" i="28"/>
  <c r="P6" i="17" l="1"/>
  <c r="U679" i="28" l="1"/>
  <c r="U710" i="28"/>
  <c r="U661" i="28"/>
  <c r="I19" i="17"/>
  <c r="J19" i="17"/>
  <c r="K19" i="17"/>
  <c r="L19" i="17"/>
  <c r="I32" i="17"/>
  <c r="J32" i="17"/>
  <c r="K32" i="17"/>
  <c r="L32" i="17"/>
  <c r="I45" i="17"/>
  <c r="J45" i="17"/>
  <c r="K45" i="17"/>
  <c r="L45" i="17"/>
  <c r="U20" i="28"/>
  <c r="U33" i="28"/>
  <c r="U46" i="28"/>
  <c r="U59" i="28"/>
  <c r="AB59" i="28" s="1"/>
  <c r="U72" i="28"/>
  <c r="U85" i="28"/>
  <c r="U98" i="28"/>
  <c r="U111" i="28"/>
  <c r="U124" i="28"/>
  <c r="U137" i="28"/>
  <c r="U150" i="28"/>
  <c r="U163" i="28"/>
  <c r="U176" i="28"/>
  <c r="U189" i="28"/>
  <c r="U202" i="28"/>
  <c r="U215" i="28"/>
  <c r="AA215" i="28" s="1"/>
  <c r="U228" i="28"/>
  <c r="U241" i="28"/>
  <c r="U254" i="28"/>
  <c r="U267" i="28"/>
  <c r="Y267" i="28" s="1"/>
  <c r="U280" i="28"/>
  <c r="U293" i="28"/>
  <c r="U306" i="28"/>
  <c r="U319" i="28"/>
  <c r="AA319" i="28" s="1"/>
  <c r="U332" i="28"/>
  <c r="U345" i="28"/>
  <c r="U358" i="28"/>
  <c r="Y358" i="28" s="1"/>
  <c r="U371" i="28"/>
  <c r="AA371" i="28" s="1"/>
  <c r="U384" i="28"/>
  <c r="U397" i="28"/>
  <c r="U410" i="28"/>
  <c r="U423" i="28"/>
  <c r="AA423" i="28" s="1"/>
  <c r="U436" i="28"/>
  <c r="U449" i="28"/>
  <c r="U462" i="28"/>
  <c r="U475" i="28"/>
  <c r="U488" i="28"/>
  <c r="U501" i="28"/>
  <c r="U514" i="28"/>
  <c r="U527" i="28"/>
  <c r="AB527" i="28" s="1"/>
  <c r="U540" i="28"/>
  <c r="U553" i="28"/>
  <c r="U566" i="28"/>
  <c r="W566" i="28" s="1"/>
  <c r="U579" i="28"/>
  <c r="U592" i="28"/>
  <c r="U605" i="28"/>
  <c r="U7" i="28"/>
  <c r="W7" i="28" s="1"/>
  <c r="Q712" i="28"/>
  <c r="S712" i="28" s="1"/>
  <c r="O712" i="28"/>
  <c r="J712" i="28"/>
  <c r="K712" i="28" s="1"/>
  <c r="Q713" i="28"/>
  <c r="Q711" i="28"/>
  <c r="J711" i="28"/>
  <c r="K711" i="28" s="1"/>
  <c r="M710" i="28"/>
  <c r="V709" i="28"/>
  <c r="V708" i="28" s="1"/>
  <c r="P709" i="28"/>
  <c r="P708" i="28" s="1"/>
  <c r="N709" i="28"/>
  <c r="N708" i="28" s="1"/>
  <c r="I709" i="28"/>
  <c r="H709" i="28"/>
  <c r="H708" i="28" s="1"/>
  <c r="G709" i="28"/>
  <c r="G708" i="28" s="1"/>
  <c r="Q708" i="28"/>
  <c r="I708" i="28"/>
  <c r="F697" i="28"/>
  <c r="F698" i="28" s="1"/>
  <c r="F699" i="28" s="1"/>
  <c r="F696" i="28"/>
  <c r="F695" i="28"/>
  <c r="F694" i="28"/>
  <c r="F693" i="28"/>
  <c r="M692" i="28"/>
  <c r="U692" i="28" s="1"/>
  <c r="T691" i="28"/>
  <c r="S691" i="28"/>
  <c r="R691" i="28"/>
  <c r="O691" i="28"/>
  <c r="N691" i="28"/>
  <c r="H691" i="28"/>
  <c r="G691" i="28"/>
  <c r="Q682" i="28"/>
  <c r="R682" i="28" s="1"/>
  <c r="J682" i="28"/>
  <c r="K682" i="28" s="1"/>
  <c r="Q683" i="28"/>
  <c r="R683" i="28" s="1"/>
  <c r="P681" i="28"/>
  <c r="P682" i="28" s="1"/>
  <c r="P683" i="28" s="1"/>
  <c r="P684" i="28" s="1"/>
  <c r="P685" i="28" s="1"/>
  <c r="P686" i="28" s="1"/>
  <c r="P687" i="28" s="1"/>
  <c r="P688" i="28" s="1"/>
  <c r="P689" i="28" s="1"/>
  <c r="P690" i="28" s="1"/>
  <c r="Q680" i="28"/>
  <c r="R680" i="28" s="1"/>
  <c r="J680" i="28"/>
  <c r="K680" i="28" s="1"/>
  <c r="Q681" i="28"/>
  <c r="R681" i="28" s="1"/>
  <c r="R679" i="28"/>
  <c r="M679" i="28"/>
  <c r="S678" i="28"/>
  <c r="N678" i="28"/>
  <c r="I678" i="28"/>
  <c r="I677" i="28" s="1"/>
  <c r="H678" i="28"/>
  <c r="G678" i="28"/>
  <c r="Q676" i="28"/>
  <c r="Q671" i="28"/>
  <c r="M669" i="28"/>
  <c r="Q662" i="28"/>
  <c r="R662" i="28" s="1"/>
  <c r="J662" i="28"/>
  <c r="M661" i="28"/>
  <c r="N660" i="28"/>
  <c r="I660" i="28"/>
  <c r="I659" i="28" s="1"/>
  <c r="H660" i="28"/>
  <c r="H659" i="28" s="1"/>
  <c r="G660" i="28"/>
  <c r="G659" i="28" s="1"/>
  <c r="N659" i="28"/>
  <c r="Q658" i="28"/>
  <c r="U655" i="28"/>
  <c r="Y655" i="28" s="1"/>
  <c r="U654" i="28"/>
  <c r="Y654" i="28" s="1"/>
  <c r="U653" i="28"/>
  <c r="Y653" i="28" s="1"/>
  <c r="U652" i="28"/>
  <c r="Y652" i="28" s="1"/>
  <c r="U651" i="28"/>
  <c r="Y651" i="28" s="1"/>
  <c r="U650" i="28"/>
  <c r="Y650" i="28" s="1"/>
  <c r="U649" i="28"/>
  <c r="Y649" i="28" s="1"/>
  <c r="U648" i="28"/>
  <c r="Y648" i="28" s="1"/>
  <c r="U647" i="28"/>
  <c r="Y647" i="28" s="1"/>
  <c r="U646" i="28"/>
  <c r="Y646" i="28" s="1"/>
  <c r="U645" i="28"/>
  <c r="Y645" i="28" s="1"/>
  <c r="U644" i="28"/>
  <c r="Y644" i="28" s="1"/>
  <c r="U642" i="28"/>
  <c r="Y642" i="28" s="1"/>
  <c r="U641" i="28"/>
  <c r="Y641" i="28" s="1"/>
  <c r="U640" i="28"/>
  <c r="Y640" i="28" s="1"/>
  <c r="U639" i="28"/>
  <c r="Y639" i="28" s="1"/>
  <c r="U638" i="28"/>
  <c r="Y638" i="28" s="1"/>
  <c r="U637" i="28"/>
  <c r="Y637" i="28" s="1"/>
  <c r="U636" i="28"/>
  <c r="Y636" i="28" s="1"/>
  <c r="U635" i="28"/>
  <c r="Y635" i="28" s="1"/>
  <c r="U634" i="28"/>
  <c r="Y634" i="28" s="1"/>
  <c r="U633" i="28"/>
  <c r="U632" i="28"/>
  <c r="Y632" i="28" s="1"/>
  <c r="U631" i="28"/>
  <c r="Y631" i="28" s="1"/>
  <c r="U619" i="28"/>
  <c r="AC618" i="28"/>
  <c r="AC617" i="28" s="1"/>
  <c r="U618" i="28"/>
  <c r="AB617" i="28"/>
  <c r="AA617" i="28"/>
  <c r="Z617" i="28"/>
  <c r="Y617" i="28"/>
  <c r="X617" i="28"/>
  <c r="W617" i="28"/>
  <c r="S617" i="28"/>
  <c r="R617" i="28"/>
  <c r="N617" i="28"/>
  <c r="M617" i="28"/>
  <c r="L617" i="28"/>
  <c r="K617" i="28"/>
  <c r="J617" i="28"/>
  <c r="H617" i="28"/>
  <c r="G617" i="28"/>
  <c r="Q606" i="28"/>
  <c r="S606" i="28" s="1"/>
  <c r="J606" i="28"/>
  <c r="K606" i="28" s="1"/>
  <c r="M605" i="28"/>
  <c r="N604" i="28"/>
  <c r="H604" i="28"/>
  <c r="G604" i="28"/>
  <c r="Q593" i="28"/>
  <c r="R593" i="28" s="1"/>
  <c r="J593" i="28"/>
  <c r="K593" i="28" s="1"/>
  <c r="M592" i="28"/>
  <c r="N591" i="28"/>
  <c r="H591" i="28"/>
  <c r="G591" i="28"/>
  <c r="M587" i="28"/>
  <c r="Q580" i="28"/>
  <c r="R580" i="28" s="1"/>
  <c r="J580" i="28"/>
  <c r="K580" i="28" s="1"/>
  <c r="Q581" i="28"/>
  <c r="R581" i="28" s="1"/>
  <c r="M579" i="28"/>
  <c r="S578" i="28"/>
  <c r="N578" i="28"/>
  <c r="H578" i="28"/>
  <c r="G578" i="28"/>
  <c r="Q569" i="28"/>
  <c r="R569" i="28" s="1"/>
  <c r="J569" i="28"/>
  <c r="K569" i="28" s="1"/>
  <c r="Q567" i="28"/>
  <c r="R567" i="28" s="1"/>
  <c r="J567" i="28"/>
  <c r="K567" i="28" s="1"/>
  <c r="Q568" i="28"/>
  <c r="R568" i="28" s="1"/>
  <c r="M566" i="28"/>
  <c r="S565" i="28"/>
  <c r="N565" i="28"/>
  <c r="H565" i="28"/>
  <c r="G565" i="28"/>
  <c r="Q554" i="28"/>
  <c r="R554" i="28" s="1"/>
  <c r="J554" i="28"/>
  <c r="K554" i="28" s="1"/>
  <c r="M553" i="28"/>
  <c r="S552" i="28"/>
  <c r="N552" i="28"/>
  <c r="H552" i="28"/>
  <c r="G552" i="28"/>
  <c r="Q549" i="28"/>
  <c r="S549" i="28" s="1"/>
  <c r="J549" i="28"/>
  <c r="K549" i="28" s="1"/>
  <c r="M548" i="28"/>
  <c r="Q541" i="28"/>
  <c r="S541" i="28" s="1"/>
  <c r="J541" i="28"/>
  <c r="K541" i="28" s="1"/>
  <c r="Q542" i="28"/>
  <c r="R542" i="28" s="1"/>
  <c r="M540" i="28"/>
  <c r="N539" i="28"/>
  <c r="H539" i="28"/>
  <c r="G539" i="28"/>
  <c r="Q532" i="28"/>
  <c r="R532" i="28" s="1"/>
  <c r="J532" i="28"/>
  <c r="K532" i="28" s="1"/>
  <c r="Q533" i="28"/>
  <c r="R533" i="28" s="1"/>
  <c r="Q528" i="28"/>
  <c r="R528" i="28" s="1"/>
  <c r="J528" i="28"/>
  <c r="K528" i="28" s="1"/>
  <c r="M527" i="28"/>
  <c r="S526" i="28"/>
  <c r="N526" i="28"/>
  <c r="H526" i="28"/>
  <c r="G526" i="28"/>
  <c r="Q515" i="28"/>
  <c r="R515" i="28" s="1"/>
  <c r="J515" i="28"/>
  <c r="K515" i="28" s="1"/>
  <c r="M514" i="28"/>
  <c r="S513" i="28"/>
  <c r="N513" i="28"/>
  <c r="H513" i="28"/>
  <c r="G513" i="28"/>
  <c r="Q511" i="28"/>
  <c r="R511" i="28" s="1"/>
  <c r="J511" i="28"/>
  <c r="K511" i="28" s="1"/>
  <c r="Q512" i="28"/>
  <c r="R512" i="28" s="1"/>
  <c r="Q502" i="28"/>
  <c r="R502" i="28" s="1"/>
  <c r="J502" i="28"/>
  <c r="K502" i="28" s="1"/>
  <c r="Q503" i="28"/>
  <c r="R503" i="28" s="1"/>
  <c r="AA501" i="28"/>
  <c r="AB501" i="28"/>
  <c r="M501" i="28"/>
  <c r="S500" i="28"/>
  <c r="N500" i="28"/>
  <c r="H500" i="28"/>
  <c r="G500" i="28"/>
  <c r="Q489" i="28"/>
  <c r="R489" i="28" s="1"/>
  <c r="J489" i="28"/>
  <c r="K489" i="28" s="1"/>
  <c r="Q490" i="28"/>
  <c r="R490" i="28" s="1"/>
  <c r="M488" i="28"/>
  <c r="S487" i="28"/>
  <c r="N487" i="28"/>
  <c r="H487" i="28"/>
  <c r="G487" i="28"/>
  <c r="Q480" i="28"/>
  <c r="R480" i="28" s="1"/>
  <c r="J480" i="28"/>
  <c r="K480" i="28" s="1"/>
  <c r="Q481" i="28"/>
  <c r="R481" i="28" s="1"/>
  <c r="Q476" i="28"/>
  <c r="R476" i="28" s="1"/>
  <c r="J476" i="28"/>
  <c r="K476" i="28" s="1"/>
  <c r="Q477" i="28"/>
  <c r="R477" i="28" s="1"/>
  <c r="M475" i="28"/>
  <c r="S474" i="28"/>
  <c r="N474" i="28"/>
  <c r="H474" i="28"/>
  <c r="G474" i="28"/>
  <c r="Q467" i="28"/>
  <c r="R467" i="28" s="1"/>
  <c r="J467" i="28"/>
  <c r="K467" i="28" s="1"/>
  <c r="Q468" i="28"/>
  <c r="R468" i="28" s="1"/>
  <c r="Q463" i="28"/>
  <c r="R463" i="28" s="1"/>
  <c r="J463" i="28"/>
  <c r="K463" i="28" s="1"/>
  <c r="M462" i="28"/>
  <c r="S461" i="28"/>
  <c r="N461" i="28"/>
  <c r="H461" i="28"/>
  <c r="G461" i="28"/>
  <c r="Q454" i="28"/>
  <c r="R454" i="28" s="1"/>
  <c r="J454" i="28"/>
  <c r="K454" i="28" s="1"/>
  <c r="Q455" i="28"/>
  <c r="R455" i="28" s="1"/>
  <c r="Q452" i="28"/>
  <c r="R452" i="28" s="1"/>
  <c r="J452" i="28"/>
  <c r="K452" i="28" s="1"/>
  <c r="Q453" i="28"/>
  <c r="R453" i="28" s="1"/>
  <c r="Q450" i="28"/>
  <c r="R450" i="28" s="1"/>
  <c r="J450" i="28"/>
  <c r="K450" i="28" s="1"/>
  <c r="Q451" i="28"/>
  <c r="R451" i="28" s="1"/>
  <c r="M449" i="28"/>
  <c r="S448" i="28"/>
  <c r="N448" i="28"/>
  <c r="H448" i="28"/>
  <c r="G448" i="28"/>
  <c r="Q437" i="28"/>
  <c r="R437" i="28" s="1"/>
  <c r="J437" i="28"/>
  <c r="K437" i="28" s="1"/>
  <c r="AB436" i="28"/>
  <c r="Y436" i="28"/>
  <c r="M436" i="28"/>
  <c r="S435" i="28"/>
  <c r="N435" i="28"/>
  <c r="H435" i="28"/>
  <c r="G435" i="28"/>
  <c r="Q426" i="28"/>
  <c r="R426" i="28" s="1"/>
  <c r="J426" i="28"/>
  <c r="K426" i="28" s="1"/>
  <c r="Q424" i="28"/>
  <c r="R424" i="28" s="1"/>
  <c r="J424" i="28"/>
  <c r="K424" i="28" s="1"/>
  <c r="Q425" i="28"/>
  <c r="R425" i="28" s="1"/>
  <c r="M423" i="28"/>
  <c r="S422" i="28"/>
  <c r="N422" i="28"/>
  <c r="H422" i="28"/>
  <c r="G422" i="28"/>
  <c r="Q419" i="28"/>
  <c r="R419" i="28" s="1"/>
  <c r="J419" i="28"/>
  <c r="K419" i="28" s="1"/>
  <c r="M418" i="28"/>
  <c r="Q411" i="28"/>
  <c r="R411" i="28" s="1"/>
  <c r="J411" i="28"/>
  <c r="K411" i="28" s="1"/>
  <c r="Q412" i="28"/>
  <c r="R412" i="28" s="1"/>
  <c r="M410" i="28"/>
  <c r="S409" i="28"/>
  <c r="N409" i="28"/>
  <c r="H409" i="28"/>
  <c r="G409" i="28"/>
  <c r="Q398" i="28"/>
  <c r="R398" i="28" s="1"/>
  <c r="J398" i="28"/>
  <c r="K398" i="28" s="1"/>
  <c r="M397" i="28"/>
  <c r="S396" i="28"/>
  <c r="N396" i="28"/>
  <c r="H396" i="28"/>
  <c r="G396" i="28"/>
  <c r="Q388" i="28"/>
  <c r="R388" i="28" s="1"/>
  <c r="J388" i="28"/>
  <c r="K388" i="28" s="1"/>
  <c r="Q385" i="28"/>
  <c r="R385" i="28" s="1"/>
  <c r="J385" i="28"/>
  <c r="K385" i="28" s="1"/>
  <c r="M384" i="28"/>
  <c r="S383" i="28"/>
  <c r="N383" i="28"/>
  <c r="H383" i="28"/>
  <c r="G383" i="28"/>
  <c r="Q374" i="28"/>
  <c r="R374" i="28" s="1"/>
  <c r="J374" i="28"/>
  <c r="K374" i="28" s="1"/>
  <c r="Q372" i="28"/>
  <c r="R372" i="28" s="1"/>
  <c r="J372" i="28"/>
  <c r="K372" i="28" s="1"/>
  <c r="Q373" i="28"/>
  <c r="R373" i="28" s="1"/>
  <c r="M371" i="28"/>
  <c r="S370" i="28"/>
  <c r="N370" i="28"/>
  <c r="H370" i="28"/>
  <c r="G370" i="28"/>
  <c r="Q364" i="28"/>
  <c r="R364" i="28" s="1"/>
  <c r="J364" i="28"/>
  <c r="K364" i="28" s="1"/>
  <c r="Q359" i="28"/>
  <c r="R359" i="28" s="1"/>
  <c r="J359" i="28"/>
  <c r="K359" i="28" s="1"/>
  <c r="J360" i="28"/>
  <c r="M358" i="28"/>
  <c r="S357" i="28"/>
  <c r="N357" i="28"/>
  <c r="H357" i="28"/>
  <c r="G357" i="28"/>
  <c r="Q348" i="28"/>
  <c r="R348" i="28" s="1"/>
  <c r="J348" i="28"/>
  <c r="K348" i="28" s="1"/>
  <c r="Q346" i="28"/>
  <c r="R346" i="28" s="1"/>
  <c r="J346" i="28"/>
  <c r="K346" i="28" s="1"/>
  <c r="Q347" i="28"/>
  <c r="R347" i="28" s="1"/>
  <c r="M345" i="28"/>
  <c r="S344" i="28"/>
  <c r="N344" i="28"/>
  <c r="H344" i="28"/>
  <c r="G344" i="28"/>
  <c r="Q333" i="28"/>
  <c r="R333" i="28" s="1"/>
  <c r="J333" i="28"/>
  <c r="K333" i="28" s="1"/>
  <c r="AB332" i="28"/>
  <c r="Y332" i="28"/>
  <c r="M332" i="28"/>
  <c r="S331" i="28"/>
  <c r="N331" i="28"/>
  <c r="H331" i="28"/>
  <c r="G331" i="28"/>
  <c r="Q323" i="28"/>
  <c r="R323" i="28" s="1"/>
  <c r="J323" i="28"/>
  <c r="K323" i="28" s="1"/>
  <c r="Q320" i="28"/>
  <c r="R320" i="28" s="1"/>
  <c r="J320" i="28"/>
  <c r="K320" i="28" s="1"/>
  <c r="M319" i="28"/>
  <c r="S318" i="28"/>
  <c r="N318" i="28"/>
  <c r="H318" i="28"/>
  <c r="G318" i="28"/>
  <c r="Q310" i="28"/>
  <c r="R310" i="28" s="1"/>
  <c r="J310" i="28"/>
  <c r="K310" i="28" s="1"/>
  <c r="Q311" i="28"/>
  <c r="R311" i="28" s="1"/>
  <c r="Q307" i="28"/>
  <c r="R307" i="28" s="1"/>
  <c r="J307" i="28"/>
  <c r="K307" i="28" s="1"/>
  <c r="M306" i="28"/>
  <c r="S305" i="28"/>
  <c r="N305" i="28"/>
  <c r="H305" i="28"/>
  <c r="G305" i="28"/>
  <c r="Q297" i="28"/>
  <c r="S297" i="28" s="1"/>
  <c r="J297" i="28"/>
  <c r="K297" i="28" s="1"/>
  <c r="J298" i="28"/>
  <c r="K298" i="28" s="1"/>
  <c r="Q294" i="28"/>
  <c r="R294" i="28" s="1"/>
  <c r="J294" i="28"/>
  <c r="K294" i="28" s="1"/>
  <c r="Q295" i="28"/>
  <c r="M293" i="28"/>
  <c r="N292" i="28"/>
  <c r="H292" i="28"/>
  <c r="G292" i="28"/>
  <c r="Q285" i="28"/>
  <c r="R285" i="28" s="1"/>
  <c r="J285" i="28"/>
  <c r="K285" i="28" s="1"/>
  <c r="Q281" i="28"/>
  <c r="R281" i="28" s="1"/>
  <c r="J281" i="28"/>
  <c r="K281" i="28" s="1"/>
  <c r="Q282" i="28"/>
  <c r="R282" i="28" s="1"/>
  <c r="M280" i="28"/>
  <c r="S279" i="28"/>
  <c r="N279" i="28"/>
  <c r="H279" i="28"/>
  <c r="G279" i="28"/>
  <c r="Q268" i="28"/>
  <c r="S268" i="28" s="1"/>
  <c r="J268" i="28"/>
  <c r="K268" i="28" s="1"/>
  <c r="M267" i="28"/>
  <c r="N266" i="28"/>
  <c r="H266" i="28"/>
  <c r="G266" i="28"/>
  <c r="Q261" i="28"/>
  <c r="R261" i="28" s="1"/>
  <c r="J261" i="28"/>
  <c r="K261" i="28" s="1"/>
  <c r="Q255" i="28"/>
  <c r="R255" i="28" s="1"/>
  <c r="J255" i="28"/>
  <c r="K255" i="28" s="1"/>
  <c r="Q256" i="28"/>
  <c r="R256" i="28" s="1"/>
  <c r="M254" i="28"/>
  <c r="S253" i="28"/>
  <c r="N253" i="28"/>
  <c r="H253" i="28"/>
  <c r="G253" i="28"/>
  <c r="Q242" i="28"/>
  <c r="R242" i="28" s="1"/>
  <c r="J242" i="28"/>
  <c r="K242" i="28" s="1"/>
  <c r="Q243" i="28"/>
  <c r="AB241" i="28"/>
  <c r="M241" i="28"/>
  <c r="N240" i="28"/>
  <c r="H240" i="28"/>
  <c r="G240" i="28"/>
  <c r="Q233" i="28"/>
  <c r="S233" i="28" s="1"/>
  <c r="J233" i="28"/>
  <c r="K233" i="28" s="1"/>
  <c r="J234" i="28"/>
  <c r="K234" i="28" s="1"/>
  <c r="Q229" i="28"/>
  <c r="R229" i="28" s="1"/>
  <c r="J229" i="28"/>
  <c r="K229" i="28" s="1"/>
  <c r="M228" i="28"/>
  <c r="N227" i="28"/>
  <c r="H227" i="28"/>
  <c r="G227" i="28"/>
  <c r="Q216" i="28"/>
  <c r="R216" i="28" s="1"/>
  <c r="J216" i="28"/>
  <c r="K216" i="28" s="1"/>
  <c r="M215" i="28"/>
  <c r="S214" i="28"/>
  <c r="N214" i="28"/>
  <c r="H214" i="28"/>
  <c r="G214" i="28"/>
  <c r="Q204" i="28"/>
  <c r="Q203" i="28"/>
  <c r="R203" i="28" s="1"/>
  <c r="J203" i="28"/>
  <c r="K203" i="28" s="1"/>
  <c r="M202" i="28"/>
  <c r="N201" i="28"/>
  <c r="H201" i="28"/>
  <c r="G201" i="28"/>
  <c r="Q196" i="28"/>
  <c r="R196" i="28" s="1"/>
  <c r="J196" i="28"/>
  <c r="K196" i="28" s="1"/>
  <c r="J197" i="28"/>
  <c r="K197" i="28" s="1"/>
  <c r="Q190" i="28"/>
  <c r="R190" i="28" s="1"/>
  <c r="J190" i="28"/>
  <c r="K190" i="28" s="1"/>
  <c r="Q191" i="28"/>
  <c r="R191" i="28" s="1"/>
  <c r="AA189" i="28"/>
  <c r="Y189" i="28"/>
  <c r="M189" i="28"/>
  <c r="S188" i="28"/>
  <c r="N188" i="28"/>
  <c r="H188" i="28"/>
  <c r="G188" i="28"/>
  <c r="Q180" i="28"/>
  <c r="J180" i="28"/>
  <c r="K180" i="28" s="1"/>
  <c r="Q181" i="28"/>
  <c r="Q177" i="28"/>
  <c r="J177" i="28"/>
  <c r="K177" i="28" s="1"/>
  <c r="Q178" i="28"/>
  <c r="M176" i="28"/>
  <c r="N175" i="28"/>
  <c r="H175" i="28"/>
  <c r="G175" i="28"/>
  <c r="Q171" i="28"/>
  <c r="J171" i="28"/>
  <c r="K171" i="28" s="1"/>
  <c r="M171" i="28"/>
  <c r="Q164" i="28"/>
  <c r="J164" i="28"/>
  <c r="K164" i="28" s="1"/>
  <c r="Q165" i="28"/>
  <c r="S165" i="28" s="1"/>
  <c r="M163" i="28"/>
  <c r="N162" i="28"/>
  <c r="H162" i="28"/>
  <c r="G162" i="28"/>
  <c r="Q160" i="28"/>
  <c r="J160" i="28"/>
  <c r="K160" i="28" s="1"/>
  <c r="Q161" i="28"/>
  <c r="S161" i="28" s="1"/>
  <c r="Q159" i="28"/>
  <c r="S159" i="28" s="1"/>
  <c r="J158" i="28"/>
  <c r="K158" i="28" s="1"/>
  <c r="Q157" i="28"/>
  <c r="S157" i="28" s="1"/>
  <c r="Q156" i="28"/>
  <c r="S156" i="28" s="1"/>
  <c r="Q155" i="28"/>
  <c r="S155" i="28" s="1"/>
  <c r="Q154" i="28"/>
  <c r="S154" i="28" s="1"/>
  <c r="Q153" i="28"/>
  <c r="S153" i="28" s="1"/>
  <c r="Q151" i="28"/>
  <c r="S151" i="28" s="1"/>
  <c r="J151" i="28"/>
  <c r="K151" i="28" s="1"/>
  <c r="J152" i="28"/>
  <c r="K152" i="28" s="1"/>
  <c r="M150" i="28"/>
  <c r="N149" i="28"/>
  <c r="H149" i="28"/>
  <c r="G149" i="28"/>
  <c r="Q138" i="28"/>
  <c r="R138" i="28" s="1"/>
  <c r="J138" i="28"/>
  <c r="K138" i="28" s="1"/>
  <c r="Q139" i="28"/>
  <c r="R139" i="28" s="1"/>
  <c r="M137" i="28"/>
  <c r="S136" i="28"/>
  <c r="N136" i="28"/>
  <c r="H136" i="28"/>
  <c r="G136" i="28"/>
  <c r="Q134" i="28"/>
  <c r="S134" i="28" s="1"/>
  <c r="M132" i="28"/>
  <c r="Q125" i="28"/>
  <c r="J125" i="28"/>
  <c r="K125" i="28" s="1"/>
  <c r="Q126" i="28"/>
  <c r="S126" i="28" s="1"/>
  <c r="AB124" i="28"/>
  <c r="M124" i="28"/>
  <c r="N123" i="28"/>
  <c r="H123" i="28"/>
  <c r="G123" i="28"/>
  <c r="Q112" i="28"/>
  <c r="S112" i="28" s="1"/>
  <c r="J112" i="28"/>
  <c r="K112" i="28" s="1"/>
  <c r="Q113" i="28"/>
  <c r="S113" i="28" s="1"/>
  <c r="M111" i="28"/>
  <c r="N110" i="28"/>
  <c r="H110" i="28"/>
  <c r="G110" i="28"/>
  <c r="M106" i="28"/>
  <c r="Q99" i="28"/>
  <c r="S99" i="28" s="1"/>
  <c r="J99" i="28"/>
  <c r="K99" i="28" s="1"/>
  <c r="Q100" i="28"/>
  <c r="S100" i="28" s="1"/>
  <c r="M98" i="28"/>
  <c r="M97" i="28" s="1"/>
  <c r="N97" i="28"/>
  <c r="H97" i="28"/>
  <c r="G97" i="28"/>
  <c r="Q96" i="28"/>
  <c r="S96" i="28" s="1"/>
  <c r="J96" i="28"/>
  <c r="K96" i="28" s="1"/>
  <c r="M93" i="28"/>
  <c r="Q88" i="28"/>
  <c r="S88" i="28" s="1"/>
  <c r="Q86" i="28"/>
  <c r="S86" i="28" s="1"/>
  <c r="J86" i="28"/>
  <c r="K86" i="28" s="1"/>
  <c r="Q87" i="28"/>
  <c r="S87" i="28" s="1"/>
  <c r="M85" i="28"/>
  <c r="N84" i="28"/>
  <c r="I84" i="28"/>
  <c r="H84" i="28"/>
  <c r="G84" i="28"/>
  <c r="Q76" i="28"/>
  <c r="S76" i="28" s="1"/>
  <c r="J76" i="28"/>
  <c r="K76" i="28" s="1"/>
  <c r="Q77" i="28"/>
  <c r="S77" i="28" s="1"/>
  <c r="Q73" i="28"/>
  <c r="J73" i="28"/>
  <c r="K73" i="28" s="1"/>
  <c r="AB72" i="28"/>
  <c r="Y72" i="28"/>
  <c r="M72" i="28"/>
  <c r="N71" i="28"/>
  <c r="I71" i="28"/>
  <c r="H71" i="28"/>
  <c r="G71" i="28"/>
  <c r="Q60" i="28"/>
  <c r="S60" i="28" s="1"/>
  <c r="J60" i="28"/>
  <c r="K60" i="28" s="1"/>
  <c r="Q61" i="28"/>
  <c r="S61" i="28" s="1"/>
  <c r="M59" i="28"/>
  <c r="N58" i="28"/>
  <c r="I58" i="28"/>
  <c r="H58" i="28"/>
  <c r="G58" i="28"/>
  <c r="Q47" i="28"/>
  <c r="J47" i="28"/>
  <c r="K47" i="28" s="1"/>
  <c r="Q48" i="28"/>
  <c r="S48" i="28" s="1"/>
  <c r="M46" i="28"/>
  <c r="N45" i="28"/>
  <c r="I45" i="28"/>
  <c r="H45" i="28"/>
  <c r="G45" i="28"/>
  <c r="M41" i="28"/>
  <c r="Q40" i="28"/>
  <c r="S40" i="28" s="1"/>
  <c r="J40" i="28"/>
  <c r="K40" i="28" s="1"/>
  <c r="Q34" i="28"/>
  <c r="S34" i="28" s="1"/>
  <c r="J34" i="28"/>
  <c r="K34" i="28" s="1"/>
  <c r="Q35" i="28"/>
  <c r="S35" i="28" s="1"/>
  <c r="AA33" i="28"/>
  <c r="Y33" i="28"/>
  <c r="M33" i="28"/>
  <c r="N32" i="28"/>
  <c r="I32" i="28"/>
  <c r="H32" i="28"/>
  <c r="G32" i="28"/>
  <c r="Q21" i="28"/>
  <c r="J21" i="28"/>
  <c r="K21" i="28" s="1"/>
  <c r="AA20" i="28"/>
  <c r="Y20" i="28"/>
  <c r="M20" i="28"/>
  <c r="N19" i="28"/>
  <c r="I19" i="28"/>
  <c r="H19" i="28"/>
  <c r="G19" i="28"/>
  <c r="Q8" i="28"/>
  <c r="R8" i="28" s="1"/>
  <c r="Y7" i="28"/>
  <c r="M7" i="28"/>
  <c r="AB6" i="28"/>
  <c r="AA6" i="28"/>
  <c r="O6" i="28"/>
  <c r="N6" i="28"/>
  <c r="I6" i="28"/>
  <c r="H6" i="28"/>
  <c r="G6" i="28"/>
  <c r="Q5" i="28"/>
  <c r="P5" i="28"/>
  <c r="N677" i="28" l="1"/>
  <c r="L680" i="28"/>
  <c r="U680" i="28" s="1"/>
  <c r="L323" i="28"/>
  <c r="U323" i="28" s="1"/>
  <c r="S294" i="28"/>
  <c r="L454" i="28"/>
  <c r="U454" i="28" s="1"/>
  <c r="S21" i="28"/>
  <c r="R21" i="28"/>
  <c r="Y319" i="28"/>
  <c r="J22" i="28"/>
  <c r="K22" i="28" s="1"/>
  <c r="Q321" i="28"/>
  <c r="R321" i="28" s="1"/>
  <c r="L374" i="28"/>
  <c r="U374" i="28" s="1"/>
  <c r="W374" i="28" s="1"/>
  <c r="Q438" i="28"/>
  <c r="R438" i="28" s="1"/>
  <c r="J512" i="28"/>
  <c r="K512" i="28" s="1"/>
  <c r="L512" i="28" s="1"/>
  <c r="U512" i="28" s="1"/>
  <c r="R606" i="28"/>
  <c r="L606" i="28" s="1"/>
  <c r="U606" i="28" s="1"/>
  <c r="Q230" i="28"/>
  <c r="S230" i="28" s="1"/>
  <c r="L452" i="28"/>
  <c r="U452" i="28" s="1"/>
  <c r="W452" i="28" s="1"/>
  <c r="L554" i="28"/>
  <c r="U554" i="28" s="1"/>
  <c r="J427" i="28"/>
  <c r="K427" i="28" s="1"/>
  <c r="J490" i="28"/>
  <c r="K490" i="28" s="1"/>
  <c r="L490" i="28" s="1"/>
  <c r="U490" i="28" s="1"/>
  <c r="L511" i="28"/>
  <c r="U511" i="28" s="1"/>
  <c r="S677" i="28"/>
  <c r="L569" i="28"/>
  <c r="U569" i="28" s="1"/>
  <c r="W569" i="28" s="1"/>
  <c r="R541" i="28"/>
  <c r="L541" i="28" s="1"/>
  <c r="U541" i="28" s="1"/>
  <c r="Q543" i="28"/>
  <c r="S543" i="28" s="1"/>
  <c r="L528" i="28"/>
  <c r="U528" i="28" s="1"/>
  <c r="M123" i="28"/>
  <c r="Q152" i="28"/>
  <c r="S152" i="28" s="1"/>
  <c r="L348" i="28"/>
  <c r="U348" i="28" s="1"/>
  <c r="W348" i="28" s="1"/>
  <c r="Y527" i="28"/>
  <c r="Y215" i="28"/>
  <c r="Z215" i="28" s="1"/>
  <c r="J389" i="28"/>
  <c r="K389" i="28" s="1"/>
  <c r="Q118" i="28"/>
  <c r="S118" i="28" s="1"/>
  <c r="L285" i="28"/>
  <c r="U285" i="28" s="1"/>
  <c r="W285" i="28" s="1"/>
  <c r="L437" i="28"/>
  <c r="U437" i="28" s="1"/>
  <c r="W437" i="28" s="1"/>
  <c r="J451" i="28"/>
  <c r="K451" i="28" s="1"/>
  <c r="Q534" i="28"/>
  <c r="R534" i="28" s="1"/>
  <c r="Y59" i="28"/>
  <c r="Z59" i="28" s="1"/>
  <c r="H5" i="28"/>
  <c r="Q49" i="28"/>
  <c r="S49" i="28" s="1"/>
  <c r="N5" i="28"/>
  <c r="R60" i="28"/>
  <c r="L60" i="28" s="1"/>
  <c r="U60" i="28" s="1"/>
  <c r="W323" i="28"/>
  <c r="W528" i="28"/>
  <c r="L333" i="28"/>
  <c r="U333" i="28" s="1"/>
  <c r="S181" i="28"/>
  <c r="R181" i="28"/>
  <c r="W454" i="28"/>
  <c r="Q22" i="28"/>
  <c r="S22" i="28" s="1"/>
  <c r="J154" i="28"/>
  <c r="K154" i="28" s="1"/>
  <c r="L451" i="28"/>
  <c r="U451" i="28" s="1"/>
  <c r="W511" i="28"/>
  <c r="G5" i="28"/>
  <c r="Q36" i="28"/>
  <c r="S36" i="28" s="1"/>
  <c r="M32" i="28"/>
  <c r="J87" i="28"/>
  <c r="K87" i="28" s="1"/>
  <c r="Q101" i="28"/>
  <c r="S101" i="28" s="1"/>
  <c r="Q114" i="28"/>
  <c r="S114" i="28" s="1"/>
  <c r="J153" i="28"/>
  <c r="K153" i="28" s="1"/>
  <c r="R171" i="28"/>
  <c r="S171" i="28"/>
  <c r="S177" i="28"/>
  <c r="R177" i="28"/>
  <c r="J181" i="28"/>
  <c r="K181" i="28" s="1"/>
  <c r="J217" i="28"/>
  <c r="K217" i="28" s="1"/>
  <c r="S229" i="28"/>
  <c r="L229" i="28" s="1"/>
  <c r="U229" i="28" s="1"/>
  <c r="Q286" i="28"/>
  <c r="R286" i="28" s="1"/>
  <c r="Q365" i="28"/>
  <c r="R365" i="28" s="1"/>
  <c r="L388" i="28"/>
  <c r="U388" i="28" s="1"/>
  <c r="Q389" i="28"/>
  <c r="R389" i="28" s="1"/>
  <c r="L389" i="28" s="1"/>
  <c r="U389" i="28" s="1"/>
  <c r="J399" i="28"/>
  <c r="K399" i="28" s="1"/>
  <c r="J542" i="28"/>
  <c r="K542" i="28" s="1"/>
  <c r="J544" i="28"/>
  <c r="K544" i="28" s="1"/>
  <c r="W189" i="28"/>
  <c r="R160" i="28"/>
  <c r="S160" i="28"/>
  <c r="Q9" i="28"/>
  <c r="S9" i="28" s="1"/>
  <c r="R47" i="28"/>
  <c r="S47" i="28"/>
  <c r="R76" i="28"/>
  <c r="L76" i="28" s="1"/>
  <c r="U76" i="28" s="1"/>
  <c r="R86" i="28"/>
  <c r="L86" i="28" s="1"/>
  <c r="U86" i="28" s="1"/>
  <c r="J100" i="28"/>
  <c r="K100" i="28" s="1"/>
  <c r="M119" i="28"/>
  <c r="M110" i="28" s="1"/>
  <c r="R125" i="28"/>
  <c r="S125" i="28"/>
  <c r="R164" i="28"/>
  <c r="S164" i="28"/>
  <c r="Q172" i="28"/>
  <c r="S172" i="28" s="1"/>
  <c r="S178" i="28"/>
  <c r="R178" i="28"/>
  <c r="S180" i="28"/>
  <c r="R180" i="28"/>
  <c r="Q217" i="28"/>
  <c r="R217" i="28" s="1"/>
  <c r="R268" i="28"/>
  <c r="L268" i="28" s="1"/>
  <c r="U268" i="28" s="1"/>
  <c r="L294" i="28"/>
  <c r="U294" i="28" s="1"/>
  <c r="L310" i="28"/>
  <c r="U310" i="28" s="1"/>
  <c r="J347" i="28"/>
  <c r="K347" i="28" s="1"/>
  <c r="L347" i="28" s="1"/>
  <c r="U347" i="28" s="1"/>
  <c r="Q399" i="28"/>
  <c r="R399" i="28" s="1"/>
  <c r="L467" i="28"/>
  <c r="U467" i="28" s="1"/>
  <c r="W512" i="28"/>
  <c r="W202" i="28"/>
  <c r="W554" i="28"/>
  <c r="R73" i="28"/>
  <c r="S73" i="28"/>
  <c r="J286" i="28"/>
  <c r="K286" i="28" s="1"/>
  <c r="Q478" i="28"/>
  <c r="R478" i="28" s="1"/>
  <c r="S8" i="28"/>
  <c r="L8" i="28" s="1"/>
  <c r="U8" i="28" s="1"/>
  <c r="Y8" i="28" s="1"/>
  <c r="R96" i="28"/>
  <c r="L96" i="28" s="1"/>
  <c r="U96" i="28" s="1"/>
  <c r="R99" i="28"/>
  <c r="L99" i="28" s="1"/>
  <c r="J118" i="28"/>
  <c r="K118" i="28" s="1"/>
  <c r="L196" i="28"/>
  <c r="U196" i="28" s="1"/>
  <c r="L261" i="28"/>
  <c r="U261" i="28" s="1"/>
  <c r="Q262" i="28"/>
  <c r="R262" i="28" s="1"/>
  <c r="Q413" i="28"/>
  <c r="R413" i="28" s="1"/>
  <c r="L426" i="28"/>
  <c r="U426" i="28" s="1"/>
  <c r="L480" i="28"/>
  <c r="U480" i="28" s="1"/>
  <c r="W215" i="28"/>
  <c r="J568" i="28"/>
  <c r="K568" i="28" s="1"/>
  <c r="L568" i="28" s="1"/>
  <c r="U568" i="28" s="1"/>
  <c r="W540" i="28"/>
  <c r="AA514" i="28"/>
  <c r="AA462" i="28"/>
  <c r="W410" i="28"/>
  <c r="W397" i="28"/>
  <c r="W384" i="28"/>
  <c r="W371" i="28"/>
  <c r="W358" i="28"/>
  <c r="W345" i="28"/>
  <c r="W332" i="28"/>
  <c r="W319" i="28"/>
  <c r="W306" i="28"/>
  <c r="W176" i="28"/>
  <c r="AA111" i="28"/>
  <c r="W33" i="28"/>
  <c r="W605" i="28"/>
  <c r="W579" i="28"/>
  <c r="W553" i="28"/>
  <c r="W527" i="28"/>
  <c r="W514" i="28"/>
  <c r="W501" i="28"/>
  <c r="W488" i="28"/>
  <c r="W475" i="28"/>
  <c r="W462" i="28"/>
  <c r="W449" i="28"/>
  <c r="W436" i="28"/>
  <c r="S662" i="28"/>
  <c r="L682" i="28"/>
  <c r="U682" i="28" s="1"/>
  <c r="W280" i="28"/>
  <c r="W163" i="28"/>
  <c r="AB98" i="28"/>
  <c r="W72" i="28"/>
  <c r="Q582" i="28"/>
  <c r="R582" i="28" s="1"/>
  <c r="G677" i="28"/>
  <c r="AB267" i="28"/>
  <c r="W254" i="28"/>
  <c r="W241" i="28"/>
  <c r="W137" i="28"/>
  <c r="W124" i="28"/>
  <c r="W59" i="28"/>
  <c r="W423" i="28"/>
  <c r="Y710" i="28"/>
  <c r="Z710" i="28" s="1"/>
  <c r="Y692" i="28"/>
  <c r="Z692" i="28" s="1"/>
  <c r="AA692" i="28"/>
  <c r="W692" i="28"/>
  <c r="W592" i="28"/>
  <c r="W293" i="28"/>
  <c r="Y293" i="28"/>
  <c r="AB293" i="28"/>
  <c r="W267" i="28"/>
  <c r="W228" i="28"/>
  <c r="AB163" i="28"/>
  <c r="W150" i="28"/>
  <c r="Y111" i="28"/>
  <c r="Z111" i="28" s="1"/>
  <c r="W111" i="28"/>
  <c r="W98" i="28"/>
  <c r="W85" i="28"/>
  <c r="W46" i="28"/>
  <c r="W20" i="28"/>
  <c r="U643" i="28"/>
  <c r="U630" i="28"/>
  <c r="Y643" i="28"/>
  <c r="Y633" i="28"/>
  <c r="Y630" i="28" s="1"/>
  <c r="AB306" i="28"/>
  <c r="AA98" i="28"/>
  <c r="Y98" i="28"/>
  <c r="Z98" i="28" s="1"/>
  <c r="Z33" i="28"/>
  <c r="R36" i="28"/>
  <c r="R49" i="28"/>
  <c r="R77" i="28"/>
  <c r="Y46" i="28"/>
  <c r="AB46" i="28"/>
  <c r="AA46" i="28"/>
  <c r="R61" i="28"/>
  <c r="Q75" i="28"/>
  <c r="S75" i="28" s="1"/>
  <c r="J75" i="28"/>
  <c r="K75" i="28" s="1"/>
  <c r="J11" i="28"/>
  <c r="K11" i="28" s="1"/>
  <c r="M15" i="28"/>
  <c r="M6" i="28" s="1"/>
  <c r="O29" i="28"/>
  <c r="O30" i="28" s="1"/>
  <c r="O31" i="28" s="1"/>
  <c r="R48" i="28"/>
  <c r="Q50" i="28"/>
  <c r="S50" i="28" s="1"/>
  <c r="J50" i="28"/>
  <c r="K50" i="28" s="1"/>
  <c r="J52" i="28"/>
  <c r="K52" i="28" s="1"/>
  <c r="Q53" i="28"/>
  <c r="S53" i="28" s="1"/>
  <c r="J53" i="28"/>
  <c r="K53" i="28" s="1"/>
  <c r="Z72" i="28"/>
  <c r="Z7" i="28"/>
  <c r="Z20" i="28"/>
  <c r="Q23" i="28"/>
  <c r="S23" i="28" s="1"/>
  <c r="R35" i="28"/>
  <c r="J9" i="28"/>
  <c r="K9" i="28" s="1"/>
  <c r="AB20" i="28"/>
  <c r="J23" i="28"/>
  <c r="K23" i="28" s="1"/>
  <c r="AB33" i="28"/>
  <c r="R34" i="28"/>
  <c r="L34" i="28" s="1"/>
  <c r="U34" i="28" s="1"/>
  <c r="J35" i="28"/>
  <c r="K35" i="28" s="1"/>
  <c r="R40" i="28"/>
  <c r="L40" i="28" s="1"/>
  <c r="U40" i="28" s="1"/>
  <c r="J41" i="28"/>
  <c r="K41" i="28" s="1"/>
  <c r="J74" i="28"/>
  <c r="K74" i="28" s="1"/>
  <c r="Q74" i="28"/>
  <c r="S74" i="28" s="1"/>
  <c r="Q89" i="28"/>
  <c r="S89" i="28" s="1"/>
  <c r="Q121" i="28"/>
  <c r="S121" i="28" s="1"/>
  <c r="J121" i="28"/>
  <c r="K121" i="28" s="1"/>
  <c r="R134" i="28"/>
  <c r="R156" i="28"/>
  <c r="R159" i="28"/>
  <c r="R165" i="28"/>
  <c r="Q10" i="28"/>
  <c r="F6" i="28"/>
  <c r="J36" i="28"/>
  <c r="K36" i="28" s="1"/>
  <c r="Q41" i="28"/>
  <c r="S41" i="28" s="1"/>
  <c r="J48" i="28"/>
  <c r="K48" i="28" s="1"/>
  <c r="J49" i="28"/>
  <c r="K49" i="28" s="1"/>
  <c r="AA59" i="28"/>
  <c r="J61" i="28"/>
  <c r="K61" i="28" s="1"/>
  <c r="AA72" i="28"/>
  <c r="R87" i="28"/>
  <c r="J88" i="28"/>
  <c r="K88" i="28" s="1"/>
  <c r="Q90" i="28"/>
  <c r="S90" i="28" s="1"/>
  <c r="J90" i="28"/>
  <c r="K90" i="28" s="1"/>
  <c r="Q116" i="28"/>
  <c r="S116" i="28" s="1"/>
  <c r="Q115" i="28"/>
  <c r="S115" i="28" s="1"/>
  <c r="J115" i="28"/>
  <c r="K115" i="28" s="1"/>
  <c r="R126" i="28"/>
  <c r="L138" i="28"/>
  <c r="U138" i="28" s="1"/>
  <c r="R157" i="28"/>
  <c r="R161" i="28"/>
  <c r="J10" i="28"/>
  <c r="K10" i="28" s="1"/>
  <c r="J42" i="28"/>
  <c r="K42" i="28" s="1"/>
  <c r="Q42" i="28"/>
  <c r="S42" i="28" s="1"/>
  <c r="R88" i="28"/>
  <c r="R113" i="28"/>
  <c r="R155" i="28"/>
  <c r="J51" i="28"/>
  <c r="K51" i="28" s="1"/>
  <c r="J77" i="28"/>
  <c r="K77" i="28" s="1"/>
  <c r="M84" i="28"/>
  <c r="Q109" i="28"/>
  <c r="S109" i="28" s="1"/>
  <c r="J109" i="28"/>
  <c r="K109" i="28" s="1"/>
  <c r="AA137" i="28"/>
  <c r="Y137" i="28"/>
  <c r="AB137" i="28"/>
  <c r="Y150" i="28"/>
  <c r="AB150" i="28"/>
  <c r="AA150" i="28"/>
  <c r="R154" i="28"/>
  <c r="M162" i="28"/>
  <c r="J103" i="28"/>
  <c r="K103" i="28" s="1"/>
  <c r="J108" i="28"/>
  <c r="K108" i="28" s="1"/>
  <c r="Q108" i="28"/>
  <c r="S108" i="28" s="1"/>
  <c r="Y124" i="28"/>
  <c r="J155" i="28"/>
  <c r="K155" i="28" s="1"/>
  <c r="Q158" i="28"/>
  <c r="S158" i="28" s="1"/>
  <c r="Y163" i="28"/>
  <c r="L242" i="28"/>
  <c r="U242" i="28" s="1"/>
  <c r="L255" i="28"/>
  <c r="U255" i="28" s="1"/>
  <c r="Q218" i="28"/>
  <c r="R218" i="28" s="1"/>
  <c r="J218" i="28"/>
  <c r="J89" i="28"/>
  <c r="K89" i="28" s="1"/>
  <c r="R100" i="28"/>
  <c r="J101" i="28"/>
  <c r="K101" i="28" s="1"/>
  <c r="AB111" i="28"/>
  <c r="R112" i="28"/>
  <c r="L112" i="28" s="1"/>
  <c r="J113" i="28"/>
  <c r="K113" i="28" s="1"/>
  <c r="AA124" i="28"/>
  <c r="J134" i="28"/>
  <c r="K134" i="28" s="1"/>
  <c r="R151" i="28"/>
  <c r="L151" i="28" s="1"/>
  <c r="U151" i="28" s="1"/>
  <c r="R153" i="28"/>
  <c r="M158" i="28"/>
  <c r="M149" i="28" s="1"/>
  <c r="AA163" i="28"/>
  <c r="Q182" i="28"/>
  <c r="J182" i="28"/>
  <c r="Z189" i="28"/>
  <c r="L190" i="28"/>
  <c r="U190" i="28" s="1"/>
  <c r="AA202" i="28"/>
  <c r="Y202" i="28"/>
  <c r="AB202" i="28"/>
  <c r="R204" i="28"/>
  <c r="L216" i="28"/>
  <c r="U216" i="28" s="1"/>
  <c r="Y228" i="28"/>
  <c r="AB228" i="28"/>
  <c r="AA228" i="28"/>
  <c r="AA254" i="28"/>
  <c r="Y254" i="28"/>
  <c r="AB254" i="28"/>
  <c r="J114" i="28"/>
  <c r="K114" i="28" s="1"/>
  <c r="J126" i="28"/>
  <c r="K126" i="28" s="1"/>
  <c r="J139" i="28"/>
  <c r="J156" i="28"/>
  <c r="K156" i="28" s="1"/>
  <c r="J157" i="28"/>
  <c r="K157" i="28" s="1"/>
  <c r="J159" i="28"/>
  <c r="K159" i="28" s="1"/>
  <c r="J161" i="28"/>
  <c r="K161" i="28" s="1"/>
  <c r="J165" i="28"/>
  <c r="K165" i="28" s="1"/>
  <c r="J172" i="28"/>
  <c r="K172" i="28" s="1"/>
  <c r="AA176" i="28"/>
  <c r="Y176" i="28"/>
  <c r="AB176" i="28"/>
  <c r="L203" i="28"/>
  <c r="U203" i="28" s="1"/>
  <c r="R243" i="28"/>
  <c r="M184" i="28"/>
  <c r="M175" i="28" s="1"/>
  <c r="Q197" i="28"/>
  <c r="R197" i="28" s="1"/>
  <c r="L197" i="28" s="1"/>
  <c r="U197" i="28" s="1"/>
  <c r="J230" i="28"/>
  <c r="K230" i="28" s="1"/>
  <c r="Y241" i="28"/>
  <c r="L307" i="28"/>
  <c r="U307" i="28" s="1"/>
  <c r="Q325" i="28"/>
  <c r="R325" i="28" s="1"/>
  <c r="J325" i="28"/>
  <c r="K325" i="28" s="1"/>
  <c r="Q335" i="28"/>
  <c r="R335" i="28" s="1"/>
  <c r="J335" i="28"/>
  <c r="K335" i="28" s="1"/>
  <c r="Q350" i="28"/>
  <c r="R350" i="28" s="1"/>
  <c r="J350" i="28"/>
  <c r="K350" i="28" s="1"/>
  <c r="Q179" i="28"/>
  <c r="J191" i="28"/>
  <c r="Q234" i="28"/>
  <c r="M262" i="28"/>
  <c r="M253" i="28" s="1"/>
  <c r="Q263" i="28"/>
  <c r="R263" i="28" s="1"/>
  <c r="J263" i="28"/>
  <c r="K263" i="28" s="1"/>
  <c r="L281" i="28"/>
  <c r="U281" i="28" s="1"/>
  <c r="J287" i="28"/>
  <c r="K287" i="28" s="1"/>
  <c r="Q287" i="28"/>
  <c r="R287" i="28" s="1"/>
  <c r="S295" i="28"/>
  <c r="R295" i="28"/>
  <c r="Z332" i="28"/>
  <c r="AA345" i="28"/>
  <c r="Y345" i="28"/>
  <c r="AB345" i="28"/>
  <c r="AB189" i="28"/>
  <c r="AB215" i="28"/>
  <c r="R233" i="28"/>
  <c r="L233" i="28" s="1"/>
  <c r="U233" i="28" s="1"/>
  <c r="AA241" i="28"/>
  <c r="Q270" i="28"/>
  <c r="J270" i="28"/>
  <c r="K270" i="28" s="1"/>
  <c r="Z293" i="28"/>
  <c r="J178" i="28"/>
  <c r="K178" i="28" s="1"/>
  <c r="J204" i="28"/>
  <c r="J243" i="28"/>
  <c r="J256" i="28"/>
  <c r="Z267" i="28"/>
  <c r="AA280" i="28"/>
  <c r="Y280" i="28"/>
  <c r="AB280" i="28"/>
  <c r="Z319" i="28"/>
  <c r="L320" i="28"/>
  <c r="U320" i="28" s="1"/>
  <c r="M340" i="28"/>
  <c r="M331" i="28" s="1"/>
  <c r="L346" i="28"/>
  <c r="U346" i="28" s="1"/>
  <c r="J262" i="28"/>
  <c r="K262" i="28" s="1"/>
  <c r="AA267" i="28"/>
  <c r="J269" i="28"/>
  <c r="K269" i="28" s="1"/>
  <c r="Q269" i="28"/>
  <c r="AA293" i="28"/>
  <c r="J295" i="28"/>
  <c r="K295" i="28" s="1"/>
  <c r="Y306" i="28"/>
  <c r="Q308" i="28"/>
  <c r="R308" i="28" s="1"/>
  <c r="J311" i="28"/>
  <c r="K311" i="28" s="1"/>
  <c r="L311" i="28" s="1"/>
  <c r="U311" i="28" s="1"/>
  <c r="J321" i="28"/>
  <c r="J324" i="28"/>
  <c r="K324" i="28" s="1"/>
  <c r="Q324" i="28"/>
  <c r="R324" i="28" s="1"/>
  <c r="AA332" i="28"/>
  <c r="J334" i="28"/>
  <c r="Q334" i="28"/>
  <c r="R334" i="28" s="1"/>
  <c r="J349" i="28"/>
  <c r="K349" i="28" s="1"/>
  <c r="Q349" i="28"/>
  <c r="R349" i="28" s="1"/>
  <c r="Q376" i="28"/>
  <c r="R376" i="28" s="1"/>
  <c r="J376" i="28"/>
  <c r="K376" i="28" s="1"/>
  <c r="Q390" i="28"/>
  <c r="R390" i="28" s="1"/>
  <c r="J390" i="28"/>
  <c r="K390" i="28" s="1"/>
  <c r="Q400" i="28"/>
  <c r="R400" i="28" s="1"/>
  <c r="J400" i="28"/>
  <c r="M405" i="28"/>
  <c r="M396" i="28" s="1"/>
  <c r="L411" i="28"/>
  <c r="U411" i="28" s="1"/>
  <c r="L419" i="28"/>
  <c r="U419" i="28" s="1"/>
  <c r="L424" i="28"/>
  <c r="U424" i="28" s="1"/>
  <c r="Q298" i="28"/>
  <c r="J308" i="28"/>
  <c r="Z358" i="28"/>
  <c r="L372" i="28"/>
  <c r="U372" i="28" s="1"/>
  <c r="Y384" i="28"/>
  <c r="AB384" i="28"/>
  <c r="AA384" i="28"/>
  <c r="L398" i="28"/>
  <c r="U398" i="28" s="1"/>
  <c r="R297" i="28"/>
  <c r="L297" i="28" s="1"/>
  <c r="U297" i="28" s="1"/>
  <c r="AA306" i="28"/>
  <c r="AB319" i="28"/>
  <c r="K360" i="28"/>
  <c r="L364" i="28"/>
  <c r="U364" i="28" s="1"/>
  <c r="Q387" i="28"/>
  <c r="R387" i="28" s="1"/>
  <c r="J387" i="28"/>
  <c r="K387" i="28" s="1"/>
  <c r="Y410" i="28"/>
  <c r="AB410" i="28"/>
  <c r="AA410" i="28"/>
  <c r="J282" i="28"/>
  <c r="L359" i="28"/>
  <c r="U359" i="28" s="1"/>
  <c r="L385" i="28"/>
  <c r="U385" i="28" s="1"/>
  <c r="AB397" i="28"/>
  <c r="AA397" i="28"/>
  <c r="Y397" i="28"/>
  <c r="Q404" i="28"/>
  <c r="R404" i="28" s="1"/>
  <c r="J404" i="28"/>
  <c r="K404" i="28" s="1"/>
  <c r="Q421" i="28"/>
  <c r="R421" i="28" s="1"/>
  <c r="J421" i="28"/>
  <c r="K421" i="28" s="1"/>
  <c r="Z436" i="28"/>
  <c r="J443" i="28"/>
  <c r="K443" i="28" s="1"/>
  <c r="Q443" i="28"/>
  <c r="R443" i="28" s="1"/>
  <c r="AA358" i="28"/>
  <c r="J365" i="28"/>
  <c r="K365" i="28" s="1"/>
  <c r="AB371" i="28"/>
  <c r="J375" i="28"/>
  <c r="K375" i="28" s="1"/>
  <c r="Q375" i="28"/>
  <c r="R375" i="28" s="1"/>
  <c r="J386" i="28"/>
  <c r="Q386" i="28"/>
  <c r="R386" i="28" s="1"/>
  <c r="J420" i="28"/>
  <c r="K420" i="28" s="1"/>
  <c r="Q420" i="28"/>
  <c r="R420" i="28" s="1"/>
  <c r="AB423" i="28"/>
  <c r="J425" i="28"/>
  <c r="Q427" i="28"/>
  <c r="R427" i="28" s="1"/>
  <c r="J438" i="28"/>
  <c r="Q445" i="28"/>
  <c r="R445" i="28" s="1"/>
  <c r="M444" i="28"/>
  <c r="M435" i="28" s="1"/>
  <c r="J445" i="28"/>
  <c r="K445" i="28" s="1"/>
  <c r="L476" i="28"/>
  <c r="U476" i="28" s="1"/>
  <c r="AB358" i="28"/>
  <c r="Q360" i="28"/>
  <c r="R360" i="28" s="1"/>
  <c r="Y371" i="28"/>
  <c r="J373" i="28"/>
  <c r="Y423" i="28"/>
  <c r="AA436" i="28"/>
  <c r="L450" i="28"/>
  <c r="U450" i="28" s="1"/>
  <c r="AB450" i="28" s="1"/>
  <c r="L489" i="28"/>
  <c r="U489" i="28" s="1"/>
  <c r="J413" i="28"/>
  <c r="K413" i="28" s="1"/>
  <c r="L463" i="28"/>
  <c r="U463" i="28" s="1"/>
  <c r="Y475" i="28"/>
  <c r="AB475" i="28"/>
  <c r="AA475" i="28"/>
  <c r="M409" i="28"/>
  <c r="J412" i="28"/>
  <c r="Y488" i="28"/>
  <c r="AB488" i="28"/>
  <c r="AA488" i="28"/>
  <c r="Q444" i="28"/>
  <c r="R444" i="28" s="1"/>
  <c r="AB462" i="28"/>
  <c r="Q464" i="28"/>
  <c r="R464" i="28" s="1"/>
  <c r="J468" i="28"/>
  <c r="K468" i="28" s="1"/>
  <c r="L468" i="28" s="1"/>
  <c r="U468" i="28" s="1"/>
  <c r="L502" i="28"/>
  <c r="U502" i="28" s="1"/>
  <c r="Y540" i="28"/>
  <c r="AB540" i="28"/>
  <c r="AA540" i="28"/>
  <c r="R543" i="28"/>
  <c r="J455" i="28"/>
  <c r="K455" i="28" s="1"/>
  <c r="L455" i="28" s="1"/>
  <c r="U455" i="28" s="1"/>
  <c r="Y462" i="28"/>
  <c r="J464" i="28"/>
  <c r="L515" i="28"/>
  <c r="U515" i="28" s="1"/>
  <c r="L532" i="28"/>
  <c r="U532" i="28" s="1"/>
  <c r="J481" i="28"/>
  <c r="K481" i="28" s="1"/>
  <c r="L481" i="28" s="1"/>
  <c r="U481" i="28" s="1"/>
  <c r="Z527" i="28"/>
  <c r="Q530" i="28"/>
  <c r="R530" i="28" s="1"/>
  <c r="J530" i="28"/>
  <c r="K530" i="28" s="1"/>
  <c r="J453" i="28"/>
  <c r="K453" i="28" s="1"/>
  <c r="L453" i="28" s="1"/>
  <c r="U453" i="28" s="1"/>
  <c r="J477" i="28"/>
  <c r="Q551" i="28"/>
  <c r="S551" i="28" s="1"/>
  <c r="J551" i="28"/>
  <c r="K551" i="28" s="1"/>
  <c r="Y501" i="28"/>
  <c r="J503" i="28"/>
  <c r="AB514" i="28"/>
  <c r="Q516" i="28"/>
  <c r="R516" i="28" s="1"/>
  <c r="J529" i="28"/>
  <c r="Q529" i="28"/>
  <c r="R529" i="28" s="1"/>
  <c r="M539" i="28"/>
  <c r="S542" i="28"/>
  <c r="Y514" i="28"/>
  <c r="J516" i="28"/>
  <c r="AA527" i="28"/>
  <c r="J546" i="28"/>
  <c r="K546" i="28" s="1"/>
  <c r="L567" i="28"/>
  <c r="U567" i="28" s="1"/>
  <c r="Y579" i="28"/>
  <c r="AB579" i="28"/>
  <c r="AA579" i="28"/>
  <c r="J534" i="28"/>
  <c r="K534" i="28" s="1"/>
  <c r="L534" i="28" s="1"/>
  <c r="U534" i="28" s="1"/>
  <c r="Q545" i="28"/>
  <c r="Q544" i="28"/>
  <c r="Q571" i="28"/>
  <c r="R571" i="28" s="1"/>
  <c r="J571" i="28"/>
  <c r="K571" i="28" s="1"/>
  <c r="J533" i="28"/>
  <c r="K533" i="28" s="1"/>
  <c r="L533" i="28" s="1"/>
  <c r="U533" i="28" s="1"/>
  <c r="J543" i="28"/>
  <c r="K543" i="28" s="1"/>
  <c r="Q550" i="28"/>
  <c r="J550" i="28"/>
  <c r="K550" i="28" s="1"/>
  <c r="Y566" i="28"/>
  <c r="AB566" i="28"/>
  <c r="AA566" i="28"/>
  <c r="L580" i="28"/>
  <c r="U580" i="28" s="1"/>
  <c r="R549" i="28"/>
  <c r="L549" i="28" s="1"/>
  <c r="U549" i="28" s="1"/>
  <c r="J555" i="28"/>
  <c r="Q555" i="28"/>
  <c r="R555" i="28" s="1"/>
  <c r="J570" i="28"/>
  <c r="K570" i="28" s="1"/>
  <c r="Q570" i="28"/>
  <c r="R570" i="28" s="1"/>
  <c r="Q594" i="28"/>
  <c r="J594" i="28"/>
  <c r="K594" i="28" s="1"/>
  <c r="J582" i="28"/>
  <c r="K582" i="28" s="1"/>
  <c r="AB592" i="28"/>
  <c r="AA592" i="28"/>
  <c r="Y592" i="28"/>
  <c r="M578" i="28"/>
  <c r="J581" i="28"/>
  <c r="S593" i="28"/>
  <c r="L593" i="28" s="1"/>
  <c r="Q607" i="28"/>
  <c r="S607" i="28" s="1"/>
  <c r="R671" i="28"/>
  <c r="S671" i="28"/>
  <c r="J607" i="28"/>
  <c r="K607" i="28" s="1"/>
  <c r="AB661" i="28"/>
  <c r="X661" i="28"/>
  <c r="W661" i="28"/>
  <c r="AA661" i="28"/>
  <c r="Y661" i="28"/>
  <c r="Q663" i="28"/>
  <c r="J663" i="28"/>
  <c r="K663" i="28" s="1"/>
  <c r="J671" i="28"/>
  <c r="K671" i="28" s="1"/>
  <c r="K662" i="28"/>
  <c r="M660" i="28"/>
  <c r="M659" i="28" s="1"/>
  <c r="U620" i="28"/>
  <c r="H677" i="28"/>
  <c r="F700" i="28"/>
  <c r="S711" i="28"/>
  <c r="R711" i="28"/>
  <c r="X692" i="28"/>
  <c r="AB692" i="28"/>
  <c r="J683" i="28"/>
  <c r="K683" i="28" s="1"/>
  <c r="L683" i="28" s="1"/>
  <c r="U683" i="28" s="1"/>
  <c r="J681" i="28"/>
  <c r="K681" i="28" s="1"/>
  <c r="L681" i="28" s="1"/>
  <c r="U681" i="28" s="1"/>
  <c r="AA681" i="28" s="1"/>
  <c r="AA710" i="28"/>
  <c r="W710" i="28"/>
  <c r="AB710" i="28"/>
  <c r="X710" i="28"/>
  <c r="S713" i="28"/>
  <c r="R713" i="28"/>
  <c r="O713" i="28"/>
  <c r="O714" i="28" s="1"/>
  <c r="O715" i="28" s="1"/>
  <c r="O716" i="28" s="1"/>
  <c r="O717" i="28" s="1"/>
  <c r="O718" i="28" s="1"/>
  <c r="O719" i="28" s="1"/>
  <c r="O720" i="28" s="1"/>
  <c r="J713" i="28"/>
  <c r="K713" i="28" s="1"/>
  <c r="R712" i="28"/>
  <c r="L712" i="28" s="1"/>
  <c r="U712" i="28" s="1"/>
  <c r="Q21" i="17"/>
  <c r="R21" i="17" s="1"/>
  <c r="Q34" i="17"/>
  <c r="Q40" i="17"/>
  <c r="Q47" i="17"/>
  <c r="L21" i="28" l="1"/>
  <c r="U21" i="28" s="1"/>
  <c r="L404" i="28"/>
  <c r="U404" i="28" s="1"/>
  <c r="R118" i="28"/>
  <c r="L134" i="28"/>
  <c r="U134" i="28" s="1"/>
  <c r="R114" i="28"/>
  <c r="L114" i="28" s="1"/>
  <c r="U114" i="28" s="1"/>
  <c r="AA114" i="28" s="1"/>
  <c r="L157" i="28"/>
  <c r="U157" i="28" s="1"/>
  <c r="W157" i="28" s="1"/>
  <c r="L413" i="28"/>
  <c r="U413" i="28" s="1"/>
  <c r="L365" i="28"/>
  <c r="U365" i="28" s="1"/>
  <c r="L178" i="28"/>
  <c r="L155" i="28"/>
  <c r="U155" i="28" s="1"/>
  <c r="AA155" i="28" s="1"/>
  <c r="L217" i="28"/>
  <c r="U217" i="28" s="1"/>
  <c r="L171" i="28"/>
  <c r="U171" i="28" s="1"/>
  <c r="L262" i="28"/>
  <c r="U262" i="28" s="1"/>
  <c r="AA262" i="28" s="1"/>
  <c r="L159" i="28"/>
  <c r="U159" i="28" s="1"/>
  <c r="AA159" i="28" s="1"/>
  <c r="L126" i="28"/>
  <c r="U126" i="28" s="1"/>
  <c r="W126" i="28" s="1"/>
  <c r="L73" i="28"/>
  <c r="U73" i="28" s="1"/>
  <c r="R101" i="28"/>
  <c r="L101" i="28" s="1"/>
  <c r="U101" i="28" s="1"/>
  <c r="AB101" i="28" s="1"/>
  <c r="L571" i="28"/>
  <c r="U571" i="28" s="1"/>
  <c r="L427" i="28"/>
  <c r="U427" i="28" s="1"/>
  <c r="W427" i="28" s="1"/>
  <c r="R230" i="28"/>
  <c r="R152" i="28"/>
  <c r="L152" i="28" s="1"/>
  <c r="U152" i="28" s="1"/>
  <c r="W152" i="28" s="1"/>
  <c r="L113" i="28"/>
  <c r="U113" i="28" s="1"/>
  <c r="W113" i="28" s="1"/>
  <c r="R172" i="28"/>
  <c r="L172" i="28" s="1"/>
  <c r="U172" i="28" s="1"/>
  <c r="L164" i="28"/>
  <c r="U164" i="28" s="1"/>
  <c r="Y164" i="28" s="1"/>
  <c r="Z164" i="28" s="1"/>
  <c r="L47" i="28"/>
  <c r="U47" i="28" s="1"/>
  <c r="AA47" i="28" s="1"/>
  <c r="L542" i="28"/>
  <c r="U542" i="28" s="1"/>
  <c r="AB542" i="28" s="1"/>
  <c r="L177" i="28"/>
  <c r="L543" i="28"/>
  <c r="U543" i="28" s="1"/>
  <c r="W543" i="28" s="1"/>
  <c r="Y450" i="28"/>
  <c r="Z450" i="28" s="1"/>
  <c r="L156" i="28"/>
  <c r="U156" i="28" s="1"/>
  <c r="AB156" i="28" s="1"/>
  <c r="J102" i="28"/>
  <c r="K102" i="28" s="1"/>
  <c r="Q102" i="28"/>
  <c r="S102" i="28" s="1"/>
  <c r="L48" i="28"/>
  <c r="U48" i="28" s="1"/>
  <c r="R22" i="28"/>
  <c r="L22" i="28" s="1"/>
  <c r="U22" i="28" s="1"/>
  <c r="W22" i="28" s="1"/>
  <c r="L713" i="28"/>
  <c r="U713" i="28" s="1"/>
  <c r="L711" i="28"/>
  <c r="X681" i="28"/>
  <c r="J556" i="28"/>
  <c r="K556" i="28" s="1"/>
  <c r="Q546" i="28"/>
  <c r="J545" i="28"/>
  <c r="K545" i="28" s="1"/>
  <c r="L420" i="28"/>
  <c r="U420" i="28" s="1"/>
  <c r="Y420" i="28" s="1"/>
  <c r="Z420" i="28" s="1"/>
  <c r="S149" i="28"/>
  <c r="Q120" i="28"/>
  <c r="S120" i="28" s="1"/>
  <c r="L118" i="28"/>
  <c r="U118" i="28" s="1"/>
  <c r="W118" i="28" s="1"/>
  <c r="L160" i="28"/>
  <c r="U160" i="28" s="1"/>
  <c r="W160" i="28" s="1"/>
  <c r="L154" i="28"/>
  <c r="U154" i="28" s="1"/>
  <c r="W154" i="28" s="1"/>
  <c r="J405" i="28"/>
  <c r="K405" i="28" s="1"/>
  <c r="L349" i="28"/>
  <c r="U349" i="28" s="1"/>
  <c r="W349" i="28" s="1"/>
  <c r="J206" i="28"/>
  <c r="K206" i="28" s="1"/>
  <c r="L161" i="28"/>
  <c r="U161" i="28" s="1"/>
  <c r="AB161" i="28" s="1"/>
  <c r="J120" i="28"/>
  <c r="K120" i="28" s="1"/>
  <c r="L88" i="28"/>
  <c r="U88" i="28" s="1"/>
  <c r="W88" i="28" s="1"/>
  <c r="L125" i="28"/>
  <c r="U125" i="28" s="1"/>
  <c r="AA125" i="28" s="1"/>
  <c r="L87" i="28"/>
  <c r="U87" i="28" s="1"/>
  <c r="W87" i="28" s="1"/>
  <c r="U177" i="28"/>
  <c r="AA177" i="28" s="1"/>
  <c r="L230" i="28"/>
  <c r="U230" i="28" s="1"/>
  <c r="W230" i="28" s="1"/>
  <c r="L180" i="28"/>
  <c r="U180" i="28" s="1"/>
  <c r="W180" i="28" s="1"/>
  <c r="L77" i="28"/>
  <c r="U77" i="28" s="1"/>
  <c r="W77" i="28" s="1"/>
  <c r="L49" i="28"/>
  <c r="U49" i="28" s="1"/>
  <c r="W49" i="28" s="1"/>
  <c r="L36" i="28"/>
  <c r="U36" i="28" s="1"/>
  <c r="AB36" i="28" s="1"/>
  <c r="O19" i="28"/>
  <c r="R9" i="28"/>
  <c r="L582" i="28"/>
  <c r="U582" i="28" s="1"/>
  <c r="W582" i="28" s="1"/>
  <c r="W229" i="28"/>
  <c r="W73" i="28"/>
  <c r="W297" i="28"/>
  <c r="W268" i="28"/>
  <c r="W21" i="28"/>
  <c r="W177" i="28"/>
  <c r="W96" i="28"/>
  <c r="W8" i="28"/>
  <c r="W125" i="28"/>
  <c r="U711" i="28"/>
  <c r="U593" i="28"/>
  <c r="Y593" i="28" s="1"/>
  <c r="Z593" i="28" s="1"/>
  <c r="W233" i="28"/>
  <c r="W151" i="28"/>
  <c r="U112" i="28"/>
  <c r="W40" i="28"/>
  <c r="W294" i="28"/>
  <c r="W76" i="28"/>
  <c r="Q12" i="28"/>
  <c r="S12" i="28" s="1"/>
  <c r="Q11" i="28"/>
  <c r="S11" i="28" s="1"/>
  <c r="W426" i="28"/>
  <c r="W196" i="28"/>
  <c r="L286" i="28"/>
  <c r="U286" i="28" s="1"/>
  <c r="L399" i="28"/>
  <c r="U399" i="28" s="1"/>
  <c r="Y399" i="28" s="1"/>
  <c r="Z399" i="28" s="1"/>
  <c r="L181" i="28"/>
  <c r="U181" i="28" s="1"/>
  <c r="W451" i="28"/>
  <c r="W571" i="28"/>
  <c r="W413" i="28"/>
  <c r="W385" i="28"/>
  <c r="W217" i="28"/>
  <c r="W242" i="28"/>
  <c r="W138" i="28"/>
  <c r="L165" i="28"/>
  <c r="U165" i="28" s="1"/>
  <c r="W549" i="28"/>
  <c r="W480" i="28"/>
  <c r="W568" i="28"/>
  <c r="J478" i="28"/>
  <c r="K478" i="28" s="1"/>
  <c r="L478" i="28" s="1"/>
  <c r="U478" i="28" s="1"/>
  <c r="L375" i="28"/>
  <c r="U375" i="28" s="1"/>
  <c r="AA375" i="28" s="1"/>
  <c r="W347" i="28"/>
  <c r="S179" i="28"/>
  <c r="R179" i="28"/>
  <c r="W307" i="28"/>
  <c r="W197" i="28"/>
  <c r="W216" i="28"/>
  <c r="K182" i="28"/>
  <c r="L9" i="28"/>
  <c r="U9" i="28" s="1"/>
  <c r="O678" i="28"/>
  <c r="O677" i="28" s="1"/>
  <c r="AB681" i="28"/>
  <c r="W533" i="28"/>
  <c r="W534" i="28"/>
  <c r="W567" i="28"/>
  <c r="W453" i="28"/>
  <c r="W532" i="28"/>
  <c r="W502" i="28"/>
  <c r="J444" i="28"/>
  <c r="K444" i="28" s="1"/>
  <c r="L444" i="28" s="1"/>
  <c r="U444" i="28" s="1"/>
  <c r="W463" i="28"/>
  <c r="W450" i="28"/>
  <c r="AA450" i="28"/>
  <c r="W404" i="28"/>
  <c r="W359" i="28"/>
  <c r="W419" i="28"/>
  <c r="W389" i="28"/>
  <c r="W320" i="28"/>
  <c r="J179" i="28"/>
  <c r="K179" i="28" s="1"/>
  <c r="W281" i="28"/>
  <c r="W203" i="28"/>
  <c r="R182" i="28"/>
  <c r="S182" i="28"/>
  <c r="AC33" i="28"/>
  <c r="J12" i="28"/>
  <c r="K12" i="28" s="1"/>
  <c r="W261" i="28"/>
  <c r="W86" i="28"/>
  <c r="W310" i="28"/>
  <c r="W481" i="28"/>
  <c r="W515" i="28"/>
  <c r="W476" i="28"/>
  <c r="W134" i="28"/>
  <c r="W60" i="28"/>
  <c r="W171" i="28"/>
  <c r="K149" i="28"/>
  <c r="W580" i="28"/>
  <c r="W489" i="28"/>
  <c r="Q405" i="28"/>
  <c r="R405" i="28" s="1"/>
  <c r="L405" i="28" s="1"/>
  <c r="U405" i="28" s="1"/>
  <c r="L445" i="28"/>
  <c r="U445" i="28" s="1"/>
  <c r="W424" i="28"/>
  <c r="L324" i="28"/>
  <c r="U324" i="28" s="1"/>
  <c r="AA324" i="28" s="1"/>
  <c r="W346" i="28"/>
  <c r="L287" i="28"/>
  <c r="U287" i="28" s="1"/>
  <c r="J140" i="28"/>
  <c r="K140" i="28" s="1"/>
  <c r="Q141" i="28"/>
  <c r="R141" i="28" s="1"/>
  <c r="T709" i="28"/>
  <c r="T708" i="28" s="1"/>
  <c r="W681" i="28"/>
  <c r="L671" i="28"/>
  <c r="U671" i="28" s="1"/>
  <c r="L570" i="28"/>
  <c r="U570" i="28" s="1"/>
  <c r="AB570" i="28" s="1"/>
  <c r="Q479" i="28"/>
  <c r="R479" i="28" s="1"/>
  <c r="W455" i="28"/>
  <c r="W468" i="28"/>
  <c r="W490" i="28"/>
  <c r="W365" i="28"/>
  <c r="L443" i="28"/>
  <c r="U443" i="28" s="1"/>
  <c r="AA443" i="28" s="1"/>
  <c r="L421" i="28"/>
  <c r="U421" i="28" s="1"/>
  <c r="AA421" i="28" s="1"/>
  <c r="W364" i="28"/>
  <c r="W398" i="28"/>
  <c r="W372" i="28"/>
  <c r="W411" i="28"/>
  <c r="W311" i="28"/>
  <c r="L295" i="28"/>
  <c r="U295" i="28" s="1"/>
  <c r="J205" i="28"/>
  <c r="K205" i="28" s="1"/>
  <c r="W190" i="28"/>
  <c r="J173" i="28"/>
  <c r="K173" i="28" s="1"/>
  <c r="J141" i="28"/>
  <c r="K141" i="28" s="1"/>
  <c r="W255" i="28"/>
  <c r="Q103" i="28"/>
  <c r="S103" i="28" s="1"/>
  <c r="Q140" i="28"/>
  <c r="R140" i="28" s="1"/>
  <c r="W48" i="28"/>
  <c r="O32" i="28"/>
  <c r="L35" i="28"/>
  <c r="U35" i="28" s="1"/>
  <c r="AA35" i="28" s="1"/>
  <c r="L61" i="28"/>
  <c r="U61" i="28" s="1"/>
  <c r="W541" i="28"/>
  <c r="W467" i="28"/>
  <c r="L100" i="28"/>
  <c r="U100" i="28" s="1"/>
  <c r="AA100" i="28" s="1"/>
  <c r="W388" i="28"/>
  <c r="L153" i="28"/>
  <c r="U153" i="28" s="1"/>
  <c r="W333" i="28"/>
  <c r="AC692" i="28"/>
  <c r="W606" i="28"/>
  <c r="AC98" i="28"/>
  <c r="U99" i="28"/>
  <c r="W34" i="28"/>
  <c r="AC527" i="28"/>
  <c r="Y40" i="28"/>
  <c r="Z40" i="28" s="1"/>
  <c r="AB40" i="28"/>
  <c r="AA40" i="28"/>
  <c r="AB35" i="28"/>
  <c r="AA420" i="28"/>
  <c r="AB233" i="28"/>
  <c r="AA233" i="28"/>
  <c r="AA171" i="28"/>
  <c r="Y171" i="28"/>
  <c r="Z171" i="28" s="1"/>
  <c r="AB171" i="28"/>
  <c r="Y712" i="28"/>
  <c r="Z712" i="28" s="1"/>
  <c r="AB712" i="28"/>
  <c r="X712" i="28"/>
  <c r="AA712" i="28"/>
  <c r="W712" i="28"/>
  <c r="Y680" i="28"/>
  <c r="Z680" i="28" s="1"/>
  <c r="AB680" i="28"/>
  <c r="X680" i="28"/>
  <c r="W680" i="28"/>
  <c r="AA680" i="28"/>
  <c r="Q672" i="28"/>
  <c r="J672" i="28"/>
  <c r="K672" i="28" s="1"/>
  <c r="F672" i="28"/>
  <c r="Y569" i="28"/>
  <c r="Z569" i="28" s="1"/>
  <c r="AB569" i="28"/>
  <c r="AA569" i="28"/>
  <c r="Q615" i="28"/>
  <c r="J615" i="28"/>
  <c r="K615" i="28" s="1"/>
  <c r="Z592" i="28"/>
  <c r="AC592" i="28" s="1"/>
  <c r="R594" i="28"/>
  <c r="S594" i="28"/>
  <c r="Z566" i="28"/>
  <c r="Q504" i="28"/>
  <c r="R504" i="28" s="1"/>
  <c r="J504" i="28"/>
  <c r="K504" i="28" s="1"/>
  <c r="Q572" i="28"/>
  <c r="R572" i="28" s="1"/>
  <c r="J572" i="28"/>
  <c r="Q557" i="28"/>
  <c r="R557" i="28" s="1"/>
  <c r="J557" i="28"/>
  <c r="K557" i="28" s="1"/>
  <c r="Z579" i="28"/>
  <c r="AC579" i="28" s="1"/>
  <c r="S546" i="28"/>
  <c r="R546" i="28"/>
  <c r="Q535" i="28"/>
  <c r="R535" i="28" s="1"/>
  <c r="J535" i="28"/>
  <c r="K535" i="28" s="1"/>
  <c r="Z514" i="28"/>
  <c r="Q587" i="28"/>
  <c r="R587" i="28" s="1"/>
  <c r="J587" i="28"/>
  <c r="K587" i="28" s="1"/>
  <c r="Q491" i="28"/>
  <c r="R491" i="28" s="1"/>
  <c r="J491" i="28"/>
  <c r="Z462" i="28"/>
  <c r="Z540" i="28"/>
  <c r="Y463" i="28"/>
  <c r="Z463" i="28" s="1"/>
  <c r="AB463" i="28"/>
  <c r="AA463" i="28"/>
  <c r="Q456" i="28"/>
  <c r="R456" i="28" s="1"/>
  <c r="J456" i="28"/>
  <c r="K456" i="28" s="1"/>
  <c r="Y437" i="28"/>
  <c r="AB437" i="28"/>
  <c r="AA437" i="28"/>
  <c r="Y419" i="28"/>
  <c r="Z419" i="28" s="1"/>
  <c r="AB419" i="28"/>
  <c r="AA419" i="28"/>
  <c r="Y385" i="28"/>
  <c r="Z385" i="28" s="1"/>
  <c r="AB385" i="28"/>
  <c r="AA385" i="28"/>
  <c r="Q366" i="28"/>
  <c r="R366" i="28" s="1"/>
  <c r="J366" i="28"/>
  <c r="K366" i="28" s="1"/>
  <c r="AA476" i="28"/>
  <c r="Y476" i="28"/>
  <c r="Z476" i="28" s="1"/>
  <c r="AB476" i="28"/>
  <c r="Q414" i="28"/>
  <c r="R414" i="28" s="1"/>
  <c r="J414" i="28"/>
  <c r="K414" i="28" s="1"/>
  <c r="AB398" i="28"/>
  <c r="AA398" i="28"/>
  <c r="Y398" i="28"/>
  <c r="Z398" i="28" s="1"/>
  <c r="Z371" i="28"/>
  <c r="Q428" i="28"/>
  <c r="R428" i="28" s="1"/>
  <c r="J428" i="28"/>
  <c r="K428" i="28" s="1"/>
  <c r="K386" i="28"/>
  <c r="Y333" i="28"/>
  <c r="AB333" i="28"/>
  <c r="AA333" i="28"/>
  <c r="L387" i="28"/>
  <c r="U387" i="28" s="1"/>
  <c r="Z384" i="28"/>
  <c r="AC384" i="28" s="1"/>
  <c r="K321" i="28"/>
  <c r="Y307" i="28"/>
  <c r="Z307" i="28" s="1"/>
  <c r="AB307" i="28"/>
  <c r="AA307" i="28"/>
  <c r="Z280" i="28"/>
  <c r="AC280" i="28" s="1"/>
  <c r="K243" i="28"/>
  <c r="Y229" i="28"/>
  <c r="Z229" i="28" s="1"/>
  <c r="AB229" i="28"/>
  <c r="AA229" i="28"/>
  <c r="K204" i="28"/>
  <c r="Q339" i="28"/>
  <c r="R339" i="28" s="1"/>
  <c r="J339" i="28"/>
  <c r="K339" i="28" s="1"/>
  <c r="Q257" i="28"/>
  <c r="R257" i="28" s="1"/>
  <c r="J257" i="28"/>
  <c r="K257" i="28" s="1"/>
  <c r="AB346" i="28"/>
  <c r="AA346" i="28"/>
  <c r="Y346" i="28"/>
  <c r="Z346" i="28" s="1"/>
  <c r="Z345" i="28"/>
  <c r="AC345" i="28" s="1"/>
  <c r="Q264" i="28"/>
  <c r="R264" i="28" s="1"/>
  <c r="J264" i="28"/>
  <c r="K264" i="28" s="1"/>
  <c r="S234" i="28"/>
  <c r="R234" i="28"/>
  <c r="L335" i="28"/>
  <c r="U335" i="28" s="1"/>
  <c r="L325" i="28"/>
  <c r="U325" i="28" s="1"/>
  <c r="AC319" i="28"/>
  <c r="Q278" i="28"/>
  <c r="J278" i="28"/>
  <c r="K278" i="28" s="1"/>
  <c r="Q205" i="28"/>
  <c r="Q207" i="28"/>
  <c r="J207" i="28"/>
  <c r="K207" i="28" s="1"/>
  <c r="AC189" i="28"/>
  <c r="Z176" i="28"/>
  <c r="AC176" i="28" s="1"/>
  <c r="Z254" i="28"/>
  <c r="Z228" i="28"/>
  <c r="AC228" i="28" s="1"/>
  <c r="Q127" i="28"/>
  <c r="S127" i="28" s="1"/>
  <c r="J127" i="28"/>
  <c r="K127" i="28" s="1"/>
  <c r="Y217" i="28"/>
  <c r="Z217" i="28" s="1"/>
  <c r="AB217" i="28"/>
  <c r="AA217" i="28"/>
  <c r="Q144" i="28"/>
  <c r="R144" i="28" s="1"/>
  <c r="J144" i="28"/>
  <c r="K144" i="28" s="1"/>
  <c r="Z137" i="28"/>
  <c r="Q78" i="28"/>
  <c r="S78" i="28" s="1"/>
  <c r="J78" i="28"/>
  <c r="K78" i="28" s="1"/>
  <c r="J116" i="28"/>
  <c r="K116" i="28" s="1"/>
  <c r="Q43" i="28"/>
  <c r="S43" i="28" s="1"/>
  <c r="J43" i="28"/>
  <c r="K43" i="28" s="1"/>
  <c r="S10" i="28"/>
  <c r="R10" i="28"/>
  <c r="L10" i="28" s="1"/>
  <c r="U10" i="28" s="1"/>
  <c r="R121" i="28"/>
  <c r="L121" i="28" s="1"/>
  <c r="U121" i="28" s="1"/>
  <c r="Q62" i="28"/>
  <c r="S62" i="28" s="1"/>
  <c r="J62" i="28"/>
  <c r="K62" i="28" s="1"/>
  <c r="R23" i="28"/>
  <c r="L23" i="28" s="1"/>
  <c r="Q56" i="28"/>
  <c r="S56" i="28" s="1"/>
  <c r="J56" i="28"/>
  <c r="K56" i="28" s="1"/>
  <c r="AC20" i="28"/>
  <c r="Q51" i="28"/>
  <c r="S51" i="28" s="1"/>
  <c r="AC710" i="28"/>
  <c r="Q669" i="28"/>
  <c r="J669" i="28"/>
  <c r="K669" i="28" s="1"/>
  <c r="S663" i="28"/>
  <c r="R663" i="28"/>
  <c r="Z661" i="28"/>
  <c r="AC661" i="28" s="1"/>
  <c r="Q583" i="28"/>
  <c r="R583" i="28" s="1"/>
  <c r="J583" i="28"/>
  <c r="K583" i="28" s="1"/>
  <c r="AB593" i="28"/>
  <c r="S550" i="28"/>
  <c r="R550" i="28"/>
  <c r="Y528" i="28"/>
  <c r="AB528" i="28"/>
  <c r="AA528" i="28"/>
  <c r="AB502" i="28"/>
  <c r="AA502" i="28"/>
  <c r="Y502" i="28"/>
  <c r="Z502" i="28" s="1"/>
  <c r="Y568" i="28"/>
  <c r="Z568" i="28" s="1"/>
  <c r="AB568" i="28"/>
  <c r="AA568" i="28"/>
  <c r="S544" i="28"/>
  <c r="R544" i="28"/>
  <c r="AB541" i="28"/>
  <c r="AA541" i="28"/>
  <c r="Y541" i="28"/>
  <c r="Z541" i="28" s="1"/>
  <c r="Y512" i="28"/>
  <c r="Z512" i="28" s="1"/>
  <c r="AB512" i="28"/>
  <c r="AA512" i="28"/>
  <c r="J517" i="28"/>
  <c r="K517" i="28" s="1"/>
  <c r="Q517" i="28"/>
  <c r="R517" i="28" s="1"/>
  <c r="R551" i="28"/>
  <c r="L551" i="28" s="1"/>
  <c r="U551" i="28" s="1"/>
  <c r="J469" i="28"/>
  <c r="K469" i="28" s="1"/>
  <c r="Q469" i="28"/>
  <c r="R469" i="28" s="1"/>
  <c r="Y452" i="28"/>
  <c r="Z452" i="28" s="1"/>
  <c r="AB452" i="28"/>
  <c r="AA452" i="28"/>
  <c r="AB489" i="28"/>
  <c r="AA489" i="28"/>
  <c r="Y489" i="28"/>
  <c r="Z489" i="28" s="1"/>
  <c r="Z488" i="28"/>
  <c r="K412" i="28"/>
  <c r="Y364" i="28"/>
  <c r="Z364" i="28" s="1"/>
  <c r="AB364" i="28"/>
  <c r="AA364" i="28"/>
  <c r="Y451" i="28"/>
  <c r="Z451" i="28" s="1"/>
  <c r="AB451" i="28"/>
  <c r="AA451" i="28"/>
  <c r="AB449" i="28"/>
  <c r="AA449" i="28"/>
  <c r="Y449" i="28"/>
  <c r="K438" i="28"/>
  <c r="Y426" i="28"/>
  <c r="Z426" i="28" s="1"/>
  <c r="AB426" i="28"/>
  <c r="AA426" i="28"/>
  <c r="AC358" i="28"/>
  <c r="Z397" i="28"/>
  <c r="AC397" i="28" s="1"/>
  <c r="Y323" i="28"/>
  <c r="Z323" i="28" s="1"/>
  <c r="AB323" i="28"/>
  <c r="AA323" i="28"/>
  <c r="J312" i="28"/>
  <c r="K312" i="28" s="1"/>
  <c r="Q312" i="28"/>
  <c r="R312" i="28" s="1"/>
  <c r="J296" i="28"/>
  <c r="K296" i="28" s="1"/>
  <c r="Q296" i="28"/>
  <c r="Y268" i="28"/>
  <c r="AB268" i="28"/>
  <c r="AA268" i="28"/>
  <c r="AA411" i="28"/>
  <c r="Y411" i="28"/>
  <c r="Z411" i="28" s="1"/>
  <c r="AB411" i="28"/>
  <c r="Q283" i="28"/>
  <c r="R283" i="28" s="1"/>
  <c r="J283" i="28"/>
  <c r="K283" i="28" s="1"/>
  <c r="K308" i="28"/>
  <c r="Q407" i="28"/>
  <c r="R407" i="28" s="1"/>
  <c r="J407" i="28"/>
  <c r="K407" i="28" s="1"/>
  <c r="K400" i="28"/>
  <c r="Q391" i="28"/>
  <c r="R391" i="28" s="1"/>
  <c r="J391" i="28"/>
  <c r="K391" i="28" s="1"/>
  <c r="AC332" i="28"/>
  <c r="Z306" i="28"/>
  <c r="AC306" i="28" s="1"/>
  <c r="AC293" i="28"/>
  <c r="Q271" i="28"/>
  <c r="J271" i="28"/>
  <c r="K271" i="28" s="1"/>
  <c r="AA255" i="28"/>
  <c r="Y255" i="28"/>
  <c r="Z255" i="28" s="1"/>
  <c r="AB255" i="28"/>
  <c r="Q244" i="28"/>
  <c r="J244" i="28"/>
  <c r="K244" i="28" s="1"/>
  <c r="M197" i="28"/>
  <c r="M188" i="28" s="1"/>
  <c r="Q198" i="28"/>
  <c r="R198" i="28" s="1"/>
  <c r="J198" i="28"/>
  <c r="K198" i="28" s="1"/>
  <c r="Q288" i="28"/>
  <c r="R288" i="28" s="1"/>
  <c r="J288" i="28"/>
  <c r="K288" i="28" s="1"/>
  <c r="J235" i="28"/>
  <c r="K235" i="28" s="1"/>
  <c r="Q235" i="28"/>
  <c r="Y347" i="28"/>
  <c r="Z347" i="28" s="1"/>
  <c r="AB347" i="28"/>
  <c r="AA347" i="28"/>
  <c r="Z241" i="28"/>
  <c r="Q192" i="28"/>
  <c r="R192" i="28" s="1"/>
  <c r="J192" i="28"/>
  <c r="K192" i="28" s="1"/>
  <c r="AC254" i="28"/>
  <c r="Y233" i="28"/>
  <c r="Z233" i="28" s="1"/>
  <c r="Q219" i="28"/>
  <c r="R219" i="28" s="1"/>
  <c r="J219" i="28"/>
  <c r="K219" i="28" s="1"/>
  <c r="Z163" i="28"/>
  <c r="AC163" i="28" s="1"/>
  <c r="Z124" i="28"/>
  <c r="Q119" i="28"/>
  <c r="S119" i="28" s="1"/>
  <c r="J119" i="28"/>
  <c r="K119" i="28" s="1"/>
  <c r="AC137" i="28"/>
  <c r="R116" i="28"/>
  <c r="AA76" i="28"/>
  <c r="Y76" i="28"/>
  <c r="Z76" i="28" s="1"/>
  <c r="AB76" i="28"/>
  <c r="Y86" i="28"/>
  <c r="Z86" i="28" s="1"/>
  <c r="AA86" i="28"/>
  <c r="AB86" i="28"/>
  <c r="Y60" i="28"/>
  <c r="AB60" i="28"/>
  <c r="AA60" i="28"/>
  <c r="AA49" i="28"/>
  <c r="R53" i="28"/>
  <c r="L53" i="28" s="1"/>
  <c r="U53" i="28" s="1"/>
  <c r="Q25" i="28"/>
  <c r="S25" i="28" s="1"/>
  <c r="J25" i="28"/>
  <c r="K25" i="28" s="1"/>
  <c r="R11" i="28"/>
  <c r="J684" i="28"/>
  <c r="K684" i="28" s="1"/>
  <c r="Q684" i="28"/>
  <c r="R684" i="28" s="1"/>
  <c r="Q608" i="28"/>
  <c r="J608" i="28"/>
  <c r="K608" i="28" s="1"/>
  <c r="Q666" i="28"/>
  <c r="J666" i="28"/>
  <c r="K666" i="28" s="1"/>
  <c r="L662" i="28"/>
  <c r="U662" i="28" s="1"/>
  <c r="J665" i="28"/>
  <c r="K665" i="28" s="1"/>
  <c r="Q665" i="28"/>
  <c r="K581" i="28"/>
  <c r="AB554" i="28"/>
  <c r="AA554" i="28"/>
  <c r="Y554" i="28"/>
  <c r="Z554" i="28" s="1"/>
  <c r="Q596" i="28"/>
  <c r="J596" i="28"/>
  <c r="K596" i="28" s="1"/>
  <c r="Q595" i="28"/>
  <c r="J595" i="28"/>
  <c r="K595" i="28" s="1"/>
  <c r="AA567" i="28"/>
  <c r="Y567" i="28"/>
  <c r="Z567" i="28" s="1"/>
  <c r="AB567" i="28"/>
  <c r="AB553" i="28"/>
  <c r="AA553" i="28"/>
  <c r="Y553" i="28"/>
  <c r="Q556" i="28"/>
  <c r="R556" i="28" s="1"/>
  <c r="AA580" i="28"/>
  <c r="Y580" i="28"/>
  <c r="Z580" i="28" s="1"/>
  <c r="AB580" i="28"/>
  <c r="Q547" i="28"/>
  <c r="J547" i="28"/>
  <c r="K547" i="28" s="1"/>
  <c r="AB511" i="28"/>
  <c r="AA511" i="28"/>
  <c r="Y511" i="28"/>
  <c r="Z511" i="28" s="1"/>
  <c r="Y515" i="28"/>
  <c r="Z515" i="28" s="1"/>
  <c r="AB515" i="28"/>
  <c r="AA515" i="28"/>
  <c r="K503" i="28"/>
  <c r="Y467" i="28"/>
  <c r="Z467" i="28" s="1"/>
  <c r="AB467" i="28"/>
  <c r="AA467" i="28"/>
  <c r="Q531" i="28"/>
  <c r="R531" i="28" s="1"/>
  <c r="J531" i="28"/>
  <c r="K531" i="28" s="1"/>
  <c r="Q482" i="28"/>
  <c r="R482" i="28" s="1"/>
  <c r="J482" i="28"/>
  <c r="K482" i="28" s="1"/>
  <c r="Y374" i="28"/>
  <c r="Z374" i="28" s="1"/>
  <c r="AB374" i="28"/>
  <c r="AA374" i="28"/>
  <c r="Z475" i="28"/>
  <c r="K373" i="28"/>
  <c r="Q361" i="28"/>
  <c r="R361" i="28" s="1"/>
  <c r="J361" i="28"/>
  <c r="K425" i="28"/>
  <c r="J322" i="28"/>
  <c r="K322" i="28" s="1"/>
  <c r="Q322" i="28"/>
  <c r="R322" i="28" s="1"/>
  <c r="Y310" i="28"/>
  <c r="Z310" i="28" s="1"/>
  <c r="AB310" i="28"/>
  <c r="AA310" i="28"/>
  <c r="Y294" i="28"/>
  <c r="AB294" i="28"/>
  <c r="AA294" i="28"/>
  <c r="Y261" i="28"/>
  <c r="Z261" i="28" s="1"/>
  <c r="AA261" i="28"/>
  <c r="AB261" i="28"/>
  <c r="AA281" i="28"/>
  <c r="Y281" i="28"/>
  <c r="Z281" i="28" s="1"/>
  <c r="AB281" i="28"/>
  <c r="S298" i="28"/>
  <c r="R298" i="28"/>
  <c r="AC436" i="28"/>
  <c r="J406" i="28"/>
  <c r="K406" i="28" s="1"/>
  <c r="L390" i="28"/>
  <c r="U390" i="28" s="1"/>
  <c r="L376" i="28"/>
  <c r="U376" i="28" s="1"/>
  <c r="Q377" i="28"/>
  <c r="R377" i="28" s="1"/>
  <c r="J377" i="28"/>
  <c r="K377" i="28" s="1"/>
  <c r="K334" i="28"/>
  <c r="AC267" i="28"/>
  <c r="K256" i="28"/>
  <c r="AA242" i="28"/>
  <c r="Y242" i="28"/>
  <c r="Z242" i="28" s="1"/>
  <c r="AB242" i="28"/>
  <c r="L263" i="28"/>
  <c r="U263" i="28" s="1"/>
  <c r="Y190" i="28"/>
  <c r="AB190" i="28"/>
  <c r="AA190" i="28"/>
  <c r="AC215" i="28"/>
  <c r="Q206" i="28"/>
  <c r="K139" i="28"/>
  <c r="Q173" i="28"/>
  <c r="S173" i="28" s="1"/>
  <c r="AA160" i="28"/>
  <c r="AA138" i="28"/>
  <c r="Y138" i="28"/>
  <c r="Z138" i="28" s="1"/>
  <c r="AB138" i="28"/>
  <c r="Y125" i="28"/>
  <c r="Z125" i="28" s="1"/>
  <c r="Q142" i="28"/>
  <c r="R142" i="28" s="1"/>
  <c r="J142" i="28"/>
  <c r="K142" i="28" s="1"/>
  <c r="M223" i="28"/>
  <c r="M214" i="28" s="1"/>
  <c r="Q166" i="28"/>
  <c r="S166" i="28" s="1"/>
  <c r="R158" i="28"/>
  <c r="L158" i="28" s="1"/>
  <c r="U158" i="28" s="1"/>
  <c r="Q122" i="28"/>
  <c r="S122" i="28" s="1"/>
  <c r="J122" i="28"/>
  <c r="K122" i="28" s="1"/>
  <c r="Z150" i="28"/>
  <c r="AC150" i="28" s="1"/>
  <c r="Q104" i="28"/>
  <c r="S104" i="28" s="1"/>
  <c r="J104" i="28"/>
  <c r="K104" i="28" s="1"/>
  <c r="Y73" i="28"/>
  <c r="AB73" i="28"/>
  <c r="AA73" i="28"/>
  <c r="R115" i="28"/>
  <c r="L115" i="28" s="1"/>
  <c r="U115" i="28" s="1"/>
  <c r="R90" i="28"/>
  <c r="L90" i="28" s="1"/>
  <c r="U90" i="28" s="1"/>
  <c r="AC72" i="28"/>
  <c r="R41" i="28"/>
  <c r="L41" i="28" s="1"/>
  <c r="U41" i="28" s="1"/>
  <c r="R89" i="28"/>
  <c r="L89" i="28" s="1"/>
  <c r="U89" i="28" s="1"/>
  <c r="R74" i="28"/>
  <c r="L74" i="28" s="1"/>
  <c r="Q52" i="28"/>
  <c r="S52" i="28" s="1"/>
  <c r="Q91" i="28"/>
  <c r="S91" i="28" s="1"/>
  <c r="J91" i="28"/>
  <c r="K91" i="28" s="1"/>
  <c r="Q55" i="28"/>
  <c r="S55" i="28" s="1"/>
  <c r="J55" i="28"/>
  <c r="K55" i="28" s="1"/>
  <c r="M54" i="28"/>
  <c r="M45" i="28" s="1"/>
  <c r="Q54" i="28"/>
  <c r="S54" i="28" s="1"/>
  <c r="J54" i="28"/>
  <c r="K54" i="28" s="1"/>
  <c r="AA21" i="28"/>
  <c r="Y21" i="28"/>
  <c r="AB21" i="28"/>
  <c r="Z46" i="28"/>
  <c r="J13" i="28"/>
  <c r="K13" i="28" s="1"/>
  <c r="Q13" i="28"/>
  <c r="Y22" i="28"/>
  <c r="Z22" i="28" s="1"/>
  <c r="Q714" i="28"/>
  <c r="J714" i="28"/>
  <c r="K714" i="28" s="1"/>
  <c r="O709" i="28"/>
  <c r="O708" i="28" s="1"/>
  <c r="AB682" i="28"/>
  <c r="X682" i="28"/>
  <c r="AA682" i="28"/>
  <c r="W682" i="28"/>
  <c r="Y682" i="28"/>
  <c r="Z682" i="28" s="1"/>
  <c r="F701" i="28"/>
  <c r="M700" i="28"/>
  <c r="AA606" i="28"/>
  <c r="Y606" i="28"/>
  <c r="Z606" i="28" s="1"/>
  <c r="AB606" i="28"/>
  <c r="T678" i="28"/>
  <c r="T677" i="28" s="1"/>
  <c r="J664" i="28"/>
  <c r="U621" i="28"/>
  <c r="Q664" i="28"/>
  <c r="AB605" i="28"/>
  <c r="AA605" i="28"/>
  <c r="Y605" i="28"/>
  <c r="R607" i="28"/>
  <c r="K555" i="28"/>
  <c r="AC566" i="28"/>
  <c r="AC514" i="28"/>
  <c r="R545" i="28"/>
  <c r="S545" i="28"/>
  <c r="K516" i="28"/>
  <c r="K529" i="28"/>
  <c r="Z501" i="28"/>
  <c r="AC501" i="28" s="1"/>
  <c r="K477" i="28"/>
  <c r="AC462" i="28"/>
  <c r="L530" i="28"/>
  <c r="U530" i="28" s="1"/>
  <c r="AB480" i="28"/>
  <c r="AA480" i="28"/>
  <c r="Y480" i="28"/>
  <c r="Z480" i="28" s="1"/>
  <c r="K464" i="28"/>
  <c r="AC540" i="28"/>
  <c r="J465" i="28"/>
  <c r="K465" i="28" s="1"/>
  <c r="Q465" i="28"/>
  <c r="R465" i="28" s="1"/>
  <c r="J439" i="28"/>
  <c r="K439" i="28" s="1"/>
  <c r="Q439" i="28"/>
  <c r="R439" i="28" s="1"/>
  <c r="AC371" i="28"/>
  <c r="Z423" i="28"/>
  <c r="AB372" i="28"/>
  <c r="AA372" i="28"/>
  <c r="Y372" i="28"/>
  <c r="Z372" i="28" s="1"/>
  <c r="AB359" i="28"/>
  <c r="AA359" i="28"/>
  <c r="Y359" i="28"/>
  <c r="J446" i="28"/>
  <c r="K446" i="28" s="1"/>
  <c r="Q446" i="28"/>
  <c r="R446" i="28" s="1"/>
  <c r="Y424" i="28"/>
  <c r="Z424" i="28" s="1"/>
  <c r="AB424" i="28"/>
  <c r="AA424" i="28"/>
  <c r="Y348" i="28"/>
  <c r="Z348" i="28" s="1"/>
  <c r="AB348" i="28"/>
  <c r="AA348" i="28"/>
  <c r="Y320" i="28"/>
  <c r="AB320" i="28"/>
  <c r="AA320" i="28"/>
  <c r="K282" i="28"/>
  <c r="Z410" i="28"/>
  <c r="AC410" i="28" s="1"/>
  <c r="L360" i="28"/>
  <c r="U360" i="28" s="1"/>
  <c r="J299" i="28"/>
  <c r="K299" i="28" s="1"/>
  <c r="Q299" i="28"/>
  <c r="Q406" i="28"/>
  <c r="R406" i="28" s="1"/>
  <c r="Q401" i="28"/>
  <c r="R401" i="28" s="1"/>
  <c r="J401" i="28"/>
  <c r="K401" i="28" s="1"/>
  <c r="J309" i="28"/>
  <c r="K309" i="28" s="1"/>
  <c r="Q309" i="28"/>
  <c r="R309" i="28" s="1"/>
  <c r="S269" i="28"/>
  <c r="R269" i="28"/>
  <c r="Q231" i="28"/>
  <c r="J231" i="28"/>
  <c r="K231" i="28" s="1"/>
  <c r="S270" i="28"/>
  <c r="R270" i="28"/>
  <c r="AA203" i="28"/>
  <c r="Y203" i="28"/>
  <c r="Z203" i="28" s="1"/>
  <c r="AB203" i="28"/>
  <c r="AB177" i="28"/>
  <c r="AB262" i="28"/>
  <c r="K191" i="28"/>
  <c r="L350" i="28"/>
  <c r="U350" i="28" s="1"/>
  <c r="Q351" i="28"/>
  <c r="R351" i="28" s="1"/>
  <c r="J351" i="28"/>
  <c r="K351" i="28" s="1"/>
  <c r="Q336" i="28"/>
  <c r="R336" i="28" s="1"/>
  <c r="J336" i="28"/>
  <c r="K336" i="28" s="1"/>
  <c r="Q326" i="28"/>
  <c r="R326" i="28" s="1"/>
  <c r="J326" i="28"/>
  <c r="K326" i="28" s="1"/>
  <c r="Y216" i="28"/>
  <c r="AB216" i="28"/>
  <c r="AA216" i="28"/>
  <c r="Z202" i="28"/>
  <c r="Q183" i="28"/>
  <c r="J183" i="28"/>
  <c r="Q174" i="28"/>
  <c r="S174" i="28" s="1"/>
  <c r="J174" i="28"/>
  <c r="K174" i="28" s="1"/>
  <c r="Q167" i="28"/>
  <c r="S167" i="28" s="1"/>
  <c r="J167" i="28"/>
  <c r="K167" i="28" s="1"/>
  <c r="Q221" i="28"/>
  <c r="R221" i="28" s="1"/>
  <c r="J221" i="28"/>
  <c r="K221" i="28" s="1"/>
  <c r="K218" i="28"/>
  <c r="Q135" i="28"/>
  <c r="S135" i="28" s="1"/>
  <c r="J135" i="28"/>
  <c r="K135" i="28" s="1"/>
  <c r="J166" i="28"/>
  <c r="K166" i="28" s="1"/>
  <c r="J149" i="28"/>
  <c r="R120" i="28"/>
  <c r="L120" i="28" s="1"/>
  <c r="U120" i="28" s="1"/>
  <c r="R108" i="28"/>
  <c r="L108" i="28" s="1"/>
  <c r="U108" i="28" s="1"/>
  <c r="R109" i="28"/>
  <c r="L109" i="28" s="1"/>
  <c r="U109" i="28" s="1"/>
  <c r="AA85" i="28"/>
  <c r="AB85" i="28"/>
  <c r="Y85" i="28"/>
  <c r="W9" i="28"/>
  <c r="R42" i="28"/>
  <c r="L42" i="28" s="1"/>
  <c r="U42" i="28" s="1"/>
  <c r="AC59" i="28"/>
  <c r="AC111" i="28"/>
  <c r="J24" i="28"/>
  <c r="K24" i="28" s="1"/>
  <c r="AC7" i="28"/>
  <c r="J37" i="28"/>
  <c r="K37" i="28" s="1"/>
  <c r="Q24" i="28"/>
  <c r="S24" i="28" s="1"/>
  <c r="F45" i="28"/>
  <c r="Q57" i="28"/>
  <c r="S57" i="28" s="1"/>
  <c r="J57" i="28"/>
  <c r="K57" i="28" s="1"/>
  <c r="R50" i="28"/>
  <c r="L50" i="28" s="1"/>
  <c r="U50" i="28" s="1"/>
  <c r="Q37" i="28"/>
  <c r="S37" i="28" s="1"/>
  <c r="R75" i="28"/>
  <c r="L75" i="28" s="1"/>
  <c r="U75" i="28" s="1"/>
  <c r="F660" i="28" l="1"/>
  <c r="F659" i="28" s="1"/>
  <c r="Y542" i="28"/>
  <c r="Z542" i="28" s="1"/>
  <c r="AB157" i="28"/>
  <c r="AB155" i="28"/>
  <c r="Y375" i="28"/>
  <c r="Z375" i="28" s="1"/>
  <c r="Y157" i="28"/>
  <c r="Z157" i="28" s="1"/>
  <c r="AB420" i="28"/>
  <c r="W155" i="28"/>
  <c r="W420" i="28"/>
  <c r="AB375" i="28"/>
  <c r="R103" i="28"/>
  <c r="L103" i="28" s="1"/>
  <c r="U103" i="28" s="1"/>
  <c r="AB125" i="28"/>
  <c r="AA157" i="28"/>
  <c r="AB159" i="28"/>
  <c r="Y262" i="28"/>
  <c r="Z262" i="28" s="1"/>
  <c r="Y152" i="28"/>
  <c r="Z152" i="28" s="1"/>
  <c r="R102" i="28"/>
  <c r="L102" i="28" s="1"/>
  <c r="U102" i="28" s="1"/>
  <c r="AA152" i="28"/>
  <c r="AB152" i="28"/>
  <c r="W262" i="28"/>
  <c r="L234" i="28"/>
  <c r="U234" i="28" s="1"/>
  <c r="AB234" i="28" s="1"/>
  <c r="Y161" i="28"/>
  <c r="Z161" i="28" s="1"/>
  <c r="L179" i="28"/>
  <c r="U179" i="28" s="1"/>
  <c r="Y101" i="28"/>
  <c r="Z101" i="28" s="1"/>
  <c r="L269" i="28"/>
  <c r="U269" i="28" s="1"/>
  <c r="AB160" i="28"/>
  <c r="L469" i="28"/>
  <c r="U469" i="28" s="1"/>
  <c r="AB421" i="28"/>
  <c r="Y159" i="28"/>
  <c r="Z159" i="28" s="1"/>
  <c r="L141" i="28"/>
  <c r="U141" i="28" s="1"/>
  <c r="W159" i="28"/>
  <c r="AA542" i="28"/>
  <c r="L544" i="28"/>
  <c r="U544" i="28" s="1"/>
  <c r="W544" i="28" s="1"/>
  <c r="W542" i="28"/>
  <c r="AA101" i="28"/>
  <c r="Y160" i="28"/>
  <c r="Z160" i="28" s="1"/>
  <c r="L550" i="28"/>
  <c r="U550" i="28" s="1"/>
  <c r="W550" i="28" s="1"/>
  <c r="Y421" i="28"/>
  <c r="Z421" i="28" s="1"/>
  <c r="L546" i="28"/>
  <c r="U546" i="28" s="1"/>
  <c r="Y570" i="28"/>
  <c r="Z570" i="28" s="1"/>
  <c r="AC450" i="28"/>
  <c r="Y177" i="28"/>
  <c r="Z177" i="28" s="1"/>
  <c r="AB399" i="28"/>
  <c r="Y156" i="28"/>
  <c r="Z156" i="28" s="1"/>
  <c r="L545" i="28"/>
  <c r="U545" i="28" s="1"/>
  <c r="W545" i="28" s="1"/>
  <c r="AB100" i="28"/>
  <c r="AB49" i="28"/>
  <c r="Y49" i="28"/>
  <c r="Z49" i="28" s="1"/>
  <c r="R12" i="28"/>
  <c r="Y172" i="28"/>
  <c r="Z172" i="28" s="1"/>
  <c r="AB172" i="28"/>
  <c r="W172" i="28"/>
  <c r="AA172" i="28"/>
  <c r="Y36" i="28"/>
  <c r="Z36" i="28" s="1"/>
  <c r="L607" i="28"/>
  <c r="U607" i="28" s="1"/>
  <c r="AA22" i="28"/>
  <c r="AA161" i="28"/>
  <c r="AA156" i="28"/>
  <c r="AA593" i="28"/>
  <c r="W161" i="28"/>
  <c r="AA36" i="28"/>
  <c r="AB22" i="28"/>
  <c r="L288" i="28"/>
  <c r="U288" i="28" s="1"/>
  <c r="L198" i="28"/>
  <c r="U198" i="28" s="1"/>
  <c r="W198" i="28" s="1"/>
  <c r="W156" i="28"/>
  <c r="AC156" i="28" s="1"/>
  <c r="W36" i="28"/>
  <c r="L535" i="28"/>
  <c r="U535" i="28" s="1"/>
  <c r="W535" i="28" s="1"/>
  <c r="L594" i="28"/>
  <c r="U594" i="28" s="1"/>
  <c r="AA594" i="28" s="1"/>
  <c r="L587" i="28"/>
  <c r="U587" i="28" s="1"/>
  <c r="AA587" i="28" s="1"/>
  <c r="AA570" i="28"/>
  <c r="L312" i="28"/>
  <c r="U312" i="28" s="1"/>
  <c r="Y100" i="28"/>
  <c r="Z100" i="28" s="1"/>
  <c r="AB324" i="28"/>
  <c r="L326" i="28"/>
  <c r="U326" i="28" s="1"/>
  <c r="W326" i="28" s="1"/>
  <c r="L270" i="28"/>
  <c r="U270" i="28" s="1"/>
  <c r="W270" i="28" s="1"/>
  <c r="L465" i="28"/>
  <c r="U465" i="28" s="1"/>
  <c r="W465" i="28" s="1"/>
  <c r="L377" i="28"/>
  <c r="U377" i="28" s="1"/>
  <c r="W377" i="28" s="1"/>
  <c r="AB164" i="28"/>
  <c r="L116" i="28"/>
  <c r="U116" i="28" s="1"/>
  <c r="W116" i="28" s="1"/>
  <c r="J479" i="28"/>
  <c r="K479" i="28" s="1"/>
  <c r="L479" i="28" s="1"/>
  <c r="U479" i="28" s="1"/>
  <c r="Y324" i="28"/>
  <c r="Z324" i="28" s="1"/>
  <c r="L264" i="28"/>
  <c r="U264" i="28" s="1"/>
  <c r="W264" i="28" s="1"/>
  <c r="L504" i="28"/>
  <c r="U504" i="28" s="1"/>
  <c r="W504" i="28" s="1"/>
  <c r="S45" i="28"/>
  <c r="L11" i="28"/>
  <c r="U11" i="28" s="1"/>
  <c r="W41" i="28"/>
  <c r="U23" i="28"/>
  <c r="W546" i="28"/>
  <c r="W120" i="28"/>
  <c r="U74" i="28"/>
  <c r="W103" i="28"/>
  <c r="W121" i="28"/>
  <c r="W102" i="28"/>
  <c r="W115" i="28"/>
  <c r="W551" i="28"/>
  <c r="W90" i="28"/>
  <c r="W360" i="28"/>
  <c r="L149" i="28"/>
  <c r="W295" i="28"/>
  <c r="W443" i="28"/>
  <c r="W287" i="28"/>
  <c r="W108" i="28"/>
  <c r="W114" i="28"/>
  <c r="W109" i="28"/>
  <c r="AB47" i="28"/>
  <c r="K183" i="28"/>
  <c r="W350" i="28"/>
  <c r="L446" i="28"/>
  <c r="U446" i="28" s="1"/>
  <c r="AB443" i="28"/>
  <c r="W444" i="28"/>
  <c r="L684" i="28"/>
  <c r="U684" i="28" s="1"/>
  <c r="AC452" i="28"/>
  <c r="AB114" i="28"/>
  <c r="W153" i="28"/>
  <c r="W50" i="28"/>
  <c r="W42" i="28"/>
  <c r="W141" i="28"/>
  <c r="L12" i="28"/>
  <c r="U12" i="28" s="1"/>
  <c r="L182" i="28"/>
  <c r="W165" i="28"/>
  <c r="W399" i="28"/>
  <c r="W112" i="28"/>
  <c r="W164" i="28"/>
  <c r="Y47" i="28"/>
  <c r="Z47" i="28" s="1"/>
  <c r="S183" i="28"/>
  <c r="R183" i="28"/>
  <c r="W530" i="28"/>
  <c r="W263" i="28"/>
  <c r="W405" i="28"/>
  <c r="AA164" i="28"/>
  <c r="L517" i="28"/>
  <c r="U517" i="28" s="1"/>
  <c r="L339" i="28"/>
  <c r="U339" i="28" s="1"/>
  <c r="L428" i="28"/>
  <c r="U428" i="28" s="1"/>
  <c r="L414" i="28"/>
  <c r="U414" i="28" s="1"/>
  <c r="Y114" i="28"/>
  <c r="Z114" i="28" s="1"/>
  <c r="W100" i="28"/>
  <c r="W61" i="28"/>
  <c r="W570" i="28"/>
  <c r="W445" i="28"/>
  <c r="W375" i="28"/>
  <c r="U149" i="28"/>
  <c r="W593" i="28"/>
  <c r="W158" i="28"/>
  <c r="W390" i="28"/>
  <c r="AB662" i="28"/>
  <c r="X662" i="28"/>
  <c r="AA662" i="28"/>
  <c r="W662" i="28"/>
  <c r="W288" i="28"/>
  <c r="W335" i="28"/>
  <c r="W387" i="28"/>
  <c r="W75" i="28"/>
  <c r="W89" i="28"/>
  <c r="L221" i="28"/>
  <c r="U221" i="28" s="1"/>
  <c r="L336" i="28"/>
  <c r="U336" i="28" s="1"/>
  <c r="Y443" i="28"/>
  <c r="Z443" i="28" s="1"/>
  <c r="W376" i="28"/>
  <c r="AA399" i="28"/>
  <c r="L298" i="28"/>
  <c r="U298" i="28" s="1"/>
  <c r="AA298" i="28" s="1"/>
  <c r="L482" i="28"/>
  <c r="U482" i="28" s="1"/>
  <c r="W53" i="28"/>
  <c r="L219" i="28"/>
  <c r="U219" i="28" s="1"/>
  <c r="L192" i="28"/>
  <c r="U192" i="28" s="1"/>
  <c r="W179" i="28"/>
  <c r="L391" i="28"/>
  <c r="U391" i="28" s="1"/>
  <c r="W312" i="28"/>
  <c r="W469" i="28"/>
  <c r="W325" i="28"/>
  <c r="L257" i="28"/>
  <c r="U257" i="28" s="1"/>
  <c r="AC385" i="28"/>
  <c r="L456" i="28"/>
  <c r="U456" i="28" s="1"/>
  <c r="W35" i="28"/>
  <c r="W421" i="28"/>
  <c r="L140" i="28"/>
  <c r="U140" i="28" s="1"/>
  <c r="W324" i="28"/>
  <c r="K45" i="28"/>
  <c r="W101" i="28"/>
  <c r="W478" i="28"/>
  <c r="W181" i="28"/>
  <c r="W286" i="28"/>
  <c r="AC712" i="28"/>
  <c r="AC682" i="28"/>
  <c r="W99" i="28"/>
  <c r="Y99" i="28"/>
  <c r="Z99" i="28" s="1"/>
  <c r="AB99" i="28"/>
  <c r="AA99" i="28"/>
  <c r="W47" i="28"/>
  <c r="AC47" i="28" s="1"/>
  <c r="AC40" i="28"/>
  <c r="AC424" i="28"/>
  <c r="AC347" i="28"/>
  <c r="AC229" i="28"/>
  <c r="AC480" i="28"/>
  <c r="AC606" i="28"/>
  <c r="AC348" i="28"/>
  <c r="AC372" i="28"/>
  <c r="AC242" i="28"/>
  <c r="AC86" i="28"/>
  <c r="AC512" i="28"/>
  <c r="AC217" i="28"/>
  <c r="AC463" i="28"/>
  <c r="AC426" i="28"/>
  <c r="AC177" i="28"/>
  <c r="AC203" i="28"/>
  <c r="AC125" i="28"/>
  <c r="AC138" i="28"/>
  <c r="AC515" i="28"/>
  <c r="AC255" i="28"/>
  <c r="AC398" i="28"/>
  <c r="AC420" i="28"/>
  <c r="AB108" i="28"/>
  <c r="AA108" i="28"/>
  <c r="AB109" i="28"/>
  <c r="AA109" i="28"/>
  <c r="AB270" i="28"/>
  <c r="Y151" i="28"/>
  <c r="AB151" i="28"/>
  <c r="AA151" i="28"/>
  <c r="Y155" i="28"/>
  <c r="Z155" i="28" s="1"/>
  <c r="J222" i="28"/>
  <c r="K222" i="28" s="1"/>
  <c r="Q222" i="28"/>
  <c r="R222" i="28" s="1"/>
  <c r="J184" i="28"/>
  <c r="Q184" i="28"/>
  <c r="Y325" i="28"/>
  <c r="Z325" i="28" s="1"/>
  <c r="AB325" i="28"/>
  <c r="AA325" i="28"/>
  <c r="Y335" i="28"/>
  <c r="Z335" i="28" s="1"/>
  <c r="AB335" i="28"/>
  <c r="AA335" i="28"/>
  <c r="Y350" i="28"/>
  <c r="Z350" i="28" s="1"/>
  <c r="AB350" i="28"/>
  <c r="AA350" i="28"/>
  <c r="L191" i="28"/>
  <c r="U191" i="28" s="1"/>
  <c r="L401" i="28"/>
  <c r="U401" i="28" s="1"/>
  <c r="AB298" i="28"/>
  <c r="Z320" i="28"/>
  <c r="AA445" i="28"/>
  <c r="Y445" i="28"/>
  <c r="Z445" i="28" s="1"/>
  <c r="AB445" i="28"/>
  <c r="P693" i="28"/>
  <c r="M691" i="28"/>
  <c r="J14" i="28"/>
  <c r="K14" i="28" s="1"/>
  <c r="Q14" i="28"/>
  <c r="Z21" i="28"/>
  <c r="AC21" i="28" s="1"/>
  <c r="Q92" i="28"/>
  <c r="S92" i="28" s="1"/>
  <c r="J92" i="28"/>
  <c r="K92" i="28" s="1"/>
  <c r="R52" i="28"/>
  <c r="L52" i="28" s="1"/>
  <c r="U52" i="28" s="1"/>
  <c r="AB165" i="28"/>
  <c r="AA165" i="28"/>
  <c r="R104" i="28"/>
  <c r="L104" i="28" s="1"/>
  <c r="Y154" i="28"/>
  <c r="Z154" i="28" s="1"/>
  <c r="AB154" i="28"/>
  <c r="AA154" i="28"/>
  <c r="R166" i="28"/>
  <c r="L166" i="28" s="1"/>
  <c r="AB112" i="28"/>
  <c r="AA112" i="28"/>
  <c r="Y112" i="28"/>
  <c r="R206" i="28"/>
  <c r="Y376" i="28"/>
  <c r="Z376" i="28" s="1"/>
  <c r="AB376" i="28"/>
  <c r="AA376" i="28"/>
  <c r="AB453" i="28"/>
  <c r="AA453" i="28"/>
  <c r="Y453" i="28"/>
  <c r="Z453" i="28" s="1"/>
  <c r="Y481" i="28"/>
  <c r="Z481" i="28" s="1"/>
  <c r="AB481" i="28"/>
  <c r="AA481" i="28"/>
  <c r="AC511" i="28"/>
  <c r="AB546" i="28"/>
  <c r="Y546" i="28"/>
  <c r="Z546" i="28" s="1"/>
  <c r="AA546" i="28"/>
  <c r="Y543" i="28"/>
  <c r="Z543" i="28" s="1"/>
  <c r="AB543" i="28"/>
  <c r="AA543" i="28"/>
  <c r="AC567" i="28"/>
  <c r="R595" i="28"/>
  <c r="S595" i="28"/>
  <c r="S608" i="28"/>
  <c r="R608" i="28"/>
  <c r="J26" i="28"/>
  <c r="K26" i="28" s="1"/>
  <c r="Q26" i="28"/>
  <c r="S26" i="28" s="1"/>
  <c r="R119" i="28"/>
  <c r="L119" i="28" s="1"/>
  <c r="U119" i="28" s="1"/>
  <c r="Q220" i="28"/>
  <c r="R220" i="28" s="1"/>
  <c r="J220" i="28"/>
  <c r="Y165" i="28"/>
  <c r="Q193" i="28"/>
  <c r="R193" i="28" s="1"/>
  <c r="J193" i="28"/>
  <c r="Y287" i="28"/>
  <c r="Z287" i="28" s="1"/>
  <c r="AB287" i="28"/>
  <c r="AA287" i="28"/>
  <c r="Q392" i="28"/>
  <c r="R392" i="28" s="1"/>
  <c r="J392" i="28"/>
  <c r="K392" i="28" s="1"/>
  <c r="L400" i="28"/>
  <c r="U400" i="28" s="1"/>
  <c r="Y400" i="28" s="1"/>
  <c r="Z400" i="28" s="1"/>
  <c r="L283" i="28"/>
  <c r="U283" i="28" s="1"/>
  <c r="AB295" i="28"/>
  <c r="AA295" i="28"/>
  <c r="AC451" i="28"/>
  <c r="AC364" i="28"/>
  <c r="L583" i="28"/>
  <c r="U583" i="28" s="1"/>
  <c r="Q670" i="28"/>
  <c r="J670" i="28"/>
  <c r="K670" i="28" s="1"/>
  <c r="Q63" i="28"/>
  <c r="S63" i="28" s="1"/>
  <c r="J63" i="28"/>
  <c r="K63" i="28" s="1"/>
  <c r="R43" i="28"/>
  <c r="L43" i="28" s="1"/>
  <c r="U43" i="28" s="1"/>
  <c r="Q117" i="28"/>
  <c r="S117" i="28" s="1"/>
  <c r="S110" i="28" s="1"/>
  <c r="J117" i="28"/>
  <c r="K117" i="28" s="1"/>
  <c r="K110" i="28" s="1"/>
  <c r="R78" i="28"/>
  <c r="L78" i="28" s="1"/>
  <c r="L144" i="28"/>
  <c r="U144" i="28" s="1"/>
  <c r="AA113" i="28"/>
  <c r="Y113" i="28"/>
  <c r="Z113" i="28" s="1"/>
  <c r="AB113" i="28"/>
  <c r="R127" i="28"/>
  <c r="L127" i="28" s="1"/>
  <c r="Q208" i="28"/>
  <c r="J208" i="28"/>
  <c r="K208" i="28" s="1"/>
  <c r="Q265" i="28"/>
  <c r="R265" i="28" s="1"/>
  <c r="J265" i="28"/>
  <c r="K265" i="28" s="1"/>
  <c r="J340" i="28"/>
  <c r="K340" i="28" s="1"/>
  <c r="Q340" i="28"/>
  <c r="R340" i="28" s="1"/>
  <c r="Z333" i="28"/>
  <c r="Y413" i="28"/>
  <c r="Z413" i="28" s="1"/>
  <c r="AB413" i="28"/>
  <c r="AA413" i="28"/>
  <c r="Y478" i="28"/>
  <c r="Z478" i="28" s="1"/>
  <c r="AB478" i="28"/>
  <c r="AA478" i="28"/>
  <c r="K491" i="28"/>
  <c r="Q558" i="28"/>
  <c r="R558" i="28" s="1"/>
  <c r="J558" i="28"/>
  <c r="Q573" i="28"/>
  <c r="R573" i="28" s="1"/>
  <c r="J573" i="28"/>
  <c r="K573" i="28" s="1"/>
  <c r="Q505" i="28"/>
  <c r="R505" i="28" s="1"/>
  <c r="J505" i="28"/>
  <c r="R37" i="28"/>
  <c r="L37" i="28" s="1"/>
  <c r="Z85" i="28"/>
  <c r="AC85" i="28" s="1"/>
  <c r="L218" i="28"/>
  <c r="U218" i="28" s="1"/>
  <c r="R167" i="28"/>
  <c r="L167" i="28" s="1"/>
  <c r="U167" i="28" s="1"/>
  <c r="R174" i="28"/>
  <c r="L174" i="28" s="1"/>
  <c r="U174" i="28" s="1"/>
  <c r="Q327" i="28"/>
  <c r="R327" i="28" s="1"/>
  <c r="J327" i="28"/>
  <c r="K327" i="28" s="1"/>
  <c r="Q337" i="28"/>
  <c r="R337" i="28" s="1"/>
  <c r="J337" i="28"/>
  <c r="K337" i="28" s="1"/>
  <c r="AB230" i="28"/>
  <c r="AA230" i="28"/>
  <c r="J300" i="28"/>
  <c r="K300" i="28" s="1"/>
  <c r="Q300" i="28"/>
  <c r="L282" i="28"/>
  <c r="U282" i="28" s="1"/>
  <c r="AA282" i="28" s="1"/>
  <c r="J440" i="28"/>
  <c r="K440" i="28" s="1"/>
  <c r="Q440" i="28"/>
  <c r="R440" i="28" s="1"/>
  <c r="L529" i="28"/>
  <c r="U529" i="28" s="1"/>
  <c r="L555" i="28"/>
  <c r="U622" i="28"/>
  <c r="F702" i="28"/>
  <c r="R714" i="28"/>
  <c r="L714" i="28" s="1"/>
  <c r="S714" i="28"/>
  <c r="R13" i="28"/>
  <c r="S13" i="28"/>
  <c r="Y53" i="28"/>
  <c r="Z53" i="28" s="1"/>
  <c r="AB53" i="28"/>
  <c r="AA53" i="28"/>
  <c r="Y115" i="28"/>
  <c r="Z115" i="28" s="1"/>
  <c r="AB115" i="28"/>
  <c r="AA115" i="28"/>
  <c r="Z73" i="28"/>
  <c r="Y109" i="28"/>
  <c r="Z109" i="28" s="1"/>
  <c r="Y103" i="28"/>
  <c r="Z103" i="28" s="1"/>
  <c r="AB103" i="28"/>
  <c r="AA103" i="28"/>
  <c r="R122" i="28"/>
  <c r="L122" i="28" s="1"/>
  <c r="U122" i="28" s="1"/>
  <c r="R173" i="28"/>
  <c r="L173" i="28" s="1"/>
  <c r="U173" i="28" s="1"/>
  <c r="L139" i="28"/>
  <c r="U139" i="28" s="1"/>
  <c r="Y349" i="28"/>
  <c r="Z349" i="28" s="1"/>
  <c r="AB349" i="28"/>
  <c r="AA349" i="28"/>
  <c r="L334" i="28"/>
  <c r="U334" i="28" s="1"/>
  <c r="AB334" i="28" s="1"/>
  <c r="Q378" i="28"/>
  <c r="R378" i="28" s="1"/>
  <c r="J378" i="28"/>
  <c r="K378" i="28" s="1"/>
  <c r="L406" i="28"/>
  <c r="U406" i="28" s="1"/>
  <c r="K361" i="28"/>
  <c r="L373" i="28"/>
  <c r="U373" i="28" s="1"/>
  <c r="AC374" i="28"/>
  <c r="Q483" i="28"/>
  <c r="R483" i="28" s="1"/>
  <c r="J483" i="28"/>
  <c r="L503" i="28"/>
  <c r="U503" i="28" s="1"/>
  <c r="AA503" i="28" s="1"/>
  <c r="Q548" i="28"/>
  <c r="J548" i="28"/>
  <c r="K548" i="28" s="1"/>
  <c r="Z553" i="28"/>
  <c r="AC553" i="28" s="1"/>
  <c r="Q667" i="28"/>
  <c r="J667" i="28"/>
  <c r="K667" i="28" s="1"/>
  <c r="Y662" i="28"/>
  <c r="Q668" i="28"/>
  <c r="J668" i="28"/>
  <c r="K668" i="28" s="1"/>
  <c r="AA683" i="28"/>
  <c r="W683" i="28"/>
  <c r="Y683" i="28"/>
  <c r="Z683" i="28" s="1"/>
  <c r="X683" i="28"/>
  <c r="AB683" i="28"/>
  <c r="Y34" i="28"/>
  <c r="AB34" i="28"/>
  <c r="AA34" i="28"/>
  <c r="M288" i="28"/>
  <c r="M279" i="28" s="1"/>
  <c r="Q289" i="28"/>
  <c r="R289" i="28" s="1"/>
  <c r="J289" i="28"/>
  <c r="K289" i="28" s="1"/>
  <c r="R244" i="28"/>
  <c r="Q272" i="28"/>
  <c r="J272" i="28"/>
  <c r="K272" i="28" s="1"/>
  <c r="AB387" i="28"/>
  <c r="AA387" i="28"/>
  <c r="Y387" i="28"/>
  <c r="Z387" i="28" s="1"/>
  <c r="Z268" i="28"/>
  <c r="AC268" i="28" s="1"/>
  <c r="AC502" i="28"/>
  <c r="AB88" i="28"/>
  <c r="AA88" i="28"/>
  <c r="Y88" i="28"/>
  <c r="Z88" i="28" s="1"/>
  <c r="Q44" i="28"/>
  <c r="S44" i="28" s="1"/>
  <c r="J44" i="28"/>
  <c r="K44" i="28" s="1"/>
  <c r="Y77" i="28"/>
  <c r="Z77" i="28" s="1"/>
  <c r="AB77" i="28"/>
  <c r="AA77" i="28"/>
  <c r="Y108" i="28"/>
  <c r="Z108" i="28" s="1"/>
  <c r="Q128" i="28"/>
  <c r="S128" i="28" s="1"/>
  <c r="J128" i="28"/>
  <c r="K128" i="28" s="1"/>
  <c r="AC202" i="28"/>
  <c r="R205" i="28"/>
  <c r="S278" i="28"/>
  <c r="R278" i="28"/>
  <c r="AC241" i="28"/>
  <c r="L204" i="28"/>
  <c r="U204" i="28" s="1"/>
  <c r="AA204" i="28" s="1"/>
  <c r="AC307" i="28"/>
  <c r="Y427" i="28"/>
  <c r="Z427" i="28" s="1"/>
  <c r="AB427" i="28"/>
  <c r="AA427" i="28"/>
  <c r="Q415" i="28"/>
  <c r="R415" i="28" s="1"/>
  <c r="J415" i="28"/>
  <c r="AA365" i="28"/>
  <c r="Y365" i="28"/>
  <c r="Z365" i="28" s="1"/>
  <c r="AB365" i="28"/>
  <c r="AC419" i="28"/>
  <c r="AC488" i="28"/>
  <c r="Y490" i="28"/>
  <c r="Z490" i="28" s="1"/>
  <c r="AB490" i="28"/>
  <c r="AA490" i="28"/>
  <c r="Q536" i="28"/>
  <c r="R536" i="28" s="1"/>
  <c r="J536" i="28"/>
  <c r="M535" i="28"/>
  <c r="M526" i="28" s="1"/>
  <c r="L557" i="28"/>
  <c r="U557" i="28" s="1"/>
  <c r="K572" i="28"/>
  <c r="J616" i="28"/>
  <c r="K616" i="28" s="1"/>
  <c r="Q616" i="28"/>
  <c r="S616" i="28" s="1"/>
  <c r="L663" i="28"/>
  <c r="U663" i="28" s="1"/>
  <c r="AC233" i="28"/>
  <c r="R24" i="28"/>
  <c r="L24" i="28" s="1"/>
  <c r="AB141" i="28"/>
  <c r="AA141" i="28"/>
  <c r="Y141" i="28"/>
  <c r="Z141" i="28" s="1"/>
  <c r="R135" i="28"/>
  <c r="L135" i="28" s="1"/>
  <c r="U135" i="28" s="1"/>
  <c r="Q352" i="28"/>
  <c r="R352" i="28" s="1"/>
  <c r="J352" i="28"/>
  <c r="K352" i="28" s="1"/>
  <c r="AC262" i="28"/>
  <c r="J232" i="28"/>
  <c r="K232" i="28" s="1"/>
  <c r="Q232" i="28"/>
  <c r="AB400" i="28"/>
  <c r="AA400" i="28"/>
  <c r="S299" i="28"/>
  <c r="R299" i="28"/>
  <c r="Q447" i="28"/>
  <c r="R447" i="28" s="1"/>
  <c r="J447" i="28"/>
  <c r="K447" i="28" s="1"/>
  <c r="Z359" i="28"/>
  <c r="AC359" i="28" s="1"/>
  <c r="L464" i="28"/>
  <c r="K664" i="28"/>
  <c r="AB713" i="28"/>
  <c r="X713" i="28"/>
  <c r="AA713" i="28"/>
  <c r="W713" i="28"/>
  <c r="Y713" i="28"/>
  <c r="Z713" i="28" s="1"/>
  <c r="AC22" i="28"/>
  <c r="AB48" i="28"/>
  <c r="AA48" i="28"/>
  <c r="Y48" i="28"/>
  <c r="Z48" i="28" s="1"/>
  <c r="Q105" i="28"/>
  <c r="S105" i="28" s="1"/>
  <c r="J105" i="28"/>
  <c r="K105" i="28" s="1"/>
  <c r="J143" i="28"/>
  <c r="Q143" i="28"/>
  <c r="R143" i="28" s="1"/>
  <c r="Y179" i="28"/>
  <c r="Z179" i="28" s="1"/>
  <c r="AB179" i="28"/>
  <c r="AA179" i="28"/>
  <c r="Y230" i="28"/>
  <c r="L256" i="28"/>
  <c r="U256" i="28" s="1"/>
  <c r="AA256" i="28" s="1"/>
  <c r="Z294" i="28"/>
  <c r="AB444" i="28"/>
  <c r="AA444" i="28"/>
  <c r="Y444" i="28"/>
  <c r="Z444" i="28" s="1"/>
  <c r="Y360" i="28"/>
  <c r="Z360" i="28" s="1"/>
  <c r="AB360" i="28"/>
  <c r="AA360" i="28"/>
  <c r="AB530" i="28"/>
  <c r="AA530" i="28"/>
  <c r="Y530" i="28"/>
  <c r="Z530" i="28" s="1"/>
  <c r="S596" i="28"/>
  <c r="R596" i="28"/>
  <c r="L581" i="28"/>
  <c r="U581" i="28" s="1"/>
  <c r="Y711" i="28"/>
  <c r="AB711" i="28"/>
  <c r="X711" i="28"/>
  <c r="AA711" i="28"/>
  <c r="W711" i="28"/>
  <c r="Q685" i="28"/>
  <c r="R685" i="28" s="1"/>
  <c r="J685" i="28"/>
  <c r="K685" i="28" s="1"/>
  <c r="L685" i="28" s="1"/>
  <c r="U685" i="28" s="1"/>
  <c r="AC49" i="28"/>
  <c r="Z8" i="28"/>
  <c r="AC8" i="28" s="1"/>
  <c r="AC76" i="28"/>
  <c r="Q236" i="28"/>
  <c r="J236" i="28"/>
  <c r="K236" i="28" s="1"/>
  <c r="Q199" i="28"/>
  <c r="R199" i="28" s="1"/>
  <c r="J199" i="28"/>
  <c r="K199" i="28" s="1"/>
  <c r="Q408" i="28"/>
  <c r="R408" i="28" s="1"/>
  <c r="J408" i="28"/>
  <c r="K408" i="28" s="1"/>
  <c r="L308" i="28"/>
  <c r="U308" i="28" s="1"/>
  <c r="AB308" i="28" s="1"/>
  <c r="Q284" i="28"/>
  <c r="R284" i="28" s="1"/>
  <c r="J284" i="28"/>
  <c r="AC411" i="28"/>
  <c r="AA311" i="28"/>
  <c r="Y311" i="28"/>
  <c r="Z311" i="28" s="1"/>
  <c r="AB311" i="28"/>
  <c r="AC323" i="28"/>
  <c r="Z449" i="28"/>
  <c r="AC449" i="28" s="1"/>
  <c r="L412" i="28"/>
  <c r="U412" i="28" s="1"/>
  <c r="AC489" i="28"/>
  <c r="AB468" i="28"/>
  <c r="AA468" i="28"/>
  <c r="Y468" i="28"/>
  <c r="Z468" i="28" s="1"/>
  <c r="J518" i="28"/>
  <c r="Q518" i="28"/>
  <c r="R518" i="28" s="1"/>
  <c r="L556" i="28"/>
  <c r="Z528" i="28"/>
  <c r="AC528" i="28" s="1"/>
  <c r="Y582" i="28"/>
  <c r="Z582" i="28" s="1"/>
  <c r="AB582" i="28"/>
  <c r="AA582" i="28"/>
  <c r="S669" i="28"/>
  <c r="R669" i="28"/>
  <c r="L669" i="28" s="1"/>
  <c r="U669" i="28" s="1"/>
  <c r="R62" i="28"/>
  <c r="L62" i="28" s="1"/>
  <c r="W10" i="28"/>
  <c r="Y10" i="28"/>
  <c r="Z10" i="28" s="1"/>
  <c r="F32" i="28"/>
  <c r="Q79" i="28"/>
  <c r="S79" i="28" s="1"/>
  <c r="J79" i="28"/>
  <c r="K79" i="28" s="1"/>
  <c r="Q145" i="28"/>
  <c r="R145" i="28" s="1"/>
  <c r="J145" i="28"/>
  <c r="K145" i="28" s="1"/>
  <c r="Q147" i="28"/>
  <c r="R147" i="28" s="1"/>
  <c r="J147" i="28"/>
  <c r="K147" i="28" s="1"/>
  <c r="AC124" i="28"/>
  <c r="R207" i="28"/>
  <c r="L207" i="28" s="1"/>
  <c r="U207" i="28" s="1"/>
  <c r="AC346" i="28"/>
  <c r="Y256" i="28"/>
  <c r="Z256" i="28" s="1"/>
  <c r="AB297" i="28"/>
  <c r="AA297" i="28"/>
  <c r="Y297" i="28"/>
  <c r="Z297" i="28" s="1"/>
  <c r="L386" i="28"/>
  <c r="U386" i="28" s="1"/>
  <c r="AA386" i="28" s="1"/>
  <c r="J429" i="28"/>
  <c r="Q429" i="28"/>
  <c r="R429" i="28" s="1"/>
  <c r="J367" i="28"/>
  <c r="K367" i="28" s="1"/>
  <c r="Q367" i="28"/>
  <c r="R367" i="28" s="1"/>
  <c r="M366" i="28"/>
  <c r="M357" i="28" s="1"/>
  <c r="Z437" i="28"/>
  <c r="AC437" i="28" s="1"/>
  <c r="J492" i="28"/>
  <c r="K492" i="28" s="1"/>
  <c r="Q492" i="28"/>
  <c r="R492" i="28" s="1"/>
  <c r="S615" i="28"/>
  <c r="R615" i="28"/>
  <c r="T660" i="28"/>
  <c r="T659" i="28" s="1"/>
  <c r="S672" i="28"/>
  <c r="R672" i="28"/>
  <c r="L672" i="28" s="1"/>
  <c r="U672" i="28" s="1"/>
  <c r="AC680" i="28"/>
  <c r="AC171" i="28"/>
  <c r="R57" i="28"/>
  <c r="L57" i="28" s="1"/>
  <c r="U57" i="28" s="1"/>
  <c r="Q38" i="28"/>
  <c r="S38" i="28" s="1"/>
  <c r="J38" i="28"/>
  <c r="K38" i="28" s="1"/>
  <c r="Y35" i="28"/>
  <c r="Z35" i="28" s="1"/>
  <c r="Y87" i="28"/>
  <c r="Z87" i="28" s="1"/>
  <c r="AB87" i="28"/>
  <c r="AA87" i="28"/>
  <c r="J45" i="28"/>
  <c r="Y126" i="28"/>
  <c r="Z126" i="28" s="1"/>
  <c r="AB126" i="28"/>
  <c r="AA126" i="28"/>
  <c r="J168" i="28"/>
  <c r="K168" i="28" s="1"/>
  <c r="Q168" i="28"/>
  <c r="S168" i="28" s="1"/>
  <c r="Z216" i="28"/>
  <c r="AC216" i="28" s="1"/>
  <c r="L351" i="28"/>
  <c r="U351" i="28" s="1"/>
  <c r="S231" i="28"/>
  <c r="R231" i="28"/>
  <c r="L309" i="28"/>
  <c r="Q402" i="28"/>
  <c r="R402" i="28" s="1"/>
  <c r="J402" i="28"/>
  <c r="K402" i="28" s="1"/>
  <c r="L439" i="28"/>
  <c r="U439" i="28" s="1"/>
  <c r="Q466" i="28"/>
  <c r="R466" i="28" s="1"/>
  <c r="J466" i="28"/>
  <c r="K466" i="28" s="1"/>
  <c r="L477" i="28"/>
  <c r="U477" i="28" s="1"/>
  <c r="L516" i="28"/>
  <c r="U516" i="28" s="1"/>
  <c r="AA516" i="28" s="1"/>
  <c r="Z605" i="28"/>
  <c r="S664" i="28"/>
  <c r="R664" i="28"/>
  <c r="Q715" i="28"/>
  <c r="J715" i="28"/>
  <c r="K715" i="28" s="1"/>
  <c r="R54" i="28"/>
  <c r="L54" i="28" s="1"/>
  <c r="U54" i="28" s="1"/>
  <c r="R55" i="28"/>
  <c r="L55" i="28" s="1"/>
  <c r="U55" i="28" s="1"/>
  <c r="R91" i="28"/>
  <c r="L91" i="28" s="1"/>
  <c r="L142" i="28"/>
  <c r="U142" i="28" s="1"/>
  <c r="Z190" i="28"/>
  <c r="AC190" i="28" s="1"/>
  <c r="AC281" i="28"/>
  <c r="Y295" i="28"/>
  <c r="AC261" i="28"/>
  <c r="AC310" i="28"/>
  <c r="L322" i="28"/>
  <c r="U322" i="28" s="1"/>
  <c r="L425" i="28"/>
  <c r="U425" i="28" s="1"/>
  <c r="J362" i="28"/>
  <c r="K362" i="28" s="1"/>
  <c r="Q362" i="28"/>
  <c r="R362" i="28" s="1"/>
  <c r="AC423" i="28"/>
  <c r="L531" i="28"/>
  <c r="AC467" i="28"/>
  <c r="R547" i="28"/>
  <c r="S547" i="28"/>
  <c r="AC580" i="28"/>
  <c r="AC554" i="28"/>
  <c r="J597" i="28"/>
  <c r="K597" i="28" s="1"/>
  <c r="Q597" i="28"/>
  <c r="S665" i="28"/>
  <c r="R665" i="28"/>
  <c r="R666" i="28"/>
  <c r="L666" i="28" s="1"/>
  <c r="U666" i="28" s="1"/>
  <c r="S666" i="28"/>
  <c r="Q609" i="28"/>
  <c r="J609" i="28"/>
  <c r="K609" i="28" s="1"/>
  <c r="AC46" i="28"/>
  <c r="R25" i="28"/>
  <c r="L25" i="28" s="1"/>
  <c r="U25" i="28" s="1"/>
  <c r="Z60" i="28"/>
  <c r="Y218" i="28"/>
  <c r="Z218" i="28" s="1"/>
  <c r="AA218" i="28"/>
  <c r="S235" i="28"/>
  <c r="R235" i="28"/>
  <c r="L235" i="28" s="1"/>
  <c r="U235" i="28" s="1"/>
  <c r="Q245" i="28"/>
  <c r="J245" i="28"/>
  <c r="K245" i="28" s="1"/>
  <c r="R271" i="28"/>
  <c r="S271" i="28"/>
  <c r="L407" i="28"/>
  <c r="U407" i="28" s="1"/>
  <c r="R296" i="28"/>
  <c r="S296" i="28"/>
  <c r="J313" i="28"/>
  <c r="K313" i="28" s="1"/>
  <c r="Q313" i="28"/>
  <c r="R313" i="28" s="1"/>
  <c r="L438" i="28"/>
  <c r="AC475" i="28"/>
  <c r="Q470" i="28"/>
  <c r="R470" i="28" s="1"/>
  <c r="J470" i="28"/>
  <c r="K470" i="28" s="1"/>
  <c r="AC541" i="28"/>
  <c r="AC568" i="28"/>
  <c r="Q584" i="28"/>
  <c r="R584" i="28" s="1"/>
  <c r="J584" i="28"/>
  <c r="R51" i="28"/>
  <c r="L51" i="28" s="1"/>
  <c r="R56" i="28"/>
  <c r="L56" i="28" s="1"/>
  <c r="U56" i="28" s="1"/>
  <c r="Y61" i="28"/>
  <c r="Z61" i="28" s="1"/>
  <c r="AB61" i="28"/>
  <c r="AA61" i="28"/>
  <c r="Y153" i="28"/>
  <c r="Z153" i="28" s="1"/>
  <c r="AB153" i="28"/>
  <c r="AA153" i="28"/>
  <c r="Q146" i="28"/>
  <c r="R146" i="28" s="1"/>
  <c r="J146" i="28"/>
  <c r="K146" i="28" s="1"/>
  <c r="M145" i="28"/>
  <c r="M136" i="28" s="1"/>
  <c r="Q148" i="28"/>
  <c r="R148" i="28" s="1"/>
  <c r="J148" i="28"/>
  <c r="K148" i="28" s="1"/>
  <c r="R149" i="28"/>
  <c r="AC157" i="28"/>
  <c r="Y263" i="28"/>
  <c r="Z263" i="28" s="1"/>
  <c r="AB263" i="28"/>
  <c r="AA263" i="28"/>
  <c r="Q258" i="28"/>
  <c r="R258" i="28" s="1"/>
  <c r="J258" i="28"/>
  <c r="U178" i="28"/>
  <c r="L243" i="28"/>
  <c r="L321" i="28"/>
  <c r="AC476" i="28"/>
  <c r="L366" i="28"/>
  <c r="U366" i="28" s="1"/>
  <c r="J457" i="28"/>
  <c r="K457" i="28" s="1"/>
  <c r="Q457" i="28"/>
  <c r="R457" i="28" s="1"/>
  <c r="Q588" i="28"/>
  <c r="R588" i="28" s="1"/>
  <c r="J588" i="28"/>
  <c r="K588" i="28" s="1"/>
  <c r="Y571" i="28"/>
  <c r="Z571" i="28" s="1"/>
  <c r="AB571" i="28"/>
  <c r="AA571" i="28"/>
  <c r="AC569" i="28"/>
  <c r="AC542" i="28" l="1"/>
  <c r="Y234" i="28"/>
  <c r="Z234" i="28" s="1"/>
  <c r="W587" i="28"/>
  <c r="AC152" i="28"/>
  <c r="AB282" i="28"/>
  <c r="AA234" i="28"/>
  <c r="AB587" i="28"/>
  <c r="AC324" i="28"/>
  <c r="W234" i="28"/>
  <c r="Y587" i="28"/>
  <c r="Z587" i="28" s="1"/>
  <c r="AC375" i="28"/>
  <c r="AC160" i="28"/>
  <c r="Y282" i="28"/>
  <c r="Z282" i="28" s="1"/>
  <c r="L327" i="28"/>
  <c r="U327" i="28" s="1"/>
  <c r="AB386" i="28"/>
  <c r="L608" i="28"/>
  <c r="U608" i="28" s="1"/>
  <c r="W608" i="28" s="1"/>
  <c r="AC161" i="28"/>
  <c r="AC172" i="28"/>
  <c r="L231" i="28"/>
  <c r="AC421" i="28"/>
  <c r="Y270" i="28"/>
  <c r="Z270" i="28" s="1"/>
  <c r="Y298" i="28"/>
  <c r="Z298" i="28" s="1"/>
  <c r="AC101" i="28"/>
  <c r="AC159" i="28"/>
  <c r="L271" i="28"/>
  <c r="U271" i="28" s="1"/>
  <c r="W271" i="28" s="1"/>
  <c r="L392" i="28"/>
  <c r="U392" i="28" s="1"/>
  <c r="AA270" i="28"/>
  <c r="Y594" i="28"/>
  <c r="Z594" i="28" s="1"/>
  <c r="AC36" i="28"/>
  <c r="L278" i="28"/>
  <c r="U278" i="28" s="1"/>
  <c r="AB278" i="28" s="1"/>
  <c r="L595" i="28"/>
  <c r="AC443" i="28"/>
  <c r="AB594" i="28"/>
  <c r="AC164" i="28"/>
  <c r="AB503" i="28"/>
  <c r="L146" i="28"/>
  <c r="U146" i="28" s="1"/>
  <c r="W146" i="28" s="1"/>
  <c r="L466" i="28"/>
  <c r="U466" i="28" s="1"/>
  <c r="AB466" i="28" s="1"/>
  <c r="L615" i="28"/>
  <c r="U615" i="28" s="1"/>
  <c r="L596" i="28"/>
  <c r="U596" i="28" s="1"/>
  <c r="W596" i="28" s="1"/>
  <c r="AC570" i="28"/>
  <c r="L547" i="28"/>
  <c r="L148" i="28"/>
  <c r="U148" i="28" s="1"/>
  <c r="W148" i="28" s="1"/>
  <c r="L299" i="28"/>
  <c r="U299" i="28" s="1"/>
  <c r="AA299" i="28" s="1"/>
  <c r="L340" i="28"/>
  <c r="U340" i="28" s="1"/>
  <c r="W340" i="28" s="1"/>
  <c r="AC114" i="28"/>
  <c r="L337" i="28"/>
  <c r="U337" i="28" s="1"/>
  <c r="W337" i="28" s="1"/>
  <c r="L296" i="28"/>
  <c r="U296" i="28" s="1"/>
  <c r="W149" i="28"/>
  <c r="L13" i="28"/>
  <c r="U13" i="28" s="1"/>
  <c r="U91" i="28"/>
  <c r="W235" i="28"/>
  <c r="W55" i="28"/>
  <c r="W615" i="28"/>
  <c r="W174" i="28"/>
  <c r="U37" i="28"/>
  <c r="W119" i="28"/>
  <c r="W56" i="28"/>
  <c r="U547" i="28"/>
  <c r="AA547" i="28" s="1"/>
  <c r="W54" i="28"/>
  <c r="W57" i="28"/>
  <c r="W135" i="28"/>
  <c r="U24" i="28"/>
  <c r="W173" i="28"/>
  <c r="W167" i="28"/>
  <c r="U127" i="28"/>
  <c r="U595" i="28"/>
  <c r="W25" i="28"/>
  <c r="W122" i="28"/>
  <c r="U78" i="28"/>
  <c r="AA78" i="28" s="1"/>
  <c r="W43" i="28"/>
  <c r="U166" i="28"/>
  <c r="U104" i="28"/>
  <c r="AA104" i="28" s="1"/>
  <c r="W322" i="28"/>
  <c r="W477" i="28"/>
  <c r="AB477" i="28"/>
  <c r="AA477" i="28"/>
  <c r="W351" i="28"/>
  <c r="W327" i="28"/>
  <c r="W144" i="28"/>
  <c r="W392" i="28"/>
  <c r="W52" i="28"/>
  <c r="W191" i="28"/>
  <c r="K184" i="28"/>
  <c r="W456" i="28"/>
  <c r="W192" i="28"/>
  <c r="U714" i="28"/>
  <c r="U231" i="28"/>
  <c r="W414" i="28"/>
  <c r="U62" i="28"/>
  <c r="W446" i="28"/>
  <c r="L183" i="28"/>
  <c r="U183" i="28" s="1"/>
  <c r="W74" i="28"/>
  <c r="U321" i="28"/>
  <c r="Y321" i="28" s="1"/>
  <c r="Z321" i="28" s="1"/>
  <c r="U51" i="28"/>
  <c r="L45" i="28"/>
  <c r="W407" i="28"/>
  <c r="AA191" i="28"/>
  <c r="W142" i="28"/>
  <c r="U309" i="28"/>
  <c r="Y309" i="28" s="1"/>
  <c r="Z309" i="28" s="1"/>
  <c r="L492" i="28"/>
  <c r="U492" i="28" s="1"/>
  <c r="W581" i="28"/>
  <c r="AA581" i="28"/>
  <c r="AB581" i="28"/>
  <c r="W256" i="28"/>
  <c r="J660" i="28"/>
  <c r="J659" i="28" s="1"/>
  <c r="AB516" i="28"/>
  <c r="W406" i="28"/>
  <c r="W334" i="28"/>
  <c r="W139" i="28"/>
  <c r="AB139" i="28"/>
  <c r="AA139" i="28"/>
  <c r="W218" i="28"/>
  <c r="W283" i="28"/>
  <c r="AC593" i="28"/>
  <c r="W219" i="28"/>
  <c r="W482" i="28"/>
  <c r="W336" i="28"/>
  <c r="W428" i="28"/>
  <c r="W366" i="28"/>
  <c r="U243" i="28"/>
  <c r="Y243" i="28" s="1"/>
  <c r="Z243" i="28" s="1"/>
  <c r="R136" i="28"/>
  <c r="AB191" i="28"/>
  <c r="AB218" i="28"/>
  <c r="U531" i="28"/>
  <c r="L367" i="28"/>
  <c r="U367" i="28" s="1"/>
  <c r="W386" i="28"/>
  <c r="U556" i="28"/>
  <c r="Y556" i="28" s="1"/>
  <c r="Z556" i="28" s="1"/>
  <c r="W412" i="28"/>
  <c r="AB412" i="28"/>
  <c r="AA412" i="28"/>
  <c r="K539" i="28"/>
  <c r="L378" i="28"/>
  <c r="U378" i="28" s="1"/>
  <c r="U555" i="28"/>
  <c r="Y555" i="28" s="1"/>
  <c r="Z555" i="28" s="1"/>
  <c r="L265" i="28"/>
  <c r="U265" i="28" s="1"/>
  <c r="Y265" i="28" s="1"/>
  <c r="Z265" i="28" s="1"/>
  <c r="W400" i="28"/>
  <c r="S184" i="28"/>
  <c r="R184" i="28"/>
  <c r="L222" i="28"/>
  <c r="U222" i="28" s="1"/>
  <c r="AC100" i="28"/>
  <c r="W257" i="28"/>
  <c r="W298" i="28"/>
  <c r="AC298" i="28" s="1"/>
  <c r="W339" i="28"/>
  <c r="W517" i="28"/>
  <c r="AC399" i="28"/>
  <c r="W269" i="28"/>
  <c r="W23" i="28"/>
  <c r="W204" i="28"/>
  <c r="W503" i="28"/>
  <c r="W583" i="28"/>
  <c r="AC35" i="28"/>
  <c r="Y503" i="28"/>
  <c r="W178" i="28"/>
  <c r="L470" i="28"/>
  <c r="U470" i="28" s="1"/>
  <c r="U438" i="28"/>
  <c r="Y438" i="28" s="1"/>
  <c r="Z438" i="28" s="1"/>
  <c r="Y191" i="28"/>
  <c r="Z191" i="28" s="1"/>
  <c r="W425" i="28"/>
  <c r="AA425" i="28"/>
  <c r="AB425" i="28"/>
  <c r="W516" i="28"/>
  <c r="W439" i="28"/>
  <c r="AB256" i="28"/>
  <c r="W207" i="28"/>
  <c r="W308" i="28"/>
  <c r="U464" i="28"/>
  <c r="L447" i="28"/>
  <c r="U447" i="28" s="1"/>
  <c r="AB447" i="28" s="1"/>
  <c r="AA308" i="28"/>
  <c r="W557" i="28"/>
  <c r="W479" i="28"/>
  <c r="AB204" i="28"/>
  <c r="W373" i="28"/>
  <c r="AA373" i="28"/>
  <c r="AB373" i="28"/>
  <c r="W529" i="28"/>
  <c r="AB529" i="28"/>
  <c r="AA529" i="28"/>
  <c r="W282" i="28"/>
  <c r="L573" i="28"/>
  <c r="U573" i="28" s="1"/>
  <c r="AA334" i="28"/>
  <c r="W401" i="28"/>
  <c r="W140" i="28"/>
  <c r="AA140" i="28"/>
  <c r="Y140" i="28"/>
  <c r="Z140" i="28" s="1"/>
  <c r="AB140" i="28"/>
  <c r="W391" i="28"/>
  <c r="W221" i="28"/>
  <c r="U182" i="28"/>
  <c r="W607" i="28"/>
  <c r="W594" i="28"/>
  <c r="AC713" i="28"/>
  <c r="AC99" i="28"/>
  <c r="AB178" i="28"/>
  <c r="AA178" i="28"/>
  <c r="AC115" i="28"/>
  <c r="AC546" i="28"/>
  <c r="AC325" i="28"/>
  <c r="AC490" i="28"/>
  <c r="AC53" i="28"/>
  <c r="AC155" i="28"/>
  <c r="Z295" i="28"/>
  <c r="Z165" i="28"/>
  <c r="Z230" i="28"/>
  <c r="AC230" i="28" s="1"/>
  <c r="L588" i="28"/>
  <c r="U588" i="28" s="1"/>
  <c r="Y178" i="28"/>
  <c r="K258" i="28"/>
  <c r="AC153" i="28"/>
  <c r="AC61" i="28"/>
  <c r="Y583" i="28"/>
  <c r="Z583" i="28" s="1"/>
  <c r="AB583" i="28"/>
  <c r="AA583" i="28"/>
  <c r="AB312" i="28"/>
  <c r="AA312" i="28"/>
  <c r="Y312" i="28"/>
  <c r="Z312" i="28" s="1"/>
  <c r="Q246" i="28"/>
  <c r="J246" i="28"/>
  <c r="K246" i="28" s="1"/>
  <c r="S609" i="28"/>
  <c r="R609" i="28"/>
  <c r="J598" i="28"/>
  <c r="K598" i="28" s="1"/>
  <c r="Q598" i="28"/>
  <c r="Y180" i="28"/>
  <c r="Z180" i="28" s="1"/>
  <c r="AB180" i="28"/>
  <c r="AA180" i="28"/>
  <c r="Q716" i="28"/>
  <c r="J716" i="28"/>
  <c r="K716" i="28" s="1"/>
  <c r="L402" i="28"/>
  <c r="U402" i="28" s="1"/>
  <c r="Y174" i="28"/>
  <c r="Z174" i="28" s="1"/>
  <c r="AB174" i="28"/>
  <c r="AA174" i="28"/>
  <c r="R38" i="28"/>
  <c r="L38" i="28" s="1"/>
  <c r="J430" i="28"/>
  <c r="K430" i="28" s="1"/>
  <c r="Q430" i="28"/>
  <c r="R430" i="28" s="1"/>
  <c r="Y404" i="28"/>
  <c r="Z404" i="28" s="1"/>
  <c r="AB404" i="28"/>
  <c r="AA404" i="28"/>
  <c r="L145" i="28"/>
  <c r="U145" i="28" s="1"/>
  <c r="AB78" i="28"/>
  <c r="AC311" i="28"/>
  <c r="AA283" i="28"/>
  <c r="Y283" i="28"/>
  <c r="AB283" i="28"/>
  <c r="Q200" i="28"/>
  <c r="R200" i="28" s="1"/>
  <c r="J200" i="28"/>
  <c r="K200" i="28" s="1"/>
  <c r="R236" i="28"/>
  <c r="S236" i="28"/>
  <c r="Z711" i="28"/>
  <c r="AC711" i="28" s="1"/>
  <c r="AC179" i="28"/>
  <c r="Y158" i="28"/>
  <c r="Z158" i="28" s="1"/>
  <c r="AB158" i="28"/>
  <c r="AB149" i="28" s="1"/>
  <c r="AA158" i="28"/>
  <c r="AA149" i="28" s="1"/>
  <c r="Q106" i="28"/>
  <c r="S106" i="28" s="1"/>
  <c r="J106" i="28"/>
  <c r="K106" i="28" s="1"/>
  <c r="Y116" i="28"/>
  <c r="Z116" i="28" s="1"/>
  <c r="AB116" i="28"/>
  <c r="AA116" i="28"/>
  <c r="Y269" i="28"/>
  <c r="AB269" i="28"/>
  <c r="AA269" i="28"/>
  <c r="L352" i="28"/>
  <c r="U352" i="28" s="1"/>
  <c r="AC141" i="28"/>
  <c r="K536" i="28"/>
  <c r="Y414" i="28"/>
  <c r="Z414" i="28" s="1"/>
  <c r="AB414" i="28"/>
  <c r="AA414" i="28"/>
  <c r="L205" i="28"/>
  <c r="U205" i="28" s="1"/>
  <c r="AC77" i="28"/>
  <c r="Y43" i="28"/>
  <c r="Z43" i="28" s="1"/>
  <c r="AB43" i="28"/>
  <c r="AA43" i="28"/>
  <c r="Y516" i="28"/>
  <c r="Y286" i="28"/>
  <c r="Z286" i="28" s="1"/>
  <c r="AB286" i="28"/>
  <c r="AA286" i="28"/>
  <c r="S272" i="28"/>
  <c r="R272" i="28"/>
  <c r="L272" i="28" s="1"/>
  <c r="U272" i="28" s="1"/>
  <c r="Q290" i="28"/>
  <c r="R290" i="28" s="1"/>
  <c r="J290" i="28"/>
  <c r="K290" i="28" s="1"/>
  <c r="Z662" i="28"/>
  <c r="AC662" i="28" s="1"/>
  <c r="S667" i="28"/>
  <c r="R667" i="28"/>
  <c r="L667" i="28" s="1"/>
  <c r="U667" i="28" s="1"/>
  <c r="AC587" i="28"/>
  <c r="K483" i="28"/>
  <c r="AC103" i="28"/>
  <c r="Y529" i="28"/>
  <c r="AB439" i="28"/>
  <c r="AA439" i="28"/>
  <c r="Y439" i="28"/>
  <c r="Z439" i="28" s="1"/>
  <c r="Q301" i="28"/>
  <c r="J301" i="28"/>
  <c r="K301" i="28" s="1"/>
  <c r="L491" i="28"/>
  <c r="U491" i="28" s="1"/>
  <c r="AC413" i="28"/>
  <c r="AA339" i="28"/>
  <c r="Y339" i="28"/>
  <c r="Z339" i="28" s="1"/>
  <c r="AB339" i="28"/>
  <c r="R117" i="28"/>
  <c r="R110" i="28" s="1"/>
  <c r="AA89" i="28"/>
  <c r="AB89" i="28"/>
  <c r="Y89" i="28"/>
  <c r="Z89" i="28" s="1"/>
  <c r="Q64" i="28"/>
  <c r="S64" i="28" s="1"/>
  <c r="J64" i="28"/>
  <c r="K64" i="28" s="1"/>
  <c r="R670" i="28"/>
  <c r="L670" i="28" s="1"/>
  <c r="U670" i="28" s="1"/>
  <c r="S670" i="28"/>
  <c r="AB544" i="28"/>
  <c r="AA544" i="28"/>
  <c r="Y544" i="28"/>
  <c r="AC287" i="28"/>
  <c r="K193" i="28"/>
  <c r="Y219" i="28"/>
  <c r="Z219" i="28" s="1"/>
  <c r="AB219" i="28"/>
  <c r="AA219" i="28"/>
  <c r="F30" i="28"/>
  <c r="Q27" i="28"/>
  <c r="S27" i="28" s="1"/>
  <c r="J27" i="28"/>
  <c r="K27" i="28" s="1"/>
  <c r="L665" i="28"/>
  <c r="U665" i="28" s="1"/>
  <c r="AB665" i="28" s="1"/>
  <c r="AC543" i="28"/>
  <c r="AC481" i="28"/>
  <c r="AC376" i="28"/>
  <c r="AC73" i="28"/>
  <c r="J93" i="28"/>
  <c r="K93" i="28" s="1"/>
  <c r="Q93" i="28"/>
  <c r="S93" i="28" s="1"/>
  <c r="P694" i="28"/>
  <c r="Q693" i="28"/>
  <c r="U693" i="28" s="1"/>
  <c r="AC294" i="28"/>
  <c r="AC350" i="28"/>
  <c r="AC109" i="28"/>
  <c r="AC571" i="28"/>
  <c r="Q458" i="28"/>
  <c r="R458" i="28" s="1"/>
  <c r="J458" i="28"/>
  <c r="K458" i="28" s="1"/>
  <c r="L458" i="28" s="1"/>
  <c r="U458" i="28" s="1"/>
  <c r="M457" i="28"/>
  <c r="M448" i="28" s="1"/>
  <c r="Y23" i="28"/>
  <c r="AB23" i="28"/>
  <c r="AA23" i="28"/>
  <c r="Q585" i="28"/>
  <c r="R585" i="28" s="1"/>
  <c r="J585" i="28"/>
  <c r="K585" i="28" s="1"/>
  <c r="Y469" i="28"/>
  <c r="Z469" i="28" s="1"/>
  <c r="AB469" i="28"/>
  <c r="AA469" i="28"/>
  <c r="Q314" i="28"/>
  <c r="R314" i="28" s="1"/>
  <c r="J314" i="28"/>
  <c r="K314" i="28" s="1"/>
  <c r="J363" i="28"/>
  <c r="K363" i="28" s="1"/>
  <c r="Q363" i="28"/>
  <c r="R363" i="28" s="1"/>
  <c r="Y425" i="28"/>
  <c r="AA196" i="28"/>
  <c r="Y196" i="28"/>
  <c r="Z196" i="28" s="1"/>
  <c r="AB196" i="28"/>
  <c r="AA54" i="28"/>
  <c r="AB54" i="28"/>
  <c r="Y465" i="28"/>
  <c r="Z465" i="28" s="1"/>
  <c r="AB465" i="28"/>
  <c r="AA465" i="28"/>
  <c r="Q169" i="28"/>
  <c r="S169" i="28" s="1"/>
  <c r="J169" i="28"/>
  <c r="K169" i="28" s="1"/>
  <c r="AC126" i="28"/>
  <c r="AB142" i="28"/>
  <c r="AA142" i="28"/>
  <c r="Y142" i="28"/>
  <c r="Z142" i="28" s="1"/>
  <c r="AC87" i="28"/>
  <c r="AA50" i="28"/>
  <c r="Y50" i="28"/>
  <c r="Z50" i="28" s="1"/>
  <c r="AB50" i="28"/>
  <c r="AA366" i="28"/>
  <c r="Y366" i="28"/>
  <c r="Z366" i="28" s="1"/>
  <c r="AB366" i="28"/>
  <c r="L147" i="28"/>
  <c r="U147" i="28" s="1"/>
  <c r="Q80" i="28"/>
  <c r="S80" i="28" s="1"/>
  <c r="J80" i="28"/>
  <c r="K80" i="28" s="1"/>
  <c r="AC582" i="28"/>
  <c r="K518" i="28"/>
  <c r="Y412" i="28"/>
  <c r="K284" i="28"/>
  <c r="AB388" i="28"/>
  <c r="AA388" i="28"/>
  <c r="Y388" i="28"/>
  <c r="Z388" i="28" s="1"/>
  <c r="L199" i="28"/>
  <c r="U199" i="28" s="1"/>
  <c r="Y684" i="28"/>
  <c r="Z684" i="28" s="1"/>
  <c r="AB684" i="28"/>
  <c r="X684" i="28"/>
  <c r="AA684" i="28"/>
  <c r="W684" i="28"/>
  <c r="AA607" i="28"/>
  <c r="Y607" i="28"/>
  <c r="AB607" i="28"/>
  <c r="Y581" i="28"/>
  <c r="AC530" i="28"/>
  <c r="AC444" i="28"/>
  <c r="K143" i="28"/>
  <c r="J136" i="28"/>
  <c r="L664" i="28"/>
  <c r="U664" i="28" s="1"/>
  <c r="X664" i="28" s="1"/>
  <c r="K660" i="28"/>
  <c r="K659" i="28" s="1"/>
  <c r="AC400" i="28"/>
  <c r="R616" i="28"/>
  <c r="L616" i="28" s="1"/>
  <c r="U616" i="28" s="1"/>
  <c r="AC365" i="28"/>
  <c r="Q416" i="28"/>
  <c r="R416" i="28" s="1"/>
  <c r="J416" i="28"/>
  <c r="K416" i="28" s="1"/>
  <c r="AC427" i="28"/>
  <c r="R128" i="28"/>
  <c r="L128" i="28" s="1"/>
  <c r="L289" i="28"/>
  <c r="U289" i="28" s="1"/>
  <c r="Y204" i="28"/>
  <c r="Z34" i="28"/>
  <c r="AC34" i="28" s="1"/>
  <c r="J539" i="28"/>
  <c r="Y454" i="28"/>
  <c r="AB454" i="28"/>
  <c r="AA454" i="28"/>
  <c r="Y373" i="28"/>
  <c r="Y377" i="28"/>
  <c r="Z377" i="28" s="1"/>
  <c r="AB377" i="28"/>
  <c r="AA377" i="28"/>
  <c r="AC349" i="28"/>
  <c r="U623" i="28"/>
  <c r="J441" i="28"/>
  <c r="Q441" i="28"/>
  <c r="R441" i="28" s="1"/>
  <c r="Y386" i="28"/>
  <c r="S300" i="28"/>
  <c r="R300" i="28"/>
  <c r="L300" i="28" s="1"/>
  <c r="Y336" i="28"/>
  <c r="Z336" i="28" s="1"/>
  <c r="AB336" i="28"/>
  <c r="AA336" i="28"/>
  <c r="Y326" i="28"/>
  <c r="Z326" i="28" s="1"/>
  <c r="AB326" i="28"/>
  <c r="AA326" i="28"/>
  <c r="K505" i="28"/>
  <c r="Q574" i="28"/>
  <c r="R574" i="28" s="1"/>
  <c r="J574" i="28"/>
  <c r="Y557" i="28"/>
  <c r="Z557" i="28" s="1"/>
  <c r="AB557" i="28"/>
  <c r="AA557" i="28"/>
  <c r="AC478" i="28"/>
  <c r="Q341" i="28"/>
  <c r="R341" i="28" s="1"/>
  <c r="J341" i="28"/>
  <c r="K341" i="28" s="1"/>
  <c r="Y264" i="28"/>
  <c r="Z264" i="28" s="1"/>
  <c r="AB264" i="28"/>
  <c r="AA264" i="28"/>
  <c r="Q209" i="28"/>
  <c r="J209" i="28"/>
  <c r="AA663" i="28"/>
  <c r="Y663" i="28"/>
  <c r="Z663" i="28" s="1"/>
  <c r="X663" i="28"/>
  <c r="AB663" i="28"/>
  <c r="W663" i="28"/>
  <c r="Q393" i="28"/>
  <c r="R393" i="28" s="1"/>
  <c r="J393" i="28"/>
  <c r="M392" i="28"/>
  <c r="M383" i="28" s="1"/>
  <c r="K220" i="28"/>
  <c r="Y9" i="28"/>
  <c r="Y11" i="28"/>
  <c r="Z11" i="28" s="1"/>
  <c r="W11" i="28"/>
  <c r="AB595" i="28"/>
  <c r="Y595" i="28"/>
  <c r="AA595" i="28"/>
  <c r="L206" i="28"/>
  <c r="U206" i="28" s="1"/>
  <c r="AC154" i="28"/>
  <c r="AC165" i="28"/>
  <c r="Q15" i="28"/>
  <c r="J15" i="28"/>
  <c r="K15" i="28" s="1"/>
  <c r="AC335" i="28"/>
  <c r="Q185" i="28"/>
  <c r="J185" i="28"/>
  <c r="K185" i="28" s="1"/>
  <c r="AA75" i="28"/>
  <c r="Y75" i="28"/>
  <c r="Z75" i="28" s="1"/>
  <c r="AB75" i="28"/>
  <c r="Z503" i="28"/>
  <c r="Q589" i="28"/>
  <c r="R589" i="28" s="1"/>
  <c r="J589" i="28"/>
  <c r="K589" i="28" s="1"/>
  <c r="L457" i="28"/>
  <c r="U457" i="28" s="1"/>
  <c r="AA257" i="28"/>
  <c r="Y257" i="28"/>
  <c r="AB257" i="28"/>
  <c r="Y102" i="28"/>
  <c r="AB102" i="28"/>
  <c r="AA102" i="28"/>
  <c r="AB56" i="28"/>
  <c r="AA56" i="28"/>
  <c r="K584" i="28"/>
  <c r="J471" i="28"/>
  <c r="K471" i="28" s="1"/>
  <c r="M470" i="28"/>
  <c r="M461" i="28" s="1"/>
  <c r="Q471" i="28"/>
  <c r="R471" i="28" s="1"/>
  <c r="R245" i="28"/>
  <c r="AA608" i="28"/>
  <c r="Y608" i="28"/>
  <c r="Z608" i="28" s="1"/>
  <c r="AB608" i="28"/>
  <c r="S597" i="28"/>
  <c r="R597" i="28"/>
  <c r="Y55" i="28"/>
  <c r="Z55" i="28" s="1"/>
  <c r="AB55" i="28"/>
  <c r="AA55" i="28"/>
  <c r="S715" i="28"/>
  <c r="R715" i="28"/>
  <c r="AA545" i="28"/>
  <c r="Y545" i="28"/>
  <c r="Z545" i="28" s="1"/>
  <c r="AB545" i="28"/>
  <c r="Y477" i="28"/>
  <c r="Y401" i="28"/>
  <c r="Z401" i="28" s="1"/>
  <c r="AB401" i="28"/>
  <c r="AA401" i="28"/>
  <c r="R168" i="28"/>
  <c r="L168" i="28" s="1"/>
  <c r="U168" i="28" s="1"/>
  <c r="Q39" i="28"/>
  <c r="S39" i="28" s="1"/>
  <c r="S32" i="28" s="1"/>
  <c r="J39" i="28"/>
  <c r="K39" i="28" s="1"/>
  <c r="Y12" i="28"/>
  <c r="Z12" i="28" s="1"/>
  <c r="W12" i="28"/>
  <c r="AB491" i="28"/>
  <c r="AA491" i="28"/>
  <c r="Y491" i="28"/>
  <c r="J368" i="28"/>
  <c r="K368" i="28" s="1"/>
  <c r="Q368" i="28"/>
  <c r="R368" i="28" s="1"/>
  <c r="K429" i="28"/>
  <c r="AC10" i="28"/>
  <c r="Y517" i="28"/>
  <c r="Z517" i="28" s="1"/>
  <c r="AB517" i="28"/>
  <c r="AA517" i="28"/>
  <c r="J237" i="28"/>
  <c r="K237" i="28" s="1"/>
  <c r="Q237" i="28"/>
  <c r="M236" i="28"/>
  <c r="M227" i="28" s="1"/>
  <c r="Q686" i="28"/>
  <c r="R686" i="28" s="1"/>
  <c r="J686" i="28"/>
  <c r="K686" i="28" s="1"/>
  <c r="AA549" i="28"/>
  <c r="Y549" i="28"/>
  <c r="Z549" i="28" s="1"/>
  <c r="AB549" i="28"/>
  <c r="Y54" i="28"/>
  <c r="Z54" i="28" s="1"/>
  <c r="AB446" i="28"/>
  <c r="Y446" i="28"/>
  <c r="Z446" i="28" s="1"/>
  <c r="AA446" i="28"/>
  <c r="R232" i="28"/>
  <c r="S232" i="28"/>
  <c r="Q353" i="28"/>
  <c r="R353" i="28" s="1"/>
  <c r="J353" i="28"/>
  <c r="K353" i="28" s="1"/>
  <c r="K415" i="28"/>
  <c r="Y278" i="28"/>
  <c r="Z278" i="28" s="1"/>
  <c r="Q273" i="28"/>
  <c r="J273" i="28"/>
  <c r="K273" i="28" s="1"/>
  <c r="S548" i="28"/>
  <c r="S539" i="28" s="1"/>
  <c r="R548" i="28"/>
  <c r="L548" i="28" s="1"/>
  <c r="AA532" i="28"/>
  <c r="Y532" i="28"/>
  <c r="Z532" i="28" s="1"/>
  <c r="AB532" i="28"/>
  <c r="Y482" i="28"/>
  <c r="Z482" i="28" s="1"/>
  <c r="AB482" i="28"/>
  <c r="AA482" i="28"/>
  <c r="Q379" i="28"/>
  <c r="R379" i="28" s="1"/>
  <c r="J379" i="28"/>
  <c r="Y139" i="28"/>
  <c r="F703" i="28"/>
  <c r="F691" i="28" s="1"/>
  <c r="Q338" i="28"/>
  <c r="R338" i="28" s="1"/>
  <c r="J338" i="28"/>
  <c r="K338" i="28" s="1"/>
  <c r="M327" i="28"/>
  <c r="M318" i="28" s="1"/>
  <c r="Q328" i="28"/>
  <c r="R328" i="28" s="1"/>
  <c r="J328" i="28"/>
  <c r="AB167" i="28"/>
  <c r="AA167" i="28"/>
  <c r="Y167" i="28"/>
  <c r="Z167" i="28" s="1"/>
  <c r="AB504" i="28"/>
  <c r="AA504" i="28"/>
  <c r="Y504" i="28"/>
  <c r="Z504" i="28" s="1"/>
  <c r="Q559" i="28"/>
  <c r="R559" i="28" s="1"/>
  <c r="J559" i="28"/>
  <c r="K559" i="28" s="1"/>
  <c r="Y221" i="28"/>
  <c r="Z221" i="28" s="1"/>
  <c r="AB221" i="28"/>
  <c r="AA221" i="28"/>
  <c r="R63" i="28"/>
  <c r="L63" i="28" s="1"/>
  <c r="U63" i="28" s="1"/>
  <c r="AC295" i="28"/>
  <c r="L244" i="28"/>
  <c r="U244" i="28" s="1"/>
  <c r="AA244" i="28" s="1"/>
  <c r="Y192" i="28"/>
  <c r="Z192" i="28" s="1"/>
  <c r="AB192" i="28"/>
  <c r="AA192" i="28"/>
  <c r="M28" i="28"/>
  <c r="M19" i="28" s="1"/>
  <c r="R26" i="28"/>
  <c r="L26" i="28" s="1"/>
  <c r="AC453" i="28"/>
  <c r="Z112" i="28"/>
  <c r="AB41" i="28"/>
  <c r="AA41" i="28"/>
  <c r="Y41" i="28"/>
  <c r="Z41" i="28" s="1"/>
  <c r="AC445" i="28"/>
  <c r="Z151" i="28"/>
  <c r="R45" i="28"/>
  <c r="AC108" i="28"/>
  <c r="Q259" i="28"/>
  <c r="R259" i="28" s="1"/>
  <c r="J259" i="28"/>
  <c r="K259" i="28" s="1"/>
  <c r="AC263" i="28"/>
  <c r="L313" i="28"/>
  <c r="U313" i="28" s="1"/>
  <c r="Q610" i="28"/>
  <c r="J610" i="28"/>
  <c r="K610" i="28" s="1"/>
  <c r="L362" i="28"/>
  <c r="U362" i="28" s="1"/>
  <c r="Y714" i="28"/>
  <c r="Z714" i="28" s="1"/>
  <c r="Y664" i="28"/>
  <c r="Z664" i="28" s="1"/>
  <c r="Q403" i="28"/>
  <c r="R403" i="28" s="1"/>
  <c r="J403" i="28"/>
  <c r="Q493" i="28"/>
  <c r="R493" i="28" s="1"/>
  <c r="J493" i="28"/>
  <c r="K493" i="28" s="1"/>
  <c r="AA479" i="28"/>
  <c r="Y479" i="28"/>
  <c r="Z479" i="28" s="1"/>
  <c r="AB479" i="28"/>
  <c r="AA428" i="28"/>
  <c r="Y428" i="28"/>
  <c r="Z428" i="28" s="1"/>
  <c r="AB428" i="28"/>
  <c r="AC297" i="28"/>
  <c r="R79" i="28"/>
  <c r="L79" i="28" s="1"/>
  <c r="Y56" i="28"/>
  <c r="Z56" i="28" s="1"/>
  <c r="J519" i="28"/>
  <c r="K519" i="28" s="1"/>
  <c r="Q519" i="28"/>
  <c r="R519" i="28" s="1"/>
  <c r="AC468" i="28"/>
  <c r="L408" i="28"/>
  <c r="U408" i="28" s="1"/>
  <c r="AC60" i="28"/>
  <c r="AC360" i="28"/>
  <c r="R105" i="28"/>
  <c r="L105" i="28" s="1"/>
  <c r="AC48" i="28"/>
  <c r="Y681" i="28"/>
  <c r="AC605" i="28"/>
  <c r="Y308" i="28"/>
  <c r="Y351" i="28"/>
  <c r="Z351" i="28" s="1"/>
  <c r="AB351" i="28"/>
  <c r="AA351" i="28"/>
  <c r="L572" i="28"/>
  <c r="Q537" i="28"/>
  <c r="R537" i="28" s="1"/>
  <c r="J537" i="28"/>
  <c r="K537" i="28" s="1"/>
  <c r="J129" i="28"/>
  <c r="K129" i="28" s="1"/>
  <c r="Q129" i="28"/>
  <c r="S129" i="28" s="1"/>
  <c r="R44" i="28"/>
  <c r="L44" i="28" s="1"/>
  <c r="U44" i="28" s="1"/>
  <c r="AC88" i="28"/>
  <c r="AC387" i="28"/>
  <c r="Y285" i="28"/>
  <c r="Z285" i="28" s="1"/>
  <c r="AB285" i="28"/>
  <c r="AA285" i="28"/>
  <c r="Y288" i="28"/>
  <c r="Z288" i="28" s="1"/>
  <c r="AB288" i="28"/>
  <c r="AA288" i="28"/>
  <c r="AC683" i="28"/>
  <c r="S668" i="28"/>
  <c r="R668" i="28"/>
  <c r="M483" i="28"/>
  <c r="M474" i="28" s="1"/>
  <c r="Q484" i="28"/>
  <c r="R484" i="28" s="1"/>
  <c r="J484" i="28"/>
  <c r="K484" i="28" s="1"/>
  <c r="L361" i="28"/>
  <c r="Y322" i="28"/>
  <c r="Z322" i="28" s="1"/>
  <c r="AB322" i="28"/>
  <c r="AA322" i="28"/>
  <c r="Y74" i="28"/>
  <c r="AB74" i="28"/>
  <c r="AA74" i="28"/>
  <c r="M600" i="28"/>
  <c r="M591" i="28" s="1"/>
  <c r="L440" i="28"/>
  <c r="U440" i="28" s="1"/>
  <c r="Q506" i="28"/>
  <c r="R506" i="28" s="1"/>
  <c r="J506" i="28"/>
  <c r="K506" i="28" s="1"/>
  <c r="K558" i="28"/>
  <c r="R208" i="28"/>
  <c r="AC113" i="28"/>
  <c r="J110" i="28"/>
  <c r="AA42" i="28"/>
  <c r="Y42" i="28"/>
  <c r="Z42" i="28" s="1"/>
  <c r="AB42" i="28"/>
  <c r="Q194" i="28"/>
  <c r="R194" i="28" s="1"/>
  <c r="J194" i="28"/>
  <c r="K194" i="28" s="1"/>
  <c r="Y334" i="28"/>
  <c r="R92" i="28"/>
  <c r="L92" i="28" s="1"/>
  <c r="U92" i="28" s="1"/>
  <c r="S14" i="28"/>
  <c r="R14" i="28"/>
  <c r="AC320" i="28"/>
  <c r="AC333" i="28"/>
  <c r="J223" i="28"/>
  <c r="K223" i="28" s="1"/>
  <c r="Q223" i="28"/>
  <c r="R223" i="28" s="1"/>
  <c r="N19" i="17"/>
  <c r="N32" i="17"/>
  <c r="N45" i="17"/>
  <c r="Q8" i="17"/>
  <c r="S8" i="17" s="1"/>
  <c r="I6" i="17"/>
  <c r="I5" i="17" s="1"/>
  <c r="AC218" i="28" l="1"/>
  <c r="AC234" i="28"/>
  <c r="L715" i="28"/>
  <c r="L686" i="28"/>
  <c r="U686" i="28" s="1"/>
  <c r="AA664" i="28"/>
  <c r="W664" i="28"/>
  <c r="AB664" i="28"/>
  <c r="AC282" i="28"/>
  <c r="Y466" i="28"/>
  <c r="Z466" i="28" s="1"/>
  <c r="L236" i="28"/>
  <c r="U236" i="28" s="1"/>
  <c r="AB299" i="28"/>
  <c r="AC270" i="28"/>
  <c r="W466" i="28"/>
  <c r="W299" i="28"/>
  <c r="AC256" i="28"/>
  <c r="L200" i="28"/>
  <c r="U200" i="28" s="1"/>
  <c r="W200" i="28" s="1"/>
  <c r="AA447" i="28"/>
  <c r="L609" i="28"/>
  <c r="U609" i="28" s="1"/>
  <c r="L259" i="28"/>
  <c r="U259" i="28" s="1"/>
  <c r="W259" i="28" s="1"/>
  <c r="L353" i="28"/>
  <c r="U353" i="28" s="1"/>
  <c r="W353" i="28" s="1"/>
  <c r="L597" i="28"/>
  <c r="AA466" i="28"/>
  <c r="Y149" i="28"/>
  <c r="AB596" i="28"/>
  <c r="Z149" i="28"/>
  <c r="AA278" i="28"/>
  <c r="Y299" i="28"/>
  <c r="Z299" i="28" s="1"/>
  <c r="AA596" i="28"/>
  <c r="W278" i="28"/>
  <c r="Y78" i="28"/>
  <c r="Z78" i="28" s="1"/>
  <c r="L14" i="28"/>
  <c r="U14" i="28" s="1"/>
  <c r="L559" i="28"/>
  <c r="U559" i="28" s="1"/>
  <c r="AC594" i="28"/>
  <c r="W665" i="28"/>
  <c r="Y547" i="28"/>
  <c r="Z547" i="28" s="1"/>
  <c r="AB547" i="28"/>
  <c r="Y447" i="28"/>
  <c r="Z447" i="28" s="1"/>
  <c r="L232" i="28"/>
  <c r="U232" i="28" s="1"/>
  <c r="AC140" i="28"/>
  <c r="L484" i="28"/>
  <c r="U484" i="28" s="1"/>
  <c r="W484" i="28" s="1"/>
  <c r="AC191" i="28"/>
  <c r="L416" i="28"/>
  <c r="U416" i="28" s="1"/>
  <c r="W416" i="28" s="1"/>
  <c r="U79" i="28"/>
  <c r="U715" i="28"/>
  <c r="W715" i="28" s="1"/>
  <c r="W616" i="28"/>
  <c r="U38" i="28"/>
  <c r="AB38" i="28" s="1"/>
  <c r="W44" i="28"/>
  <c r="U105" i="28"/>
  <c r="AB105" i="28" s="1"/>
  <c r="U26" i="28"/>
  <c r="AB26" i="28" s="1"/>
  <c r="U548" i="28"/>
  <c r="U539" i="28" s="1"/>
  <c r="L539" i="28"/>
  <c r="U597" i="28"/>
  <c r="AA597" i="28" s="1"/>
  <c r="U300" i="28"/>
  <c r="U128" i="28"/>
  <c r="W236" i="28"/>
  <c r="W362" i="28"/>
  <c r="W244" i="28"/>
  <c r="W205" i="28"/>
  <c r="W609" i="28"/>
  <c r="W378" i="28"/>
  <c r="W367" i="28"/>
  <c r="W531" i="28"/>
  <c r="AA531" i="28"/>
  <c r="AB531" i="28"/>
  <c r="W51" i="28"/>
  <c r="W45" i="28" s="1"/>
  <c r="X45" i="28"/>
  <c r="U45" i="28"/>
  <c r="W272" i="28"/>
  <c r="W104" i="28"/>
  <c r="W24" i="28"/>
  <c r="W296" i="28"/>
  <c r="W91" i="28"/>
  <c r="W440" i="28"/>
  <c r="U572" i="28"/>
  <c r="Y572" i="28" s="1"/>
  <c r="Z572" i="28" s="1"/>
  <c r="W714" i="28"/>
  <c r="AB244" i="28"/>
  <c r="AB104" i="28"/>
  <c r="W559" i="28"/>
  <c r="Y665" i="28"/>
  <c r="Z665" i="28" s="1"/>
  <c r="W457" i="28"/>
  <c r="S660" i="28"/>
  <c r="S659" i="28" s="1"/>
  <c r="W265" i="28"/>
  <c r="Y531" i="28"/>
  <c r="Z531" i="28" s="1"/>
  <c r="L506" i="28"/>
  <c r="U506" i="28" s="1"/>
  <c r="U361" i="28"/>
  <c r="Y361" i="28" s="1"/>
  <c r="Z361" i="28" s="1"/>
  <c r="W408" i="28"/>
  <c r="L519" i="28"/>
  <c r="U519" i="28" s="1"/>
  <c r="X714" i="28"/>
  <c r="AA714" i="28"/>
  <c r="W313" i="28"/>
  <c r="AA265" i="28"/>
  <c r="X665" i="28"/>
  <c r="W147" i="28"/>
  <c r="AC465" i="28"/>
  <c r="W491" i="28"/>
  <c r="W352" i="28"/>
  <c r="W402" i="28"/>
  <c r="W182" i="28"/>
  <c r="W438" i="28"/>
  <c r="AA438" i="28"/>
  <c r="AB438" i="28"/>
  <c r="W555" i="28"/>
  <c r="AA555" i="28"/>
  <c r="AB555" i="28"/>
  <c r="W309" i="28"/>
  <c r="AB309" i="28"/>
  <c r="AA309" i="28"/>
  <c r="W231" i="28"/>
  <c r="L184" i="28"/>
  <c r="W166" i="28"/>
  <c r="W547" i="28"/>
  <c r="W289" i="28"/>
  <c r="W458" i="28"/>
  <c r="W573" i="28"/>
  <c r="W464" i="28"/>
  <c r="AA464" i="28"/>
  <c r="AB464" i="28"/>
  <c r="W470" i="28"/>
  <c r="W492" i="28"/>
  <c r="L430" i="28"/>
  <c r="U430" i="28" s="1"/>
  <c r="Y464" i="28"/>
  <c r="Z464" i="28" s="1"/>
  <c r="W222" i="28"/>
  <c r="W92" i="28"/>
  <c r="K32" i="28"/>
  <c r="W243" i="28"/>
  <c r="AB243" i="28"/>
  <c r="AA243" i="28"/>
  <c r="W168" i="28"/>
  <c r="W183" i="28"/>
  <c r="W62" i="28"/>
  <c r="W63" i="28"/>
  <c r="W127" i="28"/>
  <c r="J32" i="28"/>
  <c r="AB714" i="28"/>
  <c r="Y104" i="28"/>
  <c r="Z104" i="28" s="1"/>
  <c r="AB265" i="28"/>
  <c r="AA665" i="28"/>
  <c r="S185" i="28"/>
  <c r="R185" i="28"/>
  <c r="W206" i="28"/>
  <c r="W199" i="28"/>
  <c r="W145" i="28"/>
  <c r="W588" i="28"/>
  <c r="L117" i="28"/>
  <c r="W447" i="28"/>
  <c r="AC447" i="28" s="1"/>
  <c r="W556" i="28"/>
  <c r="AB556" i="28"/>
  <c r="AA556" i="28"/>
  <c r="W321" i="28"/>
  <c r="AA321" i="28"/>
  <c r="AB321" i="28"/>
  <c r="W78" i="28"/>
  <c r="W595" i="28"/>
  <c r="W37" i="28"/>
  <c r="AC664" i="28"/>
  <c r="AC549" i="28"/>
  <c r="AC50" i="28"/>
  <c r="AC42" i="28"/>
  <c r="AC264" i="28"/>
  <c r="AC326" i="28"/>
  <c r="AC322" i="28"/>
  <c r="AC545" i="28"/>
  <c r="AC55" i="28"/>
  <c r="AC414" i="28"/>
  <c r="AC312" i="28"/>
  <c r="AC583" i="28"/>
  <c r="AC608" i="28"/>
  <c r="AC366" i="28"/>
  <c r="AC116" i="28"/>
  <c r="AC12" i="28"/>
  <c r="AC11" i="28"/>
  <c r="AA63" i="28"/>
  <c r="AB63" i="28"/>
  <c r="AB715" i="28"/>
  <c r="X715" i="28"/>
  <c r="AA715" i="28"/>
  <c r="AB44" i="28"/>
  <c r="AA44" i="28"/>
  <c r="L194" i="28"/>
  <c r="U194" i="28" s="1"/>
  <c r="L558" i="28"/>
  <c r="U558" i="28" s="1"/>
  <c r="AA558" i="28" s="1"/>
  <c r="W13" i="28"/>
  <c r="Y13" i="28"/>
  <c r="Z13" i="28" s="1"/>
  <c r="AA173" i="28"/>
  <c r="AB173" i="28"/>
  <c r="Y173" i="28"/>
  <c r="Z173" i="28" s="1"/>
  <c r="Y455" i="28"/>
  <c r="Z455" i="28" s="1"/>
  <c r="AB455" i="28"/>
  <c r="AA455" i="28"/>
  <c r="AC288" i="28"/>
  <c r="L537" i="28"/>
  <c r="U537" i="28" s="1"/>
  <c r="Y24" i="28"/>
  <c r="Z24" i="28" s="1"/>
  <c r="AB24" i="28"/>
  <c r="AA24" i="28"/>
  <c r="Y231" i="28"/>
  <c r="AB231" i="28"/>
  <c r="AA231" i="28"/>
  <c r="AC479" i="28"/>
  <c r="J494" i="28"/>
  <c r="Q494" i="28"/>
  <c r="R494" i="28" s="1"/>
  <c r="AA609" i="28"/>
  <c r="Y609" i="28"/>
  <c r="Z609" i="28" s="1"/>
  <c r="AB609" i="28"/>
  <c r="Y244" i="28"/>
  <c r="AC192" i="28"/>
  <c r="R660" i="28"/>
  <c r="R659" i="28" s="1"/>
  <c r="Y127" i="28"/>
  <c r="AB127" i="28"/>
  <c r="AA127" i="28"/>
  <c r="Q560" i="28"/>
  <c r="R560" i="28" s="1"/>
  <c r="J560" i="28"/>
  <c r="K328" i="28"/>
  <c r="L338" i="28"/>
  <c r="U338" i="28" s="1"/>
  <c r="Y338" i="28" s="1"/>
  <c r="Z338" i="28" s="1"/>
  <c r="Z139" i="28"/>
  <c r="AC482" i="28"/>
  <c r="AC532" i="28"/>
  <c r="Q274" i="28"/>
  <c r="J274" i="28"/>
  <c r="K274" i="28" s="1"/>
  <c r="AB367" i="28"/>
  <c r="AA367" i="28"/>
  <c r="Y367" i="28"/>
  <c r="Z367" i="28" s="1"/>
  <c r="AC401" i="28"/>
  <c r="J472" i="28"/>
  <c r="Q472" i="28"/>
  <c r="R472" i="28" s="1"/>
  <c r="Z102" i="28"/>
  <c r="AC102" i="28" s="1"/>
  <c r="Z257" i="28"/>
  <c r="AC257" i="28" s="1"/>
  <c r="L220" i="28"/>
  <c r="U220" i="28" s="1"/>
  <c r="Q394" i="28"/>
  <c r="R394" i="28" s="1"/>
  <c r="J394" i="28"/>
  <c r="K394" i="28" s="1"/>
  <c r="AC663" i="28"/>
  <c r="L341" i="28"/>
  <c r="U341" i="28" s="1"/>
  <c r="Y340" i="28"/>
  <c r="Z340" i="28" s="1"/>
  <c r="AB340" i="28"/>
  <c r="AA340" i="28"/>
  <c r="AC557" i="28"/>
  <c r="M574" i="28"/>
  <c r="M565" i="28" s="1"/>
  <c r="Q575" i="28"/>
  <c r="R575" i="28" s="1"/>
  <c r="J575" i="28"/>
  <c r="K575" i="28" s="1"/>
  <c r="AC377" i="28"/>
  <c r="Z204" i="28"/>
  <c r="AB235" i="28"/>
  <c r="AA235" i="28"/>
  <c r="Y235" i="28"/>
  <c r="Z235" i="28" s="1"/>
  <c r="AC388" i="28"/>
  <c r="M80" i="28"/>
  <c r="M71" i="28" s="1"/>
  <c r="Q81" i="28"/>
  <c r="S81" i="28" s="1"/>
  <c r="J81" i="28"/>
  <c r="K81" i="28" s="1"/>
  <c r="AC196" i="28"/>
  <c r="Z425" i="28"/>
  <c r="AC425" i="28" s="1"/>
  <c r="L363" i="28"/>
  <c r="U363" i="28" s="1"/>
  <c r="AB363" i="28" s="1"/>
  <c r="L245" i="28"/>
  <c r="J315" i="28"/>
  <c r="Q315" i="28"/>
  <c r="R315" i="28" s="1"/>
  <c r="M314" i="28"/>
  <c r="M305" i="28" s="1"/>
  <c r="AC469" i="28"/>
  <c r="L585" i="28"/>
  <c r="U585" i="28" s="1"/>
  <c r="P695" i="28"/>
  <c r="Q694" i="28"/>
  <c r="U694" i="28" s="1"/>
  <c r="Q94" i="28"/>
  <c r="S94" i="28" s="1"/>
  <c r="J94" i="28"/>
  <c r="K94" i="28" s="1"/>
  <c r="AC112" i="28"/>
  <c r="AC89" i="28"/>
  <c r="AA207" i="28"/>
  <c r="Y207" i="28"/>
  <c r="Z207" i="28" s="1"/>
  <c r="AB207" i="28"/>
  <c r="L483" i="28"/>
  <c r="U483" i="28" s="1"/>
  <c r="AB483" i="28" s="1"/>
  <c r="Q291" i="28"/>
  <c r="R291" i="28" s="1"/>
  <c r="R279" i="28" s="1"/>
  <c r="J291" i="28"/>
  <c r="Z516" i="28"/>
  <c r="Y205" i="28"/>
  <c r="Z205" i="28" s="1"/>
  <c r="AB205" i="28"/>
  <c r="AA205" i="28"/>
  <c r="R106" i="28"/>
  <c r="L106" i="28" s="1"/>
  <c r="AA615" i="28"/>
  <c r="Y615" i="28"/>
  <c r="Z615" i="28" s="1"/>
  <c r="AB615" i="28"/>
  <c r="AC174" i="28"/>
  <c r="Q717" i="28"/>
  <c r="J717" i="28"/>
  <c r="K717" i="28" s="1"/>
  <c r="Y25" i="28"/>
  <c r="Z25" i="28" s="1"/>
  <c r="AB25" i="28"/>
  <c r="AA25" i="28"/>
  <c r="R246" i="28"/>
  <c r="L246" i="28" s="1"/>
  <c r="U246" i="28" s="1"/>
  <c r="L258" i="28"/>
  <c r="U258" i="28" s="1"/>
  <c r="AA258" i="28" s="1"/>
  <c r="Y596" i="28"/>
  <c r="Z596" i="28" s="1"/>
  <c r="AB62" i="28"/>
  <c r="AA62" i="28"/>
  <c r="Y62" i="28"/>
  <c r="R129" i="28"/>
  <c r="L129" i="28" s="1"/>
  <c r="Z308" i="28"/>
  <c r="AC308" i="28" s="1"/>
  <c r="Z681" i="28"/>
  <c r="AC681" i="28" s="1"/>
  <c r="Y105" i="28"/>
  <c r="Z105" i="28" s="1"/>
  <c r="AB550" i="28"/>
  <c r="AA550" i="28"/>
  <c r="Y550" i="28"/>
  <c r="Z550" i="28" s="1"/>
  <c r="AB670" i="28"/>
  <c r="X670" i="28"/>
  <c r="Y670" i="28"/>
  <c r="Z670" i="28" s="1"/>
  <c r="W670" i="28"/>
  <c r="AA670" i="28"/>
  <c r="AC428" i="28"/>
  <c r="Q611" i="28"/>
  <c r="J611" i="28"/>
  <c r="K611" i="28" s="1"/>
  <c r="Y166" i="28"/>
  <c r="AB166" i="28"/>
  <c r="AA166" i="28"/>
  <c r="Y378" i="28"/>
  <c r="Z378" i="28" s="1"/>
  <c r="AB378" i="28"/>
  <c r="AA378" i="28"/>
  <c r="AA666" i="28"/>
  <c r="W666" i="28"/>
  <c r="X666" i="28"/>
  <c r="AB666" i="28"/>
  <c r="Y666" i="28"/>
  <c r="Z666" i="28" s="1"/>
  <c r="S273" i="28"/>
  <c r="R273" i="28"/>
  <c r="Y352" i="28"/>
  <c r="Z352" i="28" s="1"/>
  <c r="AB352" i="28"/>
  <c r="AA352" i="28"/>
  <c r="Q688" i="28"/>
  <c r="R688" i="28" s="1"/>
  <c r="M687" i="28"/>
  <c r="M678" i="28" s="1"/>
  <c r="M677" i="28" s="1"/>
  <c r="J688" i="28"/>
  <c r="K688" i="28" s="1"/>
  <c r="AA236" i="28"/>
  <c r="Y236" i="28"/>
  <c r="Z236" i="28" s="1"/>
  <c r="AB236" i="28"/>
  <c r="AB389" i="28"/>
  <c r="AA389" i="28"/>
  <c r="Y389" i="28"/>
  <c r="Z389" i="28" s="1"/>
  <c r="AC517" i="28"/>
  <c r="J369" i="28"/>
  <c r="Q369" i="28"/>
  <c r="R369" i="28" s="1"/>
  <c r="R357" i="28" s="1"/>
  <c r="Z491" i="28"/>
  <c r="AC491" i="28" s="1"/>
  <c r="Z477" i="28"/>
  <c r="AC477" i="28" s="1"/>
  <c r="L584" i="28"/>
  <c r="U584" i="28" s="1"/>
  <c r="AB584" i="28" s="1"/>
  <c r="AC75" i="28"/>
  <c r="K393" i="28"/>
  <c r="Q210" i="28"/>
  <c r="J210" i="28"/>
  <c r="K210" i="28" s="1"/>
  <c r="K574" i="28"/>
  <c r="K441" i="28"/>
  <c r="Z373" i="28"/>
  <c r="Q417" i="28"/>
  <c r="R417" i="28" s="1"/>
  <c r="J417" i="28"/>
  <c r="AA616" i="28"/>
  <c r="Y616" i="28"/>
  <c r="Z616" i="28" s="1"/>
  <c r="AB616" i="28"/>
  <c r="AB669" i="28"/>
  <c r="X669" i="28"/>
  <c r="Y669" i="28"/>
  <c r="Z669" i="28" s="1"/>
  <c r="W669" i="28"/>
  <c r="AA669" i="28"/>
  <c r="L284" i="28"/>
  <c r="U284" i="28" s="1"/>
  <c r="Y405" i="28"/>
  <c r="Z405" i="28" s="1"/>
  <c r="AB405" i="28"/>
  <c r="AA405" i="28"/>
  <c r="AB57" i="28"/>
  <c r="AA57" i="28"/>
  <c r="Y57" i="28"/>
  <c r="Z57" i="28" s="1"/>
  <c r="R169" i="28"/>
  <c r="L169" i="28" s="1"/>
  <c r="U169" i="28" s="1"/>
  <c r="L314" i="28"/>
  <c r="U314" i="28" s="1"/>
  <c r="Z23" i="28"/>
  <c r="AA588" i="28"/>
  <c r="AB588" i="28"/>
  <c r="Y588" i="28"/>
  <c r="Z588" i="28" s="1"/>
  <c r="F31" i="28"/>
  <c r="AC219" i="28"/>
  <c r="Z544" i="28"/>
  <c r="AC544" i="28" s="1"/>
  <c r="Q65" i="28"/>
  <c r="S65" i="28" s="1"/>
  <c r="J65" i="28"/>
  <c r="K65" i="28" s="1"/>
  <c r="AC339" i="28"/>
  <c r="J302" i="28"/>
  <c r="K302" i="28" s="1"/>
  <c r="Q302" i="28"/>
  <c r="M301" i="28"/>
  <c r="M292" i="28" s="1"/>
  <c r="L290" i="28"/>
  <c r="U290" i="28" s="1"/>
  <c r="AC286" i="28"/>
  <c r="AC43" i="28"/>
  <c r="L536" i="28"/>
  <c r="U536" i="28" s="1"/>
  <c r="Q107" i="28"/>
  <c r="S107" i="28" s="1"/>
  <c r="S97" i="28" s="1"/>
  <c r="J107" i="28"/>
  <c r="K107" i="28" s="1"/>
  <c r="Q431" i="28"/>
  <c r="R431" i="28" s="1"/>
  <c r="J431" i="28"/>
  <c r="Y38" i="28"/>
  <c r="Z38" i="28" s="1"/>
  <c r="AC180" i="28"/>
  <c r="Q599" i="28"/>
  <c r="J599" i="28"/>
  <c r="K599" i="28" s="1"/>
  <c r="Z178" i="28"/>
  <c r="L223" i="28"/>
  <c r="U223" i="28" s="1"/>
  <c r="Y52" i="28"/>
  <c r="Z52" i="28" s="1"/>
  <c r="AB52" i="28"/>
  <c r="AA52" i="28"/>
  <c r="Z334" i="28"/>
  <c r="AC334" i="28" s="1"/>
  <c r="Y222" i="28"/>
  <c r="Z222" i="28" s="1"/>
  <c r="AB222" i="28"/>
  <c r="AA222" i="28"/>
  <c r="Z74" i="28"/>
  <c r="AC74" i="28" s="1"/>
  <c r="Q485" i="28"/>
  <c r="R485" i="28" s="1"/>
  <c r="J485" i="28"/>
  <c r="K485" i="28" s="1"/>
  <c r="AC285" i="28"/>
  <c r="O660" i="28"/>
  <c r="O659" i="28" s="1"/>
  <c r="L493" i="28"/>
  <c r="U493" i="28" s="1"/>
  <c r="Y402" i="28"/>
  <c r="AB402" i="28"/>
  <c r="AA402" i="28"/>
  <c r="AC466" i="28"/>
  <c r="Y197" i="28"/>
  <c r="Z197" i="28" s="1"/>
  <c r="AB197" i="28"/>
  <c r="AA197" i="28"/>
  <c r="S610" i="28"/>
  <c r="R610" i="28"/>
  <c r="J260" i="28"/>
  <c r="K260" i="28" s="1"/>
  <c r="Q260" i="28"/>
  <c r="R260" i="28" s="1"/>
  <c r="L208" i="28"/>
  <c r="U208" i="28" s="1"/>
  <c r="AC167" i="28"/>
  <c r="Y327" i="28"/>
  <c r="Z327" i="28" s="1"/>
  <c r="AB327" i="28"/>
  <c r="AA327" i="28"/>
  <c r="M379" i="28"/>
  <c r="M370" i="28" s="1"/>
  <c r="Q380" i="28"/>
  <c r="R380" i="28" s="1"/>
  <c r="J380" i="28"/>
  <c r="K380" i="28" s="1"/>
  <c r="R539" i="28"/>
  <c r="L668" i="28"/>
  <c r="M353" i="28"/>
  <c r="M344" i="28" s="1"/>
  <c r="Q354" i="28"/>
  <c r="R354" i="28" s="1"/>
  <c r="J354" i="28"/>
  <c r="K354" i="28" s="1"/>
  <c r="AB685" i="28"/>
  <c r="X685" i="28"/>
  <c r="AA685" i="28"/>
  <c r="W685" i="28"/>
  <c r="J238" i="28"/>
  <c r="K238" i="28" s="1"/>
  <c r="Q238" i="28"/>
  <c r="R39" i="28"/>
  <c r="L39" i="28" s="1"/>
  <c r="U39" i="28" s="1"/>
  <c r="AB168" i="28"/>
  <c r="AA168" i="28"/>
  <c r="Y168" i="28"/>
  <c r="Z168" i="28" s="1"/>
  <c r="AC56" i="28"/>
  <c r="Q590" i="28"/>
  <c r="R590" i="28" s="1"/>
  <c r="J590" i="28"/>
  <c r="K590" i="28" s="1"/>
  <c r="S15" i="28"/>
  <c r="R15" i="28"/>
  <c r="Z9" i="28"/>
  <c r="AC9" i="28" s="1"/>
  <c r="Y63" i="28"/>
  <c r="Z63" i="28" s="1"/>
  <c r="K209" i="28"/>
  <c r="Q342" i="28"/>
  <c r="R342" i="28" s="1"/>
  <c r="J342" i="28"/>
  <c r="K342" i="28" s="1"/>
  <c r="L342" i="28" s="1"/>
  <c r="U342" i="28" s="1"/>
  <c r="L505" i="28"/>
  <c r="AC336" i="28"/>
  <c r="Y440" i="28"/>
  <c r="Z440" i="28" s="1"/>
  <c r="AB440" i="28"/>
  <c r="AA440" i="28"/>
  <c r="AA271" i="28"/>
  <c r="Y271" i="28"/>
  <c r="Z271" i="28" s="1"/>
  <c r="AB271" i="28"/>
  <c r="Z607" i="28"/>
  <c r="AC607" i="28" s="1"/>
  <c r="AC684" i="28"/>
  <c r="L518" i="28"/>
  <c r="R80" i="28"/>
  <c r="L80" i="28" s="1"/>
  <c r="U80" i="28" s="1"/>
  <c r="AC142" i="28"/>
  <c r="Q170" i="28"/>
  <c r="S170" i="28" s="1"/>
  <c r="S162" i="28" s="1"/>
  <c r="J170" i="28"/>
  <c r="K170" i="28" s="1"/>
  <c r="AB296" i="28"/>
  <c r="AA296" i="28"/>
  <c r="Y296" i="28"/>
  <c r="Q459" i="28"/>
  <c r="R459" i="28" s="1"/>
  <c r="J459" i="28"/>
  <c r="R93" i="28"/>
  <c r="L93" i="28" s="1"/>
  <c r="R27" i="28"/>
  <c r="L27" i="28" s="1"/>
  <c r="Z269" i="28"/>
  <c r="AC269" i="28" s="1"/>
  <c r="AC158" i="28"/>
  <c r="AC404" i="28"/>
  <c r="S716" i="28"/>
  <c r="R716" i="28"/>
  <c r="L716" i="28" s="1"/>
  <c r="U716" i="28" s="1"/>
  <c r="J247" i="28"/>
  <c r="Q247" i="28"/>
  <c r="AC503" i="28"/>
  <c r="J224" i="28"/>
  <c r="K224" i="28" s="1"/>
  <c r="Q224" i="28"/>
  <c r="R224" i="28" s="1"/>
  <c r="Q195" i="28"/>
  <c r="R195" i="28" s="1"/>
  <c r="J195" i="28"/>
  <c r="K195" i="28" s="1"/>
  <c r="Q507" i="28"/>
  <c r="R507" i="28" s="1"/>
  <c r="J507" i="28"/>
  <c r="K507" i="28" s="1"/>
  <c r="AA37" i="28"/>
  <c r="Y37" i="28"/>
  <c r="AB37" i="28"/>
  <c r="AB533" i="28"/>
  <c r="AA533" i="28"/>
  <c r="Y533" i="28"/>
  <c r="Z533" i="28" s="1"/>
  <c r="Q130" i="28"/>
  <c r="S130" i="28" s="1"/>
  <c r="J130" i="28"/>
  <c r="K130" i="28" s="1"/>
  <c r="Q538" i="28"/>
  <c r="R538" i="28" s="1"/>
  <c r="R526" i="28" s="1"/>
  <c r="J538" i="28"/>
  <c r="K538" i="28" s="1"/>
  <c r="AC351" i="28"/>
  <c r="J520" i="28"/>
  <c r="K520" i="28" s="1"/>
  <c r="Q520" i="28"/>
  <c r="R520" i="28" s="1"/>
  <c r="Y492" i="28"/>
  <c r="Z492" i="28" s="1"/>
  <c r="AB492" i="28"/>
  <c r="AA492" i="28"/>
  <c r="K403" i="28"/>
  <c r="J396" i="28"/>
  <c r="AC151" i="28"/>
  <c r="AC41" i="28"/>
  <c r="AC221" i="28"/>
  <c r="AB558" i="28"/>
  <c r="AC504" i="28"/>
  <c r="Q329" i="28"/>
  <c r="R329" i="28" s="1"/>
  <c r="J329" i="28"/>
  <c r="K329" i="28" s="1"/>
  <c r="Y337" i="28"/>
  <c r="Z337" i="28" s="1"/>
  <c r="AB337" i="28"/>
  <c r="AA337" i="28"/>
  <c r="K379" i="28"/>
  <c r="Y272" i="28"/>
  <c r="Z272" i="28" s="1"/>
  <c r="AB272" i="28"/>
  <c r="AA272" i="28"/>
  <c r="L415" i="28"/>
  <c r="U415" i="28" s="1"/>
  <c r="AC446" i="28"/>
  <c r="J687" i="28"/>
  <c r="K687" i="28" s="1"/>
  <c r="Q687" i="28"/>
  <c r="R687" i="28" s="1"/>
  <c r="R237" i="28"/>
  <c r="S237" i="28"/>
  <c r="L429" i="28"/>
  <c r="L368" i="28"/>
  <c r="U368" i="28" s="1"/>
  <c r="Y181" i="28"/>
  <c r="Z181" i="28" s="1"/>
  <c r="AB181" i="28"/>
  <c r="AA181" i="28"/>
  <c r="L471" i="28"/>
  <c r="U471" i="28" s="1"/>
  <c r="L589" i="28"/>
  <c r="U589" i="28" s="1"/>
  <c r="J186" i="28"/>
  <c r="K186" i="28" s="1"/>
  <c r="Q186" i="28"/>
  <c r="Q16" i="28"/>
  <c r="J16" i="28"/>
  <c r="K16" i="28" s="1"/>
  <c r="AB206" i="28"/>
  <c r="AA206" i="28"/>
  <c r="Y206" i="28"/>
  <c r="Z206" i="28" s="1"/>
  <c r="Z595" i="28"/>
  <c r="Y90" i="28"/>
  <c r="Z90" i="28" s="1"/>
  <c r="AA90" i="28"/>
  <c r="AB90" i="28"/>
  <c r="R209" i="28"/>
  <c r="Y573" i="28"/>
  <c r="Z573" i="28" s="1"/>
  <c r="AB573" i="28"/>
  <c r="AA573" i="28"/>
  <c r="Z386" i="28"/>
  <c r="Q442" i="28"/>
  <c r="R442" i="28" s="1"/>
  <c r="J442" i="28"/>
  <c r="K442" i="28" s="1"/>
  <c r="U624" i="28"/>
  <c r="Z454" i="28"/>
  <c r="Y128" i="28"/>
  <c r="Z128" i="28" s="1"/>
  <c r="L143" i="28"/>
  <c r="K136" i="28"/>
  <c r="Z581" i="28"/>
  <c r="AC581" i="28" s="1"/>
  <c r="Z412" i="28"/>
  <c r="AC412" i="28" s="1"/>
  <c r="Y715" i="28"/>
  <c r="AC54" i="28"/>
  <c r="Y362" i="28"/>
  <c r="Z362" i="28" s="1"/>
  <c r="AB362" i="28"/>
  <c r="AA362" i="28"/>
  <c r="Y313" i="28"/>
  <c r="Z313" i="28" s="1"/>
  <c r="AB313" i="28"/>
  <c r="AA313" i="28"/>
  <c r="Q586" i="28"/>
  <c r="R586" i="28" s="1"/>
  <c r="J586" i="28"/>
  <c r="Y51" i="28"/>
  <c r="AB51" i="28"/>
  <c r="AA51" i="28"/>
  <c r="AB693" i="28"/>
  <c r="W693" i="28"/>
  <c r="AA693" i="28"/>
  <c r="Y693" i="28"/>
  <c r="X693" i="28"/>
  <c r="J28" i="28"/>
  <c r="K28" i="28" s="1"/>
  <c r="Q28" i="28"/>
  <c r="S28" i="28" s="1"/>
  <c r="L193" i="28"/>
  <c r="R64" i="28"/>
  <c r="L64" i="28" s="1"/>
  <c r="R301" i="28"/>
  <c r="S301" i="28"/>
  <c r="AC439" i="28"/>
  <c r="Z529" i="28"/>
  <c r="AC529" i="28" s="1"/>
  <c r="AB667" i="28"/>
  <c r="W667" i="28"/>
  <c r="AA667" i="28"/>
  <c r="Y667" i="28"/>
  <c r="Z667" i="28" s="1"/>
  <c r="X667" i="28"/>
  <c r="Y289" i="28"/>
  <c r="Z289" i="28" s="1"/>
  <c r="AB289" i="28"/>
  <c r="AA289" i="28"/>
  <c r="Z283" i="28"/>
  <c r="AC283" i="28" s="1"/>
  <c r="R598" i="28"/>
  <c r="S598" i="28"/>
  <c r="R396" i="28"/>
  <c r="AC278" i="28" l="1"/>
  <c r="AC299" i="28"/>
  <c r="L185" i="28"/>
  <c r="AA105" i="28"/>
  <c r="AA483" i="28"/>
  <c r="AB597" i="28"/>
  <c r="AC78" i="28"/>
  <c r="L273" i="28"/>
  <c r="L237" i="28"/>
  <c r="L195" i="28"/>
  <c r="U195" i="28" s="1"/>
  <c r="AC547" i="28"/>
  <c r="K188" i="28"/>
  <c r="AA38" i="28"/>
  <c r="L380" i="28"/>
  <c r="U380" i="28" s="1"/>
  <c r="W380" i="28" s="1"/>
  <c r="AC206" i="28"/>
  <c r="AC362" i="28"/>
  <c r="L598" i="28"/>
  <c r="U598" i="28" s="1"/>
  <c r="AC595" i="28"/>
  <c r="L301" i="28"/>
  <c r="U301" i="28" s="1"/>
  <c r="AA301" i="28" s="1"/>
  <c r="AA338" i="28"/>
  <c r="Y558" i="28"/>
  <c r="Z558" i="28" s="1"/>
  <c r="L538" i="28"/>
  <c r="U538" i="28" s="1"/>
  <c r="U526" i="28" s="1"/>
  <c r="L507" i="28"/>
  <c r="U507" i="28" s="1"/>
  <c r="W507" i="28" s="1"/>
  <c r="L15" i="28"/>
  <c r="U15" i="28" s="1"/>
  <c r="L354" i="28"/>
  <c r="U354" i="28" s="1"/>
  <c r="L687" i="28"/>
  <c r="U687" i="28" s="1"/>
  <c r="AA687" i="28" s="1"/>
  <c r="AC714" i="28"/>
  <c r="AC665" i="28"/>
  <c r="L610" i="28"/>
  <c r="U610" i="28" s="1"/>
  <c r="L442" i="28"/>
  <c r="U442" i="28" s="1"/>
  <c r="Y442" i="28" s="1"/>
  <c r="Z442" i="28" s="1"/>
  <c r="AB258" i="28"/>
  <c r="AB338" i="28"/>
  <c r="Y258" i="28"/>
  <c r="Z258" i="28" s="1"/>
  <c r="AC265" i="28"/>
  <c r="AC243" i="28"/>
  <c r="AC309" i="28"/>
  <c r="AC438" i="28"/>
  <c r="AC104" i="28"/>
  <c r="U27" i="28"/>
  <c r="U237" i="28"/>
  <c r="U64" i="28"/>
  <c r="U273" i="28"/>
  <c r="U129" i="28"/>
  <c r="U106" i="28"/>
  <c r="U93" i="28"/>
  <c r="W589" i="28"/>
  <c r="W354" i="28"/>
  <c r="W314" i="28"/>
  <c r="W363" i="28"/>
  <c r="W194" i="28"/>
  <c r="W39" i="28"/>
  <c r="U184" i="28"/>
  <c r="W128" i="28"/>
  <c r="W26" i="28"/>
  <c r="J253" i="28"/>
  <c r="L188" i="28"/>
  <c r="U193" i="28"/>
  <c r="W471" i="28"/>
  <c r="AA584" i="28"/>
  <c r="U505" i="28"/>
  <c r="Y505" i="28" s="1"/>
  <c r="Z505" i="28" s="1"/>
  <c r="AC327" i="28"/>
  <c r="W284" i="28"/>
  <c r="AB284" i="28"/>
  <c r="AA284" i="28"/>
  <c r="W585" i="28"/>
  <c r="AC464" i="28"/>
  <c r="W232" i="28"/>
  <c r="W246" i="28"/>
  <c r="AB128" i="28"/>
  <c r="W415" i="28"/>
  <c r="W195" i="28"/>
  <c r="K162" i="28"/>
  <c r="W342" i="28"/>
  <c r="W208" i="28"/>
  <c r="W493" i="28"/>
  <c r="AC596" i="28"/>
  <c r="L688" i="28"/>
  <c r="U688" i="28" s="1"/>
  <c r="Y26" i="28"/>
  <c r="Z26" i="28" s="1"/>
  <c r="AA415" i="28"/>
  <c r="W341" i="28"/>
  <c r="W338" i="28"/>
  <c r="AC338" i="28" s="1"/>
  <c r="AC455" i="28"/>
  <c r="U32" i="28"/>
  <c r="AC321" i="28"/>
  <c r="AC555" i="28"/>
  <c r="W519" i="28"/>
  <c r="AC531" i="28"/>
  <c r="W300" i="28"/>
  <c r="W548" i="28"/>
  <c r="W539" i="28" s="1"/>
  <c r="W105" i="28"/>
  <c r="L32" i="28"/>
  <c r="U429" i="28"/>
  <c r="W290" i="28"/>
  <c r="W584" i="28"/>
  <c r="W220" i="28"/>
  <c r="AA220" i="28"/>
  <c r="AB220" i="28"/>
  <c r="U117" i="28"/>
  <c r="L110" i="28"/>
  <c r="W169" i="28"/>
  <c r="W430" i="28"/>
  <c r="W80" i="28"/>
  <c r="W597" i="28"/>
  <c r="AA128" i="28"/>
  <c r="S186" i="28"/>
  <c r="R186" i="28"/>
  <c r="Y363" i="28"/>
  <c r="Z363" i="28" s="1"/>
  <c r="W223" i="28"/>
  <c r="W536" i="28"/>
  <c r="W258" i="28"/>
  <c r="W483" i="28"/>
  <c r="W361" i="28"/>
  <c r="AA361" i="28"/>
  <c r="AB361" i="28"/>
  <c r="L136" i="28"/>
  <c r="U143" i="28"/>
  <c r="Y143" i="28" s="1"/>
  <c r="W368" i="28"/>
  <c r="L329" i="28"/>
  <c r="U329" i="28" s="1"/>
  <c r="Y597" i="28"/>
  <c r="Z597" i="28" s="1"/>
  <c r="Y584" i="28"/>
  <c r="Z584" i="28" s="1"/>
  <c r="AA363" i="28"/>
  <c r="U518" i="28"/>
  <c r="Y518" i="28" s="1"/>
  <c r="Z518" i="28" s="1"/>
  <c r="L660" i="28"/>
  <c r="L659" i="28" s="1"/>
  <c r="U668" i="28"/>
  <c r="K97" i="28"/>
  <c r="AA26" i="28"/>
  <c r="Y483" i="28"/>
  <c r="Z483" i="28" s="1"/>
  <c r="U245" i="28"/>
  <c r="Y245" i="28" s="1"/>
  <c r="Z245" i="28" s="1"/>
  <c r="AB415" i="28"/>
  <c r="W537" i="28"/>
  <c r="W558" i="28"/>
  <c r="X32" i="28"/>
  <c r="AC556" i="28"/>
  <c r="W506" i="28"/>
  <c r="W572" i="28"/>
  <c r="AA572" i="28"/>
  <c r="AB572" i="28"/>
  <c r="W38" i="28"/>
  <c r="AC38" i="28" s="1"/>
  <c r="W79" i="28"/>
  <c r="AC670" i="28"/>
  <c r="AC149" i="28"/>
  <c r="AC24" i="28"/>
  <c r="AC181" i="28"/>
  <c r="AC378" i="28"/>
  <c r="AC105" i="28"/>
  <c r="AC340" i="28"/>
  <c r="AC57" i="28"/>
  <c r="AC405" i="28"/>
  <c r="AA64" i="28"/>
  <c r="Z715" i="28"/>
  <c r="AC715" i="28" s="1"/>
  <c r="AC667" i="28"/>
  <c r="R28" i="28"/>
  <c r="L28" i="28" s="1"/>
  <c r="U28" i="28" s="1"/>
  <c r="Z51" i="28"/>
  <c r="Z45" i="28" s="1"/>
  <c r="Y45" i="28"/>
  <c r="AC313" i="28"/>
  <c r="AB79" i="28"/>
  <c r="AA79" i="28"/>
  <c r="Y79" i="28"/>
  <c r="Q17" i="28"/>
  <c r="J17" i="28"/>
  <c r="K17" i="28" s="1"/>
  <c r="AA470" i="28"/>
  <c r="Y470" i="28"/>
  <c r="AB470" i="28"/>
  <c r="L379" i="28"/>
  <c r="U379" i="28" s="1"/>
  <c r="Y379" i="28" s="1"/>
  <c r="Q330" i="28"/>
  <c r="R330" i="28" s="1"/>
  <c r="R318" i="28" s="1"/>
  <c r="J330" i="28"/>
  <c r="K330" i="28" s="1"/>
  <c r="K318" i="28" s="1"/>
  <c r="L403" i="28"/>
  <c r="U403" i="28" s="1"/>
  <c r="K396" i="28"/>
  <c r="J521" i="28"/>
  <c r="K521" i="28" s="1"/>
  <c r="Q521" i="28"/>
  <c r="R521" i="28" s="1"/>
  <c r="Y194" i="28"/>
  <c r="Z194" i="28" s="1"/>
  <c r="AB194" i="28"/>
  <c r="AA194" i="28"/>
  <c r="Q225" i="28"/>
  <c r="R225" i="28" s="1"/>
  <c r="J225" i="28"/>
  <c r="R247" i="28"/>
  <c r="Q460" i="28"/>
  <c r="R460" i="28" s="1"/>
  <c r="R448" i="28" s="1"/>
  <c r="J460" i="28"/>
  <c r="K460" i="28" s="1"/>
  <c r="R578" i="28"/>
  <c r="Y353" i="28"/>
  <c r="AB353" i="28"/>
  <c r="AA353" i="28"/>
  <c r="Q381" i="28"/>
  <c r="R381" i="28" s="1"/>
  <c r="J381" i="28"/>
  <c r="L485" i="28"/>
  <c r="U485" i="28" s="1"/>
  <c r="AC52" i="28"/>
  <c r="R599" i="28"/>
  <c r="S599" i="28"/>
  <c r="J432" i="28"/>
  <c r="K432" i="28" s="1"/>
  <c r="Q432" i="28"/>
  <c r="R432" i="28" s="1"/>
  <c r="M431" i="28"/>
  <c r="M422" i="28" s="1"/>
  <c r="K526" i="28"/>
  <c r="Y284" i="28"/>
  <c r="AC669" i="28"/>
  <c r="AB118" i="28"/>
  <c r="AA118" i="28"/>
  <c r="Y118" i="28"/>
  <c r="Z118" i="28" s="1"/>
  <c r="AC616" i="28"/>
  <c r="Y416" i="28"/>
  <c r="Z416" i="28" s="1"/>
  <c r="AB416" i="28"/>
  <c r="AA416" i="28"/>
  <c r="J435" i="28"/>
  <c r="R210" i="28"/>
  <c r="L210" i="28" s="1"/>
  <c r="U210" i="28" s="1"/>
  <c r="U185" i="28"/>
  <c r="Y368" i="28"/>
  <c r="Z368" i="28" s="1"/>
  <c r="AB368" i="28"/>
  <c r="AA368" i="28"/>
  <c r="AC236" i="28"/>
  <c r="AC352" i="28"/>
  <c r="Q612" i="28"/>
  <c r="J612" i="28"/>
  <c r="K612" i="28" s="1"/>
  <c r="AA456" i="28"/>
  <c r="Y456" i="28"/>
  <c r="AB456" i="28"/>
  <c r="R717" i="28"/>
  <c r="S717" i="28"/>
  <c r="AC615" i="28"/>
  <c r="AC207" i="28"/>
  <c r="R94" i="28"/>
  <c r="L94" i="28" s="1"/>
  <c r="U94" i="28" s="1"/>
  <c r="K315" i="28"/>
  <c r="Q82" i="28"/>
  <c r="S82" i="28" s="1"/>
  <c r="J82" i="28"/>
  <c r="K82" i="28" s="1"/>
  <c r="L575" i="28"/>
  <c r="U575" i="28" s="1"/>
  <c r="L394" i="28"/>
  <c r="U394" i="28" s="1"/>
  <c r="L328" i="28"/>
  <c r="U328" i="28" s="1"/>
  <c r="Y328" i="28" s="1"/>
  <c r="Y559" i="28"/>
  <c r="AB559" i="28"/>
  <c r="AA559" i="28"/>
  <c r="Z127" i="28"/>
  <c r="AC127" i="28" s="1"/>
  <c r="Z244" i="28"/>
  <c r="Z231" i="28"/>
  <c r="Y14" i="28"/>
  <c r="W14" i="28"/>
  <c r="Z693" i="28"/>
  <c r="Y585" i="28"/>
  <c r="AB585" i="28"/>
  <c r="AA585" i="28"/>
  <c r="AB686" i="28"/>
  <c r="X686" i="28"/>
  <c r="AA686" i="28"/>
  <c r="W686" i="28"/>
  <c r="Y686" i="28"/>
  <c r="Z686" i="28" s="1"/>
  <c r="Y198" i="28"/>
  <c r="Z198" i="28" s="1"/>
  <c r="AB198" i="28"/>
  <c r="AA198" i="28"/>
  <c r="AC492" i="28"/>
  <c r="Z37" i="28"/>
  <c r="AC37" i="28" s="1"/>
  <c r="Y223" i="28"/>
  <c r="Z223" i="28" s="1"/>
  <c r="AB223" i="28"/>
  <c r="AA223" i="28"/>
  <c r="K247" i="28"/>
  <c r="K459" i="28"/>
  <c r="J162" i="28"/>
  <c r="L209" i="28"/>
  <c r="W15" i="28"/>
  <c r="Q355" i="28"/>
  <c r="R355" i="28" s="1"/>
  <c r="J355" i="28"/>
  <c r="K355" i="28" s="1"/>
  <c r="AA548" i="28"/>
  <c r="Y548" i="28"/>
  <c r="AB548" i="28"/>
  <c r="R253" i="28"/>
  <c r="Z402" i="28"/>
  <c r="AC402" i="28" s="1"/>
  <c r="Y551" i="28"/>
  <c r="Z551" i="28" s="1"/>
  <c r="AA551" i="28"/>
  <c r="AB551" i="28"/>
  <c r="Y193" i="28"/>
  <c r="Q600" i="28"/>
  <c r="J600" i="28"/>
  <c r="K600" i="28" s="1"/>
  <c r="K431" i="28"/>
  <c r="J97" i="28"/>
  <c r="J303" i="28"/>
  <c r="K303" i="28" s="1"/>
  <c r="Q303" i="28"/>
  <c r="R65" i="28"/>
  <c r="L65" i="28" s="1"/>
  <c r="U65" i="28" s="1"/>
  <c r="AC588" i="28"/>
  <c r="AA45" i="28"/>
  <c r="Q418" i="28"/>
  <c r="R418" i="28" s="1"/>
  <c r="J418" i="28"/>
  <c r="K418" i="28" s="1"/>
  <c r="L441" i="28"/>
  <c r="K435" i="28"/>
  <c r="L574" i="28"/>
  <c r="U574" i="28" s="1"/>
  <c r="AA574" i="28" s="1"/>
  <c r="AC389" i="28"/>
  <c r="R611" i="28"/>
  <c r="S611" i="28"/>
  <c r="Z62" i="28"/>
  <c r="Y106" i="28"/>
  <c r="Z106" i="28" s="1"/>
  <c r="AB106" i="28"/>
  <c r="AA106" i="28"/>
  <c r="J526" i="28"/>
  <c r="Y290" i="28"/>
  <c r="Z290" i="28" s="1"/>
  <c r="AB290" i="28"/>
  <c r="AA290" i="28"/>
  <c r="Q95" i="28"/>
  <c r="S95" i="28" s="1"/>
  <c r="S84" i="28" s="1"/>
  <c r="J95" i="28"/>
  <c r="K95" i="28" s="1"/>
  <c r="K84" i="28" s="1"/>
  <c r="Y314" i="28"/>
  <c r="Z314" i="28" s="1"/>
  <c r="AB314" i="28"/>
  <c r="AA314" i="28"/>
  <c r="R81" i="28"/>
  <c r="L81" i="28" s="1"/>
  <c r="U81" i="28" s="1"/>
  <c r="Y91" i="28"/>
  <c r="Z91" i="28" s="1"/>
  <c r="AB91" i="28"/>
  <c r="AA91" i="28"/>
  <c r="K472" i="28"/>
  <c r="L472" i="28" s="1"/>
  <c r="U472" i="28" s="1"/>
  <c r="Q561" i="28"/>
  <c r="R561" i="28" s="1"/>
  <c r="J561" i="28"/>
  <c r="K561" i="28" s="1"/>
  <c r="K494" i="28"/>
  <c r="Y534" i="28"/>
  <c r="AB534" i="28"/>
  <c r="AA534" i="28"/>
  <c r="AC13" i="28"/>
  <c r="Y44" i="28"/>
  <c r="Z44" i="28" s="1"/>
  <c r="AC386" i="28"/>
  <c r="Q29" i="28"/>
  <c r="S29" i="28" s="1"/>
  <c r="J29" i="28"/>
  <c r="K29" i="28" s="1"/>
  <c r="K586" i="28"/>
  <c r="J578" i="28"/>
  <c r="AC272" i="28"/>
  <c r="AC337" i="28"/>
  <c r="L520" i="28"/>
  <c r="U520" i="28" s="1"/>
  <c r="R130" i="28"/>
  <c r="L130" i="28" s="1"/>
  <c r="U130" i="28" s="1"/>
  <c r="AC533" i="28"/>
  <c r="AB506" i="28"/>
  <c r="AA506" i="28"/>
  <c r="Y506" i="28"/>
  <c r="Z506" i="28" s="1"/>
  <c r="AA195" i="28"/>
  <c r="Y195" i="28"/>
  <c r="Z195" i="28" s="1"/>
  <c r="AB195" i="28"/>
  <c r="AA246" i="28"/>
  <c r="Y246" i="28"/>
  <c r="Z246" i="28" s="1"/>
  <c r="AB246" i="28"/>
  <c r="J188" i="28"/>
  <c r="Z296" i="28"/>
  <c r="R170" i="28"/>
  <c r="L170" i="28" s="1"/>
  <c r="Y406" i="28"/>
  <c r="Z406" i="28" s="1"/>
  <c r="AB406" i="28"/>
  <c r="AA406" i="28"/>
  <c r="AC271" i="28"/>
  <c r="AC440" i="28"/>
  <c r="AC168" i="28"/>
  <c r="R32" i="28"/>
  <c r="AB390" i="28"/>
  <c r="AA390" i="28"/>
  <c r="Y390" i="28"/>
  <c r="J239" i="28"/>
  <c r="K239" i="28" s="1"/>
  <c r="Q239" i="28"/>
  <c r="Y685" i="28"/>
  <c r="L260" i="28"/>
  <c r="AA671" i="28"/>
  <c r="W671" i="28"/>
  <c r="X671" i="28"/>
  <c r="AB671" i="28"/>
  <c r="Y671" i="28"/>
  <c r="Z671" i="28" s="1"/>
  <c r="AA484" i="28"/>
  <c r="Y484" i="28"/>
  <c r="AB484" i="28"/>
  <c r="R107" i="28"/>
  <c r="L107" i="28" s="1"/>
  <c r="R302" i="28"/>
  <c r="S302" i="28"/>
  <c r="AC23" i="28"/>
  <c r="K417" i="28"/>
  <c r="Q211" i="28"/>
  <c r="J211" i="28"/>
  <c r="M210" i="28"/>
  <c r="M201" i="28" s="1"/>
  <c r="Y15" i="28"/>
  <c r="Z15" i="28" s="1"/>
  <c r="AA589" i="28"/>
  <c r="AB589" i="28"/>
  <c r="Y589" i="28"/>
  <c r="Z589" i="28" s="1"/>
  <c r="Q689" i="28"/>
  <c r="R689" i="28" s="1"/>
  <c r="J689" i="28"/>
  <c r="K689" i="28" s="1"/>
  <c r="AC666" i="28"/>
  <c r="Z166" i="28"/>
  <c r="AC166" i="28" s="1"/>
  <c r="AC550" i="28"/>
  <c r="R188" i="28"/>
  <c r="Q718" i="28"/>
  <c r="J718" i="28"/>
  <c r="K718" i="28" s="1"/>
  <c r="M717" i="28"/>
  <c r="M709" i="28" s="1"/>
  <c r="M708" i="28" s="1"/>
  <c r="AA694" i="28"/>
  <c r="W694" i="28"/>
  <c r="Y694" i="28"/>
  <c r="Z694" i="28" s="1"/>
  <c r="X694" i="28"/>
  <c r="AB694" i="28"/>
  <c r="Q316" i="28"/>
  <c r="R316" i="28" s="1"/>
  <c r="J316" i="28"/>
  <c r="K316" i="28" s="1"/>
  <c r="AC204" i="28"/>
  <c r="R435" i="28"/>
  <c r="Y574" i="28"/>
  <c r="Z574" i="28" s="1"/>
  <c r="AB574" i="28"/>
  <c r="Y471" i="28"/>
  <c r="Z471" i="28" s="1"/>
  <c r="AB471" i="28"/>
  <c r="AA471" i="28"/>
  <c r="AC367" i="28"/>
  <c r="AB232" i="28"/>
  <c r="AA232" i="28"/>
  <c r="Y232" i="28"/>
  <c r="Z232" i="28" s="1"/>
  <c r="Q275" i="28"/>
  <c r="J275" i="28"/>
  <c r="K275" i="28" s="1"/>
  <c r="K560" i="28"/>
  <c r="AC609" i="28"/>
  <c r="AB493" i="28"/>
  <c r="AA493" i="28"/>
  <c r="Y493" i="28"/>
  <c r="Z493" i="28" s="1"/>
  <c r="AC173" i="28"/>
  <c r="AC63" i="28"/>
  <c r="AC289" i="28"/>
  <c r="AC454" i="28"/>
  <c r="U625" i="28"/>
  <c r="AC573" i="28"/>
  <c r="AC90" i="28"/>
  <c r="S16" i="28"/>
  <c r="R16" i="28"/>
  <c r="L16" i="28" s="1"/>
  <c r="U16" i="28" s="1"/>
  <c r="Q187" i="28"/>
  <c r="J187" i="28"/>
  <c r="AA328" i="28"/>
  <c r="Y519" i="28"/>
  <c r="Z519" i="28" s="1"/>
  <c r="AB519" i="28"/>
  <c r="AA519" i="28"/>
  <c r="J131" i="28"/>
  <c r="K131" i="28" s="1"/>
  <c r="Q131" i="28"/>
  <c r="S131" i="28" s="1"/>
  <c r="Q508" i="28"/>
  <c r="R508" i="28" s="1"/>
  <c r="J508" i="28"/>
  <c r="K508" i="28" s="1"/>
  <c r="L224" i="28"/>
  <c r="U224" i="28" s="1"/>
  <c r="Q248" i="28"/>
  <c r="J248" i="28"/>
  <c r="K248" i="28" s="1"/>
  <c r="AC296" i="28"/>
  <c r="Q343" i="28"/>
  <c r="R343" i="28" s="1"/>
  <c r="R331" i="28" s="1"/>
  <c r="J343" i="28"/>
  <c r="K343" i="28" s="1"/>
  <c r="L590" i="28"/>
  <c r="U590" i="28" s="1"/>
  <c r="R238" i="28"/>
  <c r="S238" i="28"/>
  <c r="AA379" i="28"/>
  <c r="AA259" i="28"/>
  <c r="AB259" i="28"/>
  <c r="Y259" i="28"/>
  <c r="Z259" i="28" s="1"/>
  <c r="AC197" i="28"/>
  <c r="Y672" i="28"/>
  <c r="Z672" i="28" s="1"/>
  <c r="AA672" i="28"/>
  <c r="W672" i="28"/>
  <c r="AB672" i="28"/>
  <c r="X672" i="28"/>
  <c r="Q486" i="28"/>
  <c r="R486" i="28" s="1"/>
  <c r="R474" i="28" s="1"/>
  <c r="J486" i="28"/>
  <c r="AC222" i="28"/>
  <c r="AC178" i="28"/>
  <c r="Y430" i="28"/>
  <c r="Z430" i="28" s="1"/>
  <c r="AB430" i="28"/>
  <c r="AA430" i="28"/>
  <c r="Q66" i="28"/>
  <c r="S66" i="28" s="1"/>
  <c r="J66" i="28"/>
  <c r="K66" i="28" s="1"/>
  <c r="F19" i="28"/>
  <c r="AB45" i="28"/>
  <c r="AC373" i="28"/>
  <c r="Y341" i="28"/>
  <c r="Z341" i="28" s="1"/>
  <c r="AB341" i="28"/>
  <c r="AA341" i="28"/>
  <c r="L393" i="28"/>
  <c r="U393" i="28" s="1"/>
  <c r="K369" i="28"/>
  <c r="J357" i="28"/>
  <c r="K253" i="28"/>
  <c r="AC25" i="28"/>
  <c r="AC205" i="28"/>
  <c r="AC516" i="28"/>
  <c r="K291" i="28"/>
  <c r="J279" i="28"/>
  <c r="AB300" i="28"/>
  <c r="AA300" i="28"/>
  <c r="Y300" i="28"/>
  <c r="Z300" i="28" s="1"/>
  <c r="P696" i="28"/>
  <c r="Q695" i="28"/>
  <c r="U695" i="28" s="1"/>
  <c r="AC235" i="28"/>
  <c r="Y415" i="28"/>
  <c r="Q576" i="28"/>
  <c r="R576" i="28" s="1"/>
  <c r="J576" i="28"/>
  <c r="Y208" i="28"/>
  <c r="Z208" i="28" s="1"/>
  <c r="AB208" i="28"/>
  <c r="AA208" i="28"/>
  <c r="Q395" i="28"/>
  <c r="R395" i="28" s="1"/>
  <c r="R383" i="28" s="1"/>
  <c r="J395" i="28"/>
  <c r="Y220" i="28"/>
  <c r="J473" i="28"/>
  <c r="K473" i="28" s="1"/>
  <c r="Q473" i="28"/>
  <c r="R473" i="28" s="1"/>
  <c r="R461" i="28" s="1"/>
  <c r="Y182" i="28"/>
  <c r="Z182" i="28" s="1"/>
  <c r="AB182" i="28"/>
  <c r="AA182" i="28"/>
  <c r="Y144" i="28"/>
  <c r="Z144" i="28" s="1"/>
  <c r="AB144" i="28"/>
  <c r="AA144" i="28"/>
  <c r="S274" i="28"/>
  <c r="R274" i="28"/>
  <c r="AC139" i="28"/>
  <c r="Q495" i="28"/>
  <c r="R495" i="28" s="1"/>
  <c r="J495" i="28"/>
  <c r="K495" i="28" s="1"/>
  <c r="X687" i="28" l="1"/>
  <c r="AB687" i="28"/>
  <c r="W687" i="28"/>
  <c r="AB328" i="28"/>
  <c r="AB442" i="28"/>
  <c r="J84" i="28"/>
  <c r="J409" i="28"/>
  <c r="L460" i="28"/>
  <c r="U460" i="28" s="1"/>
  <c r="L508" i="28"/>
  <c r="U508" i="28" s="1"/>
  <c r="AC128" i="28"/>
  <c r="W538" i="28"/>
  <c r="L238" i="28"/>
  <c r="U238" i="28" s="1"/>
  <c r="L611" i="28"/>
  <c r="U611" i="28" s="1"/>
  <c r="AA610" i="28"/>
  <c r="Y610" i="28"/>
  <c r="Z610" i="28" s="1"/>
  <c r="AB610" i="28"/>
  <c r="Y301" i="28"/>
  <c r="Z301" i="28" s="1"/>
  <c r="AB301" i="28"/>
  <c r="L526" i="28"/>
  <c r="J448" i="28"/>
  <c r="Y598" i="28"/>
  <c r="Z598" i="28" s="1"/>
  <c r="AA598" i="28"/>
  <c r="AB598" i="28"/>
  <c r="AA442" i="28"/>
  <c r="AC558" i="28"/>
  <c r="W442" i="28"/>
  <c r="AC597" i="28"/>
  <c r="L302" i="28"/>
  <c r="U302" i="28" s="1"/>
  <c r="AB302" i="28" s="1"/>
  <c r="L186" i="28"/>
  <c r="L717" i="28"/>
  <c r="U717" i="28" s="1"/>
  <c r="L689" i="28"/>
  <c r="U689" i="28" s="1"/>
  <c r="L599" i="28"/>
  <c r="U599" i="28" s="1"/>
  <c r="W599" i="28" s="1"/>
  <c r="AB379" i="28"/>
  <c r="AC363" i="28"/>
  <c r="AC258" i="28"/>
  <c r="L274" i="28"/>
  <c r="U274" i="28" s="1"/>
  <c r="J331" i="28"/>
  <c r="AC26" i="28"/>
  <c r="W94" i="28"/>
  <c r="U107" i="28"/>
  <c r="L97" i="28"/>
  <c r="U170" i="28"/>
  <c r="L162" i="28"/>
  <c r="W81" i="28"/>
  <c r="U186" i="28"/>
  <c r="W224" i="28"/>
  <c r="K187" i="28"/>
  <c r="L435" i="28"/>
  <c r="U441" i="28"/>
  <c r="AA668" i="28"/>
  <c r="AA660" i="28" s="1"/>
  <c r="AA659" i="28" s="1"/>
  <c r="Y668" i="28"/>
  <c r="Z668" i="28" s="1"/>
  <c r="AB668" i="28"/>
  <c r="X668" i="28"/>
  <c r="X660" i="28" s="1"/>
  <c r="X659" i="28" s="1"/>
  <c r="U660" i="28"/>
  <c r="U659" i="28" s="1"/>
  <c r="W668" i="28"/>
  <c r="W28" i="28"/>
  <c r="W130" i="28"/>
  <c r="W184" i="28"/>
  <c r="W32" i="28"/>
  <c r="W590" i="28"/>
  <c r="W472" i="28"/>
  <c r="W460" i="28"/>
  <c r="AC572" i="28"/>
  <c r="AC361" i="28"/>
  <c r="W526" i="28"/>
  <c r="W117" i="28"/>
  <c r="W110" i="28" s="1"/>
  <c r="U110" i="28"/>
  <c r="AA117" i="28"/>
  <c r="Y117" i="28"/>
  <c r="Z117" i="28" s="1"/>
  <c r="AB117" i="28"/>
  <c r="W429" i="28"/>
  <c r="AB429" i="28"/>
  <c r="AA429" i="28"/>
  <c r="W65" i="28"/>
  <c r="W238" i="28"/>
  <c r="W93" i="28"/>
  <c r="W129" i="28"/>
  <c r="W64" i="28"/>
  <c r="J318" i="28"/>
  <c r="W393" i="28"/>
  <c r="AB660" i="28"/>
  <c r="AB659" i="28" s="1"/>
  <c r="L253" i="28"/>
  <c r="U260" i="28"/>
  <c r="K227" i="28"/>
  <c r="W574" i="28"/>
  <c r="AC574" i="28" s="1"/>
  <c r="U209" i="28"/>
  <c r="Y209" i="28" s="1"/>
  <c r="Z209" i="28" s="1"/>
  <c r="W394" i="28"/>
  <c r="W185" i="28"/>
  <c r="L521" i="28"/>
  <c r="U521" i="28" s="1"/>
  <c r="W379" i="28"/>
  <c r="AB64" i="28"/>
  <c r="W518" i="28"/>
  <c r="AB518" i="28"/>
  <c r="AA518" i="28"/>
  <c r="W143" i="28"/>
  <c r="W136" i="28" s="1"/>
  <c r="U136" i="28"/>
  <c r="AA143" i="28"/>
  <c r="AB143" i="28"/>
  <c r="Y429" i="28"/>
  <c r="Z429" i="28" s="1"/>
  <c r="W505" i="28"/>
  <c r="AB505" i="28"/>
  <c r="AA505" i="28"/>
  <c r="W598" i="28"/>
  <c r="W520" i="28"/>
  <c r="W403" i="28"/>
  <c r="W396" i="28" s="1"/>
  <c r="AA403" i="28"/>
  <c r="U396" i="28"/>
  <c r="AB403" i="28"/>
  <c r="W611" i="28"/>
  <c r="W237" i="28"/>
  <c r="W508" i="28"/>
  <c r="S187" i="28"/>
  <c r="S175" i="28" s="1"/>
  <c r="R187" i="28"/>
  <c r="R175" i="28" s="1"/>
  <c r="L495" i="28"/>
  <c r="U495" i="28" s="1"/>
  <c r="AC483" i="28"/>
  <c r="W210" i="28"/>
  <c r="AA539" i="28"/>
  <c r="L355" i="28"/>
  <c r="U355" i="28" s="1"/>
  <c r="W328" i="28"/>
  <c r="W575" i="28"/>
  <c r="W485" i="28"/>
  <c r="AC584" i="28"/>
  <c r="Y64" i="28"/>
  <c r="Z64" i="28" s="1"/>
  <c r="W245" i="28"/>
  <c r="AA245" i="28"/>
  <c r="AB245" i="28"/>
  <c r="W329" i="28"/>
  <c r="W193" i="28"/>
  <c r="W188" i="28" s="1"/>
  <c r="U188" i="28"/>
  <c r="AA193" i="28"/>
  <c r="AB193" i="28"/>
  <c r="W610" i="28"/>
  <c r="W301" i="28"/>
  <c r="AC301" i="28" s="1"/>
  <c r="W106" i="28"/>
  <c r="U97" i="28"/>
  <c r="W273" i="28"/>
  <c r="W27" i="28"/>
  <c r="Z660" i="28"/>
  <c r="Z659" i="28" s="1"/>
  <c r="W660" i="28"/>
  <c r="W659" i="28" s="1"/>
  <c r="AC694" i="28"/>
  <c r="AC118" i="28"/>
  <c r="AC232" i="28"/>
  <c r="AC589" i="28"/>
  <c r="AC416" i="28"/>
  <c r="AC44" i="28"/>
  <c r="AC290" i="28"/>
  <c r="AC506" i="28"/>
  <c r="AC51" i="28"/>
  <c r="AC45" i="28" s="1"/>
  <c r="AA238" i="28"/>
  <c r="AB238" i="28"/>
  <c r="AB81" i="28"/>
  <c r="AA81" i="28"/>
  <c r="AB611" i="28"/>
  <c r="AA611" i="28"/>
  <c r="Y611" i="28"/>
  <c r="Z611" i="28" s="1"/>
  <c r="AB695" i="28"/>
  <c r="X695" i="28"/>
  <c r="Y695" i="28"/>
  <c r="Z695" i="28" s="1"/>
  <c r="W695" i="28"/>
  <c r="AA695" i="28"/>
  <c r="R66" i="28"/>
  <c r="L66" i="28" s="1"/>
  <c r="AC430" i="28"/>
  <c r="R248" i="28"/>
  <c r="L248" i="28" s="1"/>
  <c r="U248" i="28" s="1"/>
  <c r="Q509" i="28"/>
  <c r="R509" i="28" s="1"/>
  <c r="J509" i="28"/>
  <c r="AC519" i="28"/>
  <c r="L560" i="28"/>
  <c r="U560" i="28" s="1"/>
  <c r="S275" i="28"/>
  <c r="R275" i="28"/>
  <c r="Q719" i="28"/>
  <c r="J719" i="28"/>
  <c r="K719" i="28" s="1"/>
  <c r="AA129" i="28"/>
  <c r="Y129" i="28"/>
  <c r="AB129" i="28"/>
  <c r="K211" i="28"/>
  <c r="Z390" i="28"/>
  <c r="AC390" i="28" s="1"/>
  <c r="Y199" i="28"/>
  <c r="Z199" i="28" s="1"/>
  <c r="AB199" i="28"/>
  <c r="AA199" i="28"/>
  <c r="Q30" i="28"/>
  <c r="S30" i="28" s="1"/>
  <c r="J30" i="28"/>
  <c r="K30" i="28" s="1"/>
  <c r="Z534" i="28"/>
  <c r="AC534" i="28" s="1"/>
  <c r="AB599" i="28"/>
  <c r="AA599" i="28"/>
  <c r="Y273" i="28"/>
  <c r="AB273" i="28"/>
  <c r="AA273" i="28"/>
  <c r="R95" i="28"/>
  <c r="R84" i="28" s="1"/>
  <c r="Y119" i="28"/>
  <c r="AB119" i="28"/>
  <c r="AA119" i="28"/>
  <c r="AB169" i="28"/>
  <c r="AA169" i="28"/>
  <c r="Y169" i="28"/>
  <c r="L431" i="28"/>
  <c r="U431" i="28" s="1"/>
  <c r="AB431" i="28" s="1"/>
  <c r="L459" i="28"/>
  <c r="K448" i="28"/>
  <c r="AB145" i="28"/>
  <c r="AA145" i="28"/>
  <c r="Y145" i="28"/>
  <c r="Z145" i="28" s="1"/>
  <c r="R82" i="28"/>
  <c r="L82" i="28" s="1"/>
  <c r="U82" i="28" s="1"/>
  <c r="L315" i="28"/>
  <c r="U315" i="28" s="1"/>
  <c r="Z456" i="28"/>
  <c r="AC456" i="28" s="1"/>
  <c r="K381" i="28"/>
  <c r="Y238" i="28"/>
  <c r="AA520" i="28"/>
  <c r="Y520" i="28"/>
  <c r="Z520" i="28" s="1"/>
  <c r="AB520" i="28"/>
  <c r="T6" i="28"/>
  <c r="J18" i="28"/>
  <c r="K18" i="28" s="1"/>
  <c r="Q18" i="28"/>
  <c r="S18" i="28" s="1"/>
  <c r="Y28" i="28"/>
  <c r="Z28" i="28" s="1"/>
  <c r="AB28" i="28"/>
  <c r="AA28" i="28"/>
  <c r="Q496" i="28"/>
  <c r="R496" i="28" s="1"/>
  <c r="J496" i="28"/>
  <c r="K496" i="28" s="1"/>
  <c r="Z220" i="28"/>
  <c r="K395" i="28"/>
  <c r="J383" i="28"/>
  <c r="Y575" i="28"/>
  <c r="Z575" i="28" s="1"/>
  <c r="AB575" i="28"/>
  <c r="AA575" i="28"/>
  <c r="Z415" i="28"/>
  <c r="P697" i="28"/>
  <c r="Q696" i="28"/>
  <c r="U696" i="28" s="1"/>
  <c r="AC300" i="28"/>
  <c r="J175" i="28"/>
  <c r="AC341" i="28"/>
  <c r="AB65" i="28"/>
  <c r="AA65" i="28"/>
  <c r="AB485" i="28"/>
  <c r="AA485" i="28"/>
  <c r="Y485" i="28"/>
  <c r="Z485" i="28" s="1"/>
  <c r="Z379" i="28"/>
  <c r="AC379" i="28" s="1"/>
  <c r="AB391" i="28"/>
  <c r="AA391" i="28"/>
  <c r="Y391" i="28"/>
  <c r="Z391" i="28" s="1"/>
  <c r="L343" i="28"/>
  <c r="Y407" i="28"/>
  <c r="Z407" i="28" s="1"/>
  <c r="AB407" i="28"/>
  <c r="AA407" i="28"/>
  <c r="R131" i="28"/>
  <c r="L131" i="28" s="1"/>
  <c r="Z328" i="28"/>
  <c r="AC328" i="28" s="1"/>
  <c r="Y535" i="28"/>
  <c r="Z535" i="28" s="1"/>
  <c r="AB535" i="28"/>
  <c r="AA535" i="28"/>
  <c r="AC493" i="28"/>
  <c r="AB92" i="28"/>
  <c r="AA92" i="28"/>
  <c r="Y92" i="28"/>
  <c r="Z92" i="28" s="1"/>
  <c r="L316" i="28"/>
  <c r="U316" i="28" s="1"/>
  <c r="AC62" i="28"/>
  <c r="R211" i="28"/>
  <c r="Z484" i="28"/>
  <c r="AC484" i="28" s="1"/>
  <c r="Y660" i="28"/>
  <c r="Y659" i="28" s="1"/>
  <c r="Y224" i="28"/>
  <c r="Z224" i="28" s="1"/>
  <c r="AB224" i="28"/>
  <c r="AA224" i="28"/>
  <c r="Y200" i="28"/>
  <c r="Z200" i="28" s="1"/>
  <c r="AB200" i="28"/>
  <c r="AB188" i="28" s="1"/>
  <c r="AA200" i="28"/>
  <c r="Y687" i="28"/>
  <c r="Z687" i="28" s="1"/>
  <c r="L586" i="28"/>
  <c r="K578" i="28"/>
  <c r="Y560" i="28"/>
  <c r="Z560" i="28" s="1"/>
  <c r="Y716" i="28"/>
  <c r="AB716" i="28"/>
  <c r="X716" i="28"/>
  <c r="AA716" i="28"/>
  <c r="W716" i="28"/>
  <c r="L418" i="28"/>
  <c r="U418" i="28" s="1"/>
  <c r="J304" i="28"/>
  <c r="K304" i="28" s="1"/>
  <c r="Q304" i="28"/>
  <c r="Z193" i="28"/>
  <c r="L247" i="28"/>
  <c r="Z14" i="28"/>
  <c r="AC14" i="28" s="1"/>
  <c r="AC244" i="28"/>
  <c r="Q613" i="28"/>
  <c r="J613" i="28"/>
  <c r="K613" i="28" s="1"/>
  <c r="Y342" i="28"/>
  <c r="Z342" i="28" s="1"/>
  <c r="AB342" i="28"/>
  <c r="AA342" i="28"/>
  <c r="Z284" i="28"/>
  <c r="AC284" i="28" s="1"/>
  <c r="L432" i="28"/>
  <c r="U432" i="28" s="1"/>
  <c r="Q226" i="28"/>
  <c r="R226" i="28" s="1"/>
  <c r="R214" i="28" s="1"/>
  <c r="J226" i="28"/>
  <c r="K226" i="28" s="1"/>
  <c r="Q522" i="28"/>
  <c r="R522" i="28" s="1"/>
  <c r="J522" i="28"/>
  <c r="L396" i="28"/>
  <c r="Y403" i="28"/>
  <c r="Y329" i="28"/>
  <c r="Z329" i="28" s="1"/>
  <c r="AB329" i="28"/>
  <c r="AA329" i="28"/>
  <c r="AC144" i="28"/>
  <c r="AC182" i="28"/>
  <c r="L473" i="28"/>
  <c r="K461" i="28"/>
  <c r="Q577" i="28"/>
  <c r="R577" i="28" s="1"/>
  <c r="R565" i="28" s="1"/>
  <c r="J577" i="28"/>
  <c r="K577" i="28" s="1"/>
  <c r="Y80" i="28"/>
  <c r="Z80" i="28" s="1"/>
  <c r="AB80" i="28"/>
  <c r="AA80" i="28"/>
  <c r="L291" i="28"/>
  <c r="K279" i="28"/>
  <c r="L369" i="28"/>
  <c r="U369" i="28" s="1"/>
  <c r="K357" i="28"/>
  <c r="Q67" i="28"/>
  <c r="S67" i="28" s="1"/>
  <c r="J67" i="28"/>
  <c r="K67" i="28" s="1"/>
  <c r="Y599" i="28"/>
  <c r="AC259" i="28"/>
  <c r="Y408" i="28"/>
  <c r="Z408" i="28" s="1"/>
  <c r="AB408" i="28"/>
  <c r="AA408" i="28"/>
  <c r="AA396" i="28" s="1"/>
  <c r="Q249" i="28"/>
  <c r="J249" i="28"/>
  <c r="K249" i="28" s="1"/>
  <c r="M275" i="28"/>
  <c r="M266" i="28" s="1"/>
  <c r="J276" i="28"/>
  <c r="K276" i="28" s="1"/>
  <c r="Q276" i="28"/>
  <c r="AC471" i="28"/>
  <c r="Y315" i="28"/>
  <c r="AB315" i="28"/>
  <c r="AA315" i="28"/>
  <c r="S718" i="28"/>
  <c r="R718" i="28"/>
  <c r="AA457" i="28"/>
  <c r="Y457" i="28"/>
  <c r="Z457" i="28" s="1"/>
  <c r="AB457" i="28"/>
  <c r="Q690" i="28"/>
  <c r="R690" i="28" s="1"/>
  <c r="J690" i="28"/>
  <c r="K690" i="28" s="1"/>
  <c r="K678" i="28" s="1"/>
  <c r="F678" i="28"/>
  <c r="F677" i="28" s="1"/>
  <c r="AA210" i="28"/>
  <c r="Y210" i="28"/>
  <c r="Z210" i="28" s="1"/>
  <c r="AB210" i="28"/>
  <c r="Z685" i="28"/>
  <c r="R239" i="28"/>
  <c r="R227" i="28" s="1"/>
  <c r="S239" i="28"/>
  <c r="S227" i="28" s="1"/>
  <c r="AA39" i="28"/>
  <c r="AA32" i="28" s="1"/>
  <c r="Y39" i="28"/>
  <c r="AB39" i="28"/>
  <c r="AB32" i="28" s="1"/>
  <c r="AC406" i="28"/>
  <c r="AC246" i="28"/>
  <c r="Z143" i="28"/>
  <c r="M561" i="28"/>
  <c r="M552" i="28" s="1"/>
  <c r="Q562" i="28"/>
  <c r="R562" i="28" s="1"/>
  <c r="J562" i="28"/>
  <c r="AC314" i="28"/>
  <c r="R409" i="28"/>
  <c r="R303" i="28"/>
  <c r="S303" i="28"/>
  <c r="S600" i="28"/>
  <c r="R600" i="28"/>
  <c r="AB539" i="28"/>
  <c r="Y354" i="28"/>
  <c r="Z354" i="28" s="1"/>
  <c r="AB354" i="28"/>
  <c r="AA354" i="28"/>
  <c r="AA237" i="28"/>
  <c r="Y237" i="28"/>
  <c r="Z237" i="28" s="1"/>
  <c r="AB237" i="28"/>
  <c r="AC231" i="28"/>
  <c r="Y183" i="28"/>
  <c r="Z183" i="28" s="1"/>
  <c r="AB183" i="28"/>
  <c r="AA183" i="28"/>
  <c r="Q83" i="28"/>
  <c r="S83" i="28" s="1"/>
  <c r="J83" i="28"/>
  <c r="K83" i="28" s="1"/>
  <c r="K71" i="28" s="1"/>
  <c r="Y81" i="28"/>
  <c r="R612" i="28"/>
  <c r="S612" i="28"/>
  <c r="Y65" i="28"/>
  <c r="Z65" i="28" s="1"/>
  <c r="Y380" i="28"/>
  <c r="Z380" i="28" s="1"/>
  <c r="AB380" i="28"/>
  <c r="AA380" i="28"/>
  <c r="Z353" i="28"/>
  <c r="AC353" i="28" s="1"/>
  <c r="AA590" i="28"/>
  <c r="AB590" i="28"/>
  <c r="Y590" i="28"/>
  <c r="Z590" i="28" s="1"/>
  <c r="AC194" i="28"/>
  <c r="Z79" i="28"/>
  <c r="AC693" i="28"/>
  <c r="AA472" i="28"/>
  <c r="Y472" i="28"/>
  <c r="Z472" i="28" s="1"/>
  <c r="AB472" i="28"/>
  <c r="AC208" i="28"/>
  <c r="K576" i="28"/>
  <c r="K486" i="28"/>
  <c r="J474" i="28"/>
  <c r="AC672" i="28"/>
  <c r="AB507" i="28"/>
  <c r="Y507" i="28"/>
  <c r="Z507" i="28" s="1"/>
  <c r="AA507" i="28"/>
  <c r="Q132" i="28"/>
  <c r="S132" i="28" s="1"/>
  <c r="J132" i="28"/>
  <c r="K132" i="28" s="1"/>
  <c r="U626" i="28"/>
  <c r="J317" i="28"/>
  <c r="K317" i="28" s="1"/>
  <c r="K305" i="28" s="1"/>
  <c r="Q317" i="28"/>
  <c r="R317" i="28" s="1"/>
  <c r="R305" i="28" s="1"/>
  <c r="Y688" i="28"/>
  <c r="Z688" i="28" s="1"/>
  <c r="AB688" i="28"/>
  <c r="X688" i="28"/>
  <c r="AA688" i="28"/>
  <c r="W688" i="28"/>
  <c r="Q212" i="28"/>
  <c r="J212" i="28"/>
  <c r="K212" i="28" s="1"/>
  <c r="L417" i="28"/>
  <c r="K409" i="28"/>
  <c r="R97" i="28"/>
  <c r="AC671" i="28"/>
  <c r="AC195" i="28"/>
  <c r="R29" i="28"/>
  <c r="L29" i="28" s="1"/>
  <c r="U29" i="28" s="1"/>
  <c r="L494" i="28"/>
  <c r="U494" i="28" s="1"/>
  <c r="AB494" i="28" s="1"/>
  <c r="L561" i="28"/>
  <c r="U561" i="28" s="1"/>
  <c r="K331" i="28"/>
  <c r="J461" i="28"/>
  <c r="AC91" i="28"/>
  <c r="AC106" i="28"/>
  <c r="R162" i="28"/>
  <c r="J292" i="28"/>
  <c r="J601" i="28"/>
  <c r="K601" i="28" s="1"/>
  <c r="Q601" i="28"/>
  <c r="AC551" i="28"/>
  <c r="Z548" i="28"/>
  <c r="Z539" i="28" s="1"/>
  <c r="Y539" i="28"/>
  <c r="Q356" i="28"/>
  <c r="R356" i="28" s="1"/>
  <c r="R344" i="28" s="1"/>
  <c r="J356" i="28"/>
  <c r="AC15" i="28"/>
  <c r="AC223" i="28"/>
  <c r="AC198" i="28"/>
  <c r="AC686" i="28"/>
  <c r="Z585" i="28"/>
  <c r="Z559" i="28"/>
  <c r="AC559" i="28" s="1"/>
  <c r="AC368" i="28"/>
  <c r="Q433" i="28"/>
  <c r="R433" i="28" s="1"/>
  <c r="J433" i="28"/>
  <c r="Q382" i="28"/>
  <c r="R382" i="28" s="1"/>
  <c r="R370" i="28" s="1"/>
  <c r="J382" i="28"/>
  <c r="K382" i="28" s="1"/>
  <c r="J227" i="28"/>
  <c r="AA27" i="28"/>
  <c r="Y27" i="28"/>
  <c r="AB27" i="28"/>
  <c r="K225" i="28"/>
  <c r="L225" i="28" s="1"/>
  <c r="U225" i="28" s="1"/>
  <c r="L330" i="28"/>
  <c r="Z470" i="28"/>
  <c r="S17" i="28"/>
  <c r="R17" i="28"/>
  <c r="AC79" i="28"/>
  <c r="G28" i="19"/>
  <c r="H28" i="19" s="1"/>
  <c r="G29" i="19"/>
  <c r="H29" i="19" s="1"/>
  <c r="G30" i="19"/>
  <c r="H30" i="19" s="1"/>
  <c r="G31" i="19"/>
  <c r="H31" i="19" s="1"/>
  <c r="U20" i="17"/>
  <c r="Y20" i="17" s="1"/>
  <c r="U33" i="17"/>
  <c r="Y33" i="17" s="1"/>
  <c r="U46" i="17"/>
  <c r="Y46" i="17" s="1"/>
  <c r="U7" i="17"/>
  <c r="Y7" i="17" l="1"/>
  <c r="Z7" i="17" s="1"/>
  <c r="Z20" i="17"/>
  <c r="Z46" i="17"/>
  <c r="Z33" i="17"/>
  <c r="W717" i="28"/>
  <c r="AA717" i="28"/>
  <c r="X717" i="28"/>
  <c r="AB717" i="28"/>
  <c r="Y717" i="28"/>
  <c r="Z717" i="28" s="1"/>
  <c r="J305" i="28"/>
  <c r="L612" i="28"/>
  <c r="U612" i="28" s="1"/>
  <c r="Y302" i="28"/>
  <c r="Z302" i="28" s="1"/>
  <c r="Y431" i="28"/>
  <c r="Z431" i="28" s="1"/>
  <c r="L275" i="28"/>
  <c r="U275" i="28" s="1"/>
  <c r="AC442" i="28"/>
  <c r="AA302" i="28"/>
  <c r="AC598" i="28"/>
  <c r="J214" i="28"/>
  <c r="AA431" i="28"/>
  <c r="W302" i="28"/>
  <c r="L718" i="28"/>
  <c r="U718" i="28" s="1"/>
  <c r="L600" i="28"/>
  <c r="U600" i="28" s="1"/>
  <c r="J565" i="28"/>
  <c r="L303" i="28"/>
  <c r="U303" i="28" s="1"/>
  <c r="W303" i="28" s="1"/>
  <c r="AC245" i="28"/>
  <c r="L95" i="28"/>
  <c r="U95" i="28" s="1"/>
  <c r="L17" i="28"/>
  <c r="U17" i="28" s="1"/>
  <c r="AC64" i="28"/>
  <c r="U131" i="28"/>
  <c r="W82" i="28"/>
  <c r="U66" i="28"/>
  <c r="Y66" i="28" s="1"/>
  <c r="Z66" i="28" s="1"/>
  <c r="W29" i="28"/>
  <c r="W600" i="28"/>
  <c r="W418" i="28"/>
  <c r="W275" i="28"/>
  <c r="W260" i="28"/>
  <c r="W253" i="28" s="1"/>
  <c r="U253" i="28"/>
  <c r="W170" i="28"/>
  <c r="W162" i="28" s="1"/>
  <c r="U162" i="28"/>
  <c r="AB260" i="28"/>
  <c r="AB253" i="28" s="1"/>
  <c r="U417" i="28"/>
  <c r="W248" i="28"/>
  <c r="AB396" i="28"/>
  <c r="L279" i="28"/>
  <c r="U291" i="28"/>
  <c r="L461" i="28"/>
  <c r="U473" i="28"/>
  <c r="Y473" i="28" s="1"/>
  <c r="L448" i="28"/>
  <c r="U459" i="28"/>
  <c r="W560" i="28"/>
  <c r="AC429" i="28"/>
  <c r="AC117" i="28"/>
  <c r="W612" i="28"/>
  <c r="W441" i="28"/>
  <c r="U435" i="28"/>
  <c r="Y441" i="28"/>
  <c r="AA441" i="28"/>
  <c r="AA435" i="28" s="1"/>
  <c r="AB441" i="28"/>
  <c r="AB435" i="28" s="1"/>
  <c r="AC610" i="28"/>
  <c r="AA260" i="28"/>
  <c r="AA253" i="28" s="1"/>
  <c r="W561" i="28"/>
  <c r="W432" i="28"/>
  <c r="U247" i="28"/>
  <c r="K292" i="28"/>
  <c r="AA560" i="28"/>
  <c r="AC200" i="28"/>
  <c r="W431" i="28"/>
  <c r="AC518" i="28"/>
  <c r="W521" i="28"/>
  <c r="W186" i="28"/>
  <c r="W107" i="28"/>
  <c r="W97" i="28" s="1"/>
  <c r="W274" i="28"/>
  <c r="W355" i="28"/>
  <c r="W225" i="28"/>
  <c r="L318" i="28"/>
  <c r="U330" i="28"/>
  <c r="Y330" i="28" s="1"/>
  <c r="Y260" i="28"/>
  <c r="Z260" i="28" s="1"/>
  <c r="Z253" i="28" s="1"/>
  <c r="W494" i="28"/>
  <c r="AA494" i="28"/>
  <c r="S71" i="28"/>
  <c r="W369" i="28"/>
  <c r="W357" i="28" s="1"/>
  <c r="U357" i="28"/>
  <c r="AA369" i="28"/>
  <c r="AA357" i="28" s="1"/>
  <c r="AB369" i="28"/>
  <c r="AB357" i="28" s="1"/>
  <c r="AC193" i="28"/>
  <c r="AB560" i="28"/>
  <c r="U586" i="28"/>
  <c r="AA188" i="28"/>
  <c r="W316" i="28"/>
  <c r="L331" i="28"/>
  <c r="U343" i="28"/>
  <c r="AA343" i="28" s="1"/>
  <c r="AA331" i="28" s="1"/>
  <c r="L496" i="28"/>
  <c r="U496" i="28" s="1"/>
  <c r="W315" i="28"/>
  <c r="W495" i="28"/>
  <c r="AC505" i="28"/>
  <c r="W209" i="28"/>
  <c r="AA209" i="28"/>
  <c r="AB209" i="28"/>
  <c r="L239" i="28"/>
  <c r="AC668" i="28"/>
  <c r="AC660" i="28" s="1"/>
  <c r="AC659" i="28" s="1"/>
  <c r="L187" i="28"/>
  <c r="K175" i="28"/>
  <c r="R678" i="28"/>
  <c r="R677" i="28" s="1"/>
  <c r="L690" i="28"/>
  <c r="U690" i="28" s="1"/>
  <c r="U678" i="28" s="1"/>
  <c r="AC687" i="28"/>
  <c r="AC92" i="28"/>
  <c r="Y188" i="28"/>
  <c r="AC472" i="28"/>
  <c r="AC183" i="28"/>
  <c r="AC210" i="28"/>
  <c r="AC507" i="28"/>
  <c r="AC354" i="28"/>
  <c r="AC302" i="28"/>
  <c r="Z599" i="28"/>
  <c r="AC599" i="28" s="1"/>
  <c r="AB612" i="28"/>
  <c r="AA612" i="28"/>
  <c r="Y612" i="28"/>
  <c r="Z238" i="28"/>
  <c r="AC238" i="28" s="1"/>
  <c r="Z81" i="28"/>
  <c r="AC81" i="28" s="1"/>
  <c r="AB600" i="28"/>
  <c r="AA600" i="28"/>
  <c r="U627" i="28"/>
  <c r="R132" i="28"/>
  <c r="L132" i="28" s="1"/>
  <c r="U132" i="28" s="1"/>
  <c r="AB343" i="28"/>
  <c r="AB331" i="28" s="1"/>
  <c r="AB82" i="28"/>
  <c r="AA82" i="28"/>
  <c r="Y82" i="28"/>
  <c r="Z82" i="28" s="1"/>
  <c r="K562" i="28"/>
  <c r="L562" i="28" s="1"/>
  <c r="U562" i="28" s="1"/>
  <c r="Y225" i="28"/>
  <c r="Z225" i="28" s="1"/>
  <c r="AB225" i="28"/>
  <c r="AA225" i="28"/>
  <c r="Z39" i="28"/>
  <c r="Z32" i="28" s="1"/>
  <c r="Y32" i="28"/>
  <c r="S276" i="28"/>
  <c r="R276" i="28"/>
  <c r="Y536" i="28"/>
  <c r="Z536" i="28" s="1"/>
  <c r="AB536" i="28"/>
  <c r="AA536" i="28"/>
  <c r="Z403" i="28"/>
  <c r="AC403" i="28" s="1"/>
  <c r="Y396" i="28"/>
  <c r="K522" i="28"/>
  <c r="Y253" i="28"/>
  <c r="Y600" i="28"/>
  <c r="Z600" i="28" s="1"/>
  <c r="Z188" i="28"/>
  <c r="Y274" i="28"/>
  <c r="Z274" i="28" s="1"/>
  <c r="AB274" i="28"/>
  <c r="AA274" i="28"/>
  <c r="AB495" i="28"/>
  <c r="AA495" i="28"/>
  <c r="Y495" i="28"/>
  <c r="Z495" i="28" s="1"/>
  <c r="J6" i="28"/>
  <c r="J370" i="28"/>
  <c r="R30" i="28"/>
  <c r="L30" i="28" s="1"/>
  <c r="U30" i="28" s="1"/>
  <c r="L211" i="28"/>
  <c r="U211" i="28" s="1"/>
  <c r="AA211" i="28" s="1"/>
  <c r="AB508" i="28"/>
  <c r="AA508" i="28"/>
  <c r="Y508" i="28"/>
  <c r="Z508" i="28" s="1"/>
  <c r="Y211" i="28"/>
  <c r="Z211" i="28" s="1"/>
  <c r="K433" i="28"/>
  <c r="AB184" i="28"/>
  <c r="AA184" i="28"/>
  <c r="Y184" i="28"/>
  <c r="Z184" i="28" s="1"/>
  <c r="Y355" i="28"/>
  <c r="Z355" i="28" s="1"/>
  <c r="AB355" i="28"/>
  <c r="AA355" i="28"/>
  <c r="R601" i="28"/>
  <c r="S601" i="28"/>
  <c r="Q213" i="28"/>
  <c r="J213" i="28"/>
  <c r="K213" i="28" s="1"/>
  <c r="AB458" i="28"/>
  <c r="AA458" i="28"/>
  <c r="Y458" i="28"/>
  <c r="Z458" i="28" s="1"/>
  <c r="Q133" i="28"/>
  <c r="S133" i="28" s="1"/>
  <c r="S123" i="28" s="1"/>
  <c r="J133" i="28"/>
  <c r="K133" i="28" s="1"/>
  <c r="L486" i="28"/>
  <c r="K474" i="28"/>
  <c r="F71" i="28"/>
  <c r="AC457" i="28"/>
  <c r="Z315" i="28"/>
  <c r="R249" i="28"/>
  <c r="L249" i="28" s="1"/>
  <c r="U249" i="28" s="1"/>
  <c r="Q68" i="28"/>
  <c r="S68" i="28" s="1"/>
  <c r="J68" i="28"/>
  <c r="K68" i="28" s="1"/>
  <c r="M67" i="28"/>
  <c r="M58" i="28" s="1"/>
  <c r="AC80" i="28"/>
  <c r="L577" i="28"/>
  <c r="U577" i="28" s="1"/>
  <c r="AC342" i="28"/>
  <c r="S613" i="28"/>
  <c r="R613" i="28"/>
  <c r="AB146" i="28"/>
  <c r="AA146" i="28"/>
  <c r="Y146" i="28"/>
  <c r="Y120" i="28"/>
  <c r="Z120" i="28" s="1"/>
  <c r="AB120" i="28"/>
  <c r="AA120" i="28"/>
  <c r="AC415" i="28"/>
  <c r="L395" i="28"/>
  <c r="K383" i="28"/>
  <c r="J497" i="28"/>
  <c r="K497" i="28" s="1"/>
  <c r="M496" i="28"/>
  <c r="M487" i="28" s="1"/>
  <c r="Q497" i="28"/>
  <c r="R497" i="28" s="1"/>
  <c r="AC28" i="28"/>
  <c r="L381" i="28"/>
  <c r="K370" i="28"/>
  <c r="Q31" i="28"/>
  <c r="S31" i="28" s="1"/>
  <c r="J31" i="28"/>
  <c r="K31" i="28" s="1"/>
  <c r="K19" i="28" s="1"/>
  <c r="Z129" i="28"/>
  <c r="AC129" i="28" s="1"/>
  <c r="S719" i="28"/>
  <c r="R719" i="28"/>
  <c r="M509" i="28"/>
  <c r="M500" i="28" s="1"/>
  <c r="J510" i="28"/>
  <c r="K510" i="28" s="1"/>
  <c r="Q510" i="28"/>
  <c r="R510" i="28" s="1"/>
  <c r="L578" i="28"/>
  <c r="Y432" i="28"/>
  <c r="Z432" i="28" s="1"/>
  <c r="AB432" i="28"/>
  <c r="AA432" i="28"/>
  <c r="Y170" i="28"/>
  <c r="Z170" i="28" s="1"/>
  <c r="AB170" i="28"/>
  <c r="AB162" i="28" s="1"/>
  <c r="AA170" i="28"/>
  <c r="AA162" i="28" s="1"/>
  <c r="Y107" i="28"/>
  <c r="AB107" i="28"/>
  <c r="AB97" i="28" s="1"/>
  <c r="AA107" i="28"/>
  <c r="AA97" i="28" s="1"/>
  <c r="AC688" i="28"/>
  <c r="AC717" i="28"/>
  <c r="W16" i="28"/>
  <c r="Y16" i="28"/>
  <c r="Y494" i="28"/>
  <c r="Z494" i="28" s="1"/>
  <c r="AC380" i="28"/>
  <c r="AC237" i="28"/>
  <c r="Y418" i="28"/>
  <c r="Z418" i="28" s="1"/>
  <c r="AB418" i="28"/>
  <c r="AA418" i="28"/>
  <c r="Y561" i="28"/>
  <c r="AB561" i="28"/>
  <c r="AA561" i="28"/>
  <c r="AC685" i="28"/>
  <c r="AB689" i="28"/>
  <c r="X689" i="28"/>
  <c r="AA689" i="28"/>
  <c r="W689" i="28"/>
  <c r="Y689" i="28"/>
  <c r="Z689" i="28" s="1"/>
  <c r="Y275" i="28"/>
  <c r="Z275" i="28" s="1"/>
  <c r="AB275" i="28"/>
  <c r="AA275" i="28"/>
  <c r="Y248" i="28"/>
  <c r="Z248" i="28" s="1"/>
  <c r="AB248" i="28"/>
  <c r="AA248" i="28"/>
  <c r="AC408" i="28"/>
  <c r="L357" i="28"/>
  <c r="Y369" i="28"/>
  <c r="Y521" i="28"/>
  <c r="Z521" i="28" s="1"/>
  <c r="AB521" i="28"/>
  <c r="AA521" i="28"/>
  <c r="J71" i="28"/>
  <c r="Z716" i="28"/>
  <c r="AC716" i="28" s="1"/>
  <c r="AC224" i="28"/>
  <c r="AC535" i="28"/>
  <c r="AC391" i="28"/>
  <c r="AC485" i="28"/>
  <c r="AC65" i="28"/>
  <c r="Y696" i="28"/>
  <c r="X696" i="28"/>
  <c r="AB696" i="28"/>
  <c r="W696" i="28"/>
  <c r="AA696" i="28"/>
  <c r="AC548" i="28"/>
  <c r="AC539" i="28" s="1"/>
  <c r="Z169" i="28"/>
  <c r="AC169" i="28" s="1"/>
  <c r="Z273" i="28"/>
  <c r="AC273" i="28" s="1"/>
  <c r="J678" i="28"/>
  <c r="K509" i="28"/>
  <c r="L509" i="28" s="1"/>
  <c r="U509" i="28" s="1"/>
  <c r="AC695" i="28"/>
  <c r="AA316" i="28"/>
  <c r="Y316" i="28"/>
  <c r="Z316" i="28" s="1"/>
  <c r="AB316" i="28"/>
  <c r="Z27" i="28"/>
  <c r="AC27" i="28" s="1"/>
  <c r="L382" i="28"/>
  <c r="J434" i="28"/>
  <c r="K434" i="28" s="1"/>
  <c r="Q434" i="28"/>
  <c r="R434" i="28" s="1"/>
  <c r="R422" i="28" s="1"/>
  <c r="AC585" i="28"/>
  <c r="K356" i="28"/>
  <c r="J344" i="28"/>
  <c r="Q602" i="28"/>
  <c r="J602" i="28"/>
  <c r="K602" i="28" s="1"/>
  <c r="Y130" i="28"/>
  <c r="Z130" i="28" s="1"/>
  <c r="AB130" i="28"/>
  <c r="AA130" i="28"/>
  <c r="R212" i="28"/>
  <c r="L317" i="28"/>
  <c r="L576" i="28"/>
  <c r="U576" i="28" s="1"/>
  <c r="Y576" i="28" s="1"/>
  <c r="Z576" i="28" s="1"/>
  <c r="K565" i="28"/>
  <c r="AC590" i="28"/>
  <c r="R83" i="28"/>
  <c r="R71" i="28" s="1"/>
  <c r="Q563" i="28"/>
  <c r="R563" i="28" s="1"/>
  <c r="J563" i="28"/>
  <c r="K563" i="28" s="1"/>
  <c r="AC143" i="28"/>
  <c r="Y93" i="28"/>
  <c r="Z93" i="28" s="1"/>
  <c r="AB93" i="28"/>
  <c r="AA93" i="28"/>
  <c r="Q277" i="28"/>
  <c r="J277" i="28"/>
  <c r="K277" i="28" s="1"/>
  <c r="M249" i="28"/>
  <c r="M240" i="28" s="1"/>
  <c r="Q250" i="28"/>
  <c r="J250" i="28"/>
  <c r="K250" i="28" s="1"/>
  <c r="AA392" i="28"/>
  <c r="Y392" i="28"/>
  <c r="Z392" i="28" s="1"/>
  <c r="AB392" i="28"/>
  <c r="R67" i="28"/>
  <c r="L67" i="28" s="1"/>
  <c r="AA576" i="28"/>
  <c r="AC329" i="28"/>
  <c r="Q523" i="28"/>
  <c r="R523" i="28" s="1"/>
  <c r="J523" i="28"/>
  <c r="K523" i="28" s="1"/>
  <c r="M522" i="28"/>
  <c r="M513" i="28" s="1"/>
  <c r="L226" i="28"/>
  <c r="K214" i="28"/>
  <c r="Q614" i="28"/>
  <c r="M613" i="28"/>
  <c r="M604" i="28" s="1"/>
  <c r="J614" i="28"/>
  <c r="K614" i="28" s="1"/>
  <c r="R304" i="28"/>
  <c r="R292" i="28" s="1"/>
  <c r="S304" i="28"/>
  <c r="S292" i="28" s="1"/>
  <c r="L409" i="28"/>
  <c r="AC407" i="28"/>
  <c r="P698" i="28"/>
  <c r="Q697" i="28"/>
  <c r="U697" i="28" s="1"/>
  <c r="AC575" i="28"/>
  <c r="AC220" i="28"/>
  <c r="S6" i="28"/>
  <c r="R18" i="28"/>
  <c r="L18" i="28" s="1"/>
  <c r="AC470" i="28"/>
  <c r="AC520" i="28"/>
  <c r="AC145" i="28"/>
  <c r="Z119" i="28"/>
  <c r="AC119" i="28" s="1"/>
  <c r="AC199" i="28"/>
  <c r="AC188" i="28" s="1"/>
  <c r="Q720" i="28"/>
  <c r="J720" i="28"/>
  <c r="K720" i="28" s="1"/>
  <c r="AC611" i="28"/>
  <c r="L719" i="28" l="1"/>
  <c r="U719" i="28" s="1"/>
  <c r="AB211" i="28"/>
  <c r="AB576" i="28"/>
  <c r="AC431" i="28"/>
  <c r="AB303" i="28"/>
  <c r="L84" i="28"/>
  <c r="AA66" i="28"/>
  <c r="AB66" i="28"/>
  <c r="L613" i="28"/>
  <c r="U613" i="28" s="1"/>
  <c r="W613" i="28" s="1"/>
  <c r="Y303" i="28"/>
  <c r="Z303" i="28" s="1"/>
  <c r="Y343" i="28"/>
  <c r="Z343" i="28" s="1"/>
  <c r="Z331" i="28" s="1"/>
  <c r="AA303" i="28"/>
  <c r="AC560" i="28"/>
  <c r="J500" i="28"/>
  <c r="L276" i="28"/>
  <c r="U276" i="28" s="1"/>
  <c r="W276" i="28" s="1"/>
  <c r="L601" i="28"/>
  <c r="U601" i="28" s="1"/>
  <c r="W601" i="28" s="1"/>
  <c r="AA473" i="28"/>
  <c r="AA461" i="28" s="1"/>
  <c r="AA330" i="28"/>
  <c r="AA318" i="28" s="1"/>
  <c r="AB473" i="28"/>
  <c r="AB461" i="28" s="1"/>
  <c r="AB330" i="28"/>
  <c r="AB318" i="28" s="1"/>
  <c r="U67" i="28"/>
  <c r="L383" i="28"/>
  <c r="U395" i="28"/>
  <c r="W577" i="28"/>
  <c r="W562" i="28"/>
  <c r="W586" i="28"/>
  <c r="U578" i="28"/>
  <c r="AA586" i="28"/>
  <c r="AA578" i="28" s="1"/>
  <c r="AB586" i="28"/>
  <c r="AB578" i="28" s="1"/>
  <c r="W247" i="28"/>
  <c r="AA247" i="28"/>
  <c r="AB247" i="28"/>
  <c r="W95" i="28"/>
  <c r="W84" i="28" s="1"/>
  <c r="X84" i="28"/>
  <c r="U84" i="28"/>
  <c r="W459" i="28"/>
  <c r="W448" i="28" s="1"/>
  <c r="U448" i="28"/>
  <c r="W291" i="28"/>
  <c r="W279" i="28" s="1"/>
  <c r="U279" i="28"/>
  <c r="AB291" i="28"/>
  <c r="AB279" i="28" s="1"/>
  <c r="AA291" i="28"/>
  <c r="AA279" i="28" s="1"/>
  <c r="L214" i="28"/>
  <c r="U226" i="28"/>
  <c r="Y226" i="28" s="1"/>
  <c r="L305" i="28"/>
  <c r="U317" i="28"/>
  <c r="AB317" i="28" s="1"/>
  <c r="AB305" i="28" s="1"/>
  <c r="S19" i="28"/>
  <c r="U381" i="28"/>
  <c r="Y381" i="28" s="1"/>
  <c r="Z381" i="28" s="1"/>
  <c r="K123" i="28"/>
  <c r="Y291" i="28"/>
  <c r="Y279" i="28" s="1"/>
  <c r="AA577" i="28"/>
  <c r="AA565" i="28" s="1"/>
  <c r="W30" i="28"/>
  <c r="Y586" i="28"/>
  <c r="Y247" i="28"/>
  <c r="Z247" i="28" s="1"/>
  <c r="W132" i="28"/>
  <c r="Z441" i="28"/>
  <c r="Z435" i="28" s="1"/>
  <c r="Y435" i="28"/>
  <c r="W417" i="28"/>
  <c r="W409" i="28" s="1"/>
  <c r="U409" i="28"/>
  <c r="AB417" i="28"/>
  <c r="AB409" i="28" s="1"/>
  <c r="AA417" i="28"/>
  <c r="AA409" i="28" s="1"/>
  <c r="Z396" i="28"/>
  <c r="AC494" i="28"/>
  <c r="W249" i="28"/>
  <c r="AC39" i="28"/>
  <c r="AC32" i="28" s="1"/>
  <c r="W211" i="28"/>
  <c r="AC211" i="28" s="1"/>
  <c r="AB577" i="28"/>
  <c r="L175" i="28"/>
  <c r="U187" i="28"/>
  <c r="W496" i="28"/>
  <c r="L83" i="28"/>
  <c r="W330" i="28"/>
  <c r="W318" i="28" s="1"/>
  <c r="U318" i="28"/>
  <c r="K604" i="28"/>
  <c r="W473" i="28"/>
  <c r="W461" i="28" s="1"/>
  <c r="U461" i="28"/>
  <c r="Y417" i="28"/>
  <c r="Z417" i="28" s="1"/>
  <c r="Z409" i="28" s="1"/>
  <c r="W66" i="28"/>
  <c r="J201" i="28"/>
  <c r="K266" i="28"/>
  <c r="W576" i="28"/>
  <c r="AC576" i="28" s="1"/>
  <c r="U565" i="28"/>
  <c r="L370" i="28"/>
  <c r="U382" i="28"/>
  <c r="AA382" i="28" s="1"/>
  <c r="W509" i="28"/>
  <c r="J123" i="28"/>
  <c r="L474" i="28"/>
  <c r="U486" i="28"/>
  <c r="AC260" i="28"/>
  <c r="AC253" i="28" s="1"/>
  <c r="U239" i="28"/>
  <c r="AA239" i="28" s="1"/>
  <c r="AA227" i="28" s="1"/>
  <c r="L227" i="28"/>
  <c r="AC209" i="28"/>
  <c r="W343" i="28"/>
  <c r="W331" i="28" s="1"/>
  <c r="U331" i="28"/>
  <c r="L304" i="28"/>
  <c r="W435" i="28"/>
  <c r="W131" i="28"/>
  <c r="L678" i="28"/>
  <c r="L677" i="28" s="1"/>
  <c r="AC184" i="28"/>
  <c r="Y162" i="28"/>
  <c r="AC130" i="28"/>
  <c r="AC170" i="28"/>
  <c r="AC162" i="28" s="1"/>
  <c r="AC432" i="28"/>
  <c r="AC536" i="28"/>
  <c r="AC521" i="28"/>
  <c r="S720" i="28"/>
  <c r="R720" i="28"/>
  <c r="P699" i="28"/>
  <c r="Q698" i="28"/>
  <c r="U698" i="28" s="1"/>
  <c r="J524" i="28"/>
  <c r="K524" i="28" s="1"/>
  <c r="Q524" i="28"/>
  <c r="R524" i="28" s="1"/>
  <c r="Q251" i="28"/>
  <c r="J251" i="28"/>
  <c r="K251" i="28" s="1"/>
  <c r="AC93" i="28"/>
  <c r="Z330" i="28"/>
  <c r="Z318" i="28" s="1"/>
  <c r="Y318" i="28"/>
  <c r="L356" i="28"/>
  <c r="K344" i="28"/>
  <c r="AC248" i="28"/>
  <c r="Z561" i="28"/>
  <c r="AC561" i="28" s="1"/>
  <c r="Z107" i="28"/>
  <c r="Z97" i="28" s="1"/>
  <c r="Y97" i="28"/>
  <c r="R31" i="28"/>
  <c r="L31" i="28" s="1"/>
  <c r="Y496" i="28"/>
  <c r="Z496" i="28" s="1"/>
  <c r="AB496" i="28"/>
  <c r="AA496" i="28"/>
  <c r="L497" i="28"/>
  <c r="U497" i="28" s="1"/>
  <c r="AC120" i="28"/>
  <c r="L565" i="28"/>
  <c r="Q69" i="28"/>
  <c r="S69" i="28" s="1"/>
  <c r="J69" i="28"/>
  <c r="K69" i="28" s="1"/>
  <c r="Y17" i="28"/>
  <c r="Z17" i="28" s="1"/>
  <c r="W17" i="28"/>
  <c r="AC274" i="28"/>
  <c r="Y577" i="28"/>
  <c r="AA393" i="28"/>
  <c r="Y393" i="28"/>
  <c r="Z393" i="28" s="1"/>
  <c r="AB393" i="28"/>
  <c r="AC225" i="28"/>
  <c r="AC82" i="28"/>
  <c r="AB719" i="28"/>
  <c r="X719" i="28"/>
  <c r="AA719" i="28"/>
  <c r="W719" i="28"/>
  <c r="R614" i="28"/>
  <c r="S614" i="28"/>
  <c r="S604" i="28" s="1"/>
  <c r="AC392" i="28"/>
  <c r="AA276" i="28"/>
  <c r="Y562" i="28"/>
  <c r="Z562" i="28" s="1"/>
  <c r="AB562" i="28"/>
  <c r="AA562" i="28"/>
  <c r="S602" i="28"/>
  <c r="R602" i="28"/>
  <c r="AC316" i="28"/>
  <c r="AB121" i="28"/>
  <c r="AA121" i="28"/>
  <c r="Y121" i="28"/>
  <c r="AC689" i="28"/>
  <c r="Z16" i="28"/>
  <c r="Z162" i="28"/>
  <c r="R500" i="28"/>
  <c r="J498" i="28"/>
  <c r="K498" i="28" s="1"/>
  <c r="Q498" i="28"/>
  <c r="R498" i="28" s="1"/>
  <c r="R133" i="28"/>
  <c r="L133" i="28" s="1"/>
  <c r="J422" i="28"/>
  <c r="AC495" i="28"/>
  <c r="U628" i="28"/>
  <c r="J721" i="28"/>
  <c r="K721" i="28" s="1"/>
  <c r="Q721" i="28"/>
  <c r="F709" i="28"/>
  <c r="F708" i="28" s="1"/>
  <c r="R6" i="28"/>
  <c r="J604" i="28"/>
  <c r="L523" i="28"/>
  <c r="U523" i="28" s="1"/>
  <c r="R250" i="28"/>
  <c r="L250" i="28" s="1"/>
  <c r="U250" i="28" s="1"/>
  <c r="J266" i="28"/>
  <c r="AA690" i="28"/>
  <c r="W690" i="28"/>
  <c r="Y690" i="28"/>
  <c r="Z690" i="28" s="1"/>
  <c r="X690" i="28"/>
  <c r="AB690" i="28"/>
  <c r="Q564" i="28"/>
  <c r="R564" i="28" s="1"/>
  <c r="R552" i="28" s="1"/>
  <c r="J564" i="28"/>
  <c r="K564" i="28" s="1"/>
  <c r="T5" i="28"/>
  <c r="J603" i="28"/>
  <c r="K603" i="28" s="1"/>
  <c r="Q603" i="28"/>
  <c r="S603" i="28" s="1"/>
  <c r="L434" i="28"/>
  <c r="U434" i="28" s="1"/>
  <c r="J677" i="28"/>
  <c r="Z696" i="28"/>
  <c r="AA122" i="28"/>
  <c r="Y122" i="28"/>
  <c r="Z122" i="28" s="1"/>
  <c r="AB122" i="28"/>
  <c r="AB110" i="28" s="1"/>
  <c r="AB147" i="28"/>
  <c r="AA147" i="28"/>
  <c r="Y147" i="28"/>
  <c r="Z147" i="28" s="1"/>
  <c r="AC275" i="28"/>
  <c r="AC418" i="28"/>
  <c r="AC16" i="28"/>
  <c r="L212" i="28"/>
  <c r="J591" i="28"/>
  <c r="AA509" i="28"/>
  <c r="Y509" i="28"/>
  <c r="Z509" i="28" s="1"/>
  <c r="AB509" i="28"/>
  <c r="AA601" i="28"/>
  <c r="AB601" i="28"/>
  <c r="M5" i="28"/>
  <c r="R68" i="28"/>
  <c r="L68" i="28" s="1"/>
  <c r="AA537" i="28"/>
  <c r="Y537" i="28"/>
  <c r="Z537" i="28" s="1"/>
  <c r="AB537" i="28"/>
  <c r="AC458" i="28"/>
  <c r="S201" i="28"/>
  <c r="R213" i="28"/>
  <c r="R201" i="28" s="1"/>
  <c r="AC355" i="28"/>
  <c r="L433" i="28"/>
  <c r="U433" i="28" s="1"/>
  <c r="Y433" i="28" s="1"/>
  <c r="Z433" i="28" s="1"/>
  <c r="K422" i="28"/>
  <c r="AC508" i="28"/>
  <c r="Z291" i="28"/>
  <c r="Y719" i="28"/>
  <c r="Z719" i="28" s="1"/>
  <c r="AB132" i="28"/>
  <c r="AA132" i="28"/>
  <c r="Y132" i="28"/>
  <c r="Z132" i="28" s="1"/>
  <c r="Z612" i="28"/>
  <c r="AC612" i="28" s="1"/>
  <c r="Z473" i="28"/>
  <c r="Z461" i="28" s="1"/>
  <c r="Y461" i="28"/>
  <c r="Y697" i="28"/>
  <c r="Z697" i="28" s="1"/>
  <c r="X697" i="28"/>
  <c r="AB697" i="28"/>
  <c r="W697" i="28"/>
  <c r="AA697" i="28"/>
  <c r="Y131" i="28"/>
  <c r="Z131" i="28" s="1"/>
  <c r="AB131" i="28"/>
  <c r="AA131" i="28"/>
  <c r="AB249" i="28"/>
  <c r="AA249" i="28"/>
  <c r="Y249" i="28"/>
  <c r="Z249" i="28" s="1"/>
  <c r="S277" i="28"/>
  <c r="S266" i="28" s="1"/>
  <c r="R277" i="28"/>
  <c r="L563" i="28"/>
  <c r="U563" i="28" s="1"/>
  <c r="Y718" i="28"/>
  <c r="Z718" i="28" s="1"/>
  <c r="AB718" i="28"/>
  <c r="X718" i="28"/>
  <c r="AA718" i="28"/>
  <c r="W718" i="28"/>
  <c r="AC696" i="28"/>
  <c r="K677" i="28"/>
  <c r="Z369" i="28"/>
  <c r="Z357" i="28" s="1"/>
  <c r="Y357" i="28"/>
  <c r="AC396" i="28"/>
  <c r="Y459" i="28"/>
  <c r="Z459" i="28" s="1"/>
  <c r="AB459" i="28"/>
  <c r="AA459" i="28"/>
  <c r="Y601" i="28"/>
  <c r="Z601" i="28" s="1"/>
  <c r="AB185" i="28"/>
  <c r="AA185" i="28"/>
  <c r="Y185" i="28"/>
  <c r="Z185" i="28" s="1"/>
  <c r="AB382" i="28"/>
  <c r="L510" i="28"/>
  <c r="K500" i="28"/>
  <c r="J19" i="28"/>
  <c r="Z146" i="28"/>
  <c r="AC146" i="28" s="1"/>
  <c r="AC315" i="28"/>
  <c r="AB29" i="28"/>
  <c r="AA29" i="28"/>
  <c r="Y29" i="28"/>
  <c r="K201" i="28"/>
  <c r="K6" i="28"/>
  <c r="L522" i="28"/>
  <c r="U522" i="28" s="1"/>
  <c r="AB565" i="28"/>
  <c r="Y94" i="28"/>
  <c r="Z94" i="28" s="1"/>
  <c r="AB94" i="28"/>
  <c r="AA94" i="28"/>
  <c r="AC600" i="28"/>
  <c r="F17" i="19"/>
  <c r="G17" i="19" s="1"/>
  <c r="H17" i="19" s="1"/>
  <c r="Y317" i="28" l="1"/>
  <c r="Z317" i="28" s="1"/>
  <c r="Z305" i="28" s="1"/>
  <c r="AB239" i="28"/>
  <c r="AB227" i="28" s="1"/>
  <c r="AA317" i="28"/>
  <c r="AA305" i="28" s="1"/>
  <c r="Y239" i="28"/>
  <c r="Z239" i="28" s="1"/>
  <c r="Z227" i="28" s="1"/>
  <c r="Y382" i="28"/>
  <c r="AB276" i="28"/>
  <c r="Y276" i="28"/>
  <c r="Z276" i="28" s="1"/>
  <c r="Y331" i="28"/>
  <c r="L277" i="28"/>
  <c r="L602" i="28"/>
  <c r="U602" i="28" s="1"/>
  <c r="AC303" i="28"/>
  <c r="AC66" i="28"/>
  <c r="L614" i="28"/>
  <c r="L720" i="28"/>
  <c r="U720" i="28" s="1"/>
  <c r="AB720" i="28" s="1"/>
  <c r="AC393" i="28"/>
  <c r="AC441" i="28"/>
  <c r="AC435" i="28" s="1"/>
  <c r="AC509" i="28"/>
  <c r="AC247" i="28"/>
  <c r="AC276" i="28"/>
  <c r="W602" i="28"/>
  <c r="U68" i="28"/>
  <c r="AB68" i="28" s="1"/>
  <c r="U614" i="28"/>
  <c r="L604" i="28"/>
  <c r="U133" i="28"/>
  <c r="L123" i="28"/>
  <c r="W563" i="28"/>
  <c r="W523" i="28"/>
  <c r="W486" i="28"/>
  <c r="W474" i="28" s="1"/>
  <c r="U474" i="28"/>
  <c r="AB486" i="28"/>
  <c r="AB474" i="28" s="1"/>
  <c r="AA486" i="28"/>
  <c r="AA474" i="28" s="1"/>
  <c r="U277" i="28"/>
  <c r="L266" i="28"/>
  <c r="W67" i="28"/>
  <c r="U212" i="28"/>
  <c r="Y212" i="28" s="1"/>
  <c r="Z212" i="28" s="1"/>
  <c r="W434" i="28"/>
  <c r="W226" i="28"/>
  <c r="W214" i="28" s="1"/>
  <c r="U214" i="28"/>
  <c r="Y486" i="28"/>
  <c r="Y409" i="28"/>
  <c r="K709" i="28"/>
  <c r="AA226" i="28"/>
  <c r="AA214" i="28" s="1"/>
  <c r="W497" i="28"/>
  <c r="W239" i="28"/>
  <c r="W227" i="28" s="1"/>
  <c r="U227" i="28"/>
  <c r="W382" i="28"/>
  <c r="U370" i="28"/>
  <c r="U83" i="28"/>
  <c r="AA83" i="28" s="1"/>
  <c r="AA71" i="28" s="1"/>
  <c r="L71" i="28"/>
  <c r="W381" i="28"/>
  <c r="AB381" i="28"/>
  <c r="AB370" i="28" s="1"/>
  <c r="AA381" i="28"/>
  <c r="AA370" i="28" s="1"/>
  <c r="W578" i="28"/>
  <c r="W522" i="28"/>
  <c r="L500" i="28"/>
  <c r="U510" i="28"/>
  <c r="Y510" i="28" s="1"/>
  <c r="W433" i="28"/>
  <c r="U422" i="28"/>
  <c r="K591" i="28"/>
  <c r="U304" i="28"/>
  <c r="AA304" i="28" s="1"/>
  <c r="AA292" i="28" s="1"/>
  <c r="L292" i="28"/>
  <c r="AB433" i="28"/>
  <c r="W187" i="28"/>
  <c r="W175" i="28" s="1"/>
  <c r="U175" i="28"/>
  <c r="U31" i="28"/>
  <c r="L19" i="28"/>
  <c r="W395" i="28"/>
  <c r="W383" i="28" s="1"/>
  <c r="U383" i="28"/>
  <c r="AA433" i="28"/>
  <c r="AC697" i="28"/>
  <c r="W250" i="28"/>
  <c r="AB226" i="28"/>
  <c r="AB214" i="28" s="1"/>
  <c r="L344" i="28"/>
  <c r="U356" i="28"/>
  <c r="AC417" i="28"/>
  <c r="AC409" i="28" s="1"/>
  <c r="Z586" i="28"/>
  <c r="Z578" i="28" s="1"/>
  <c r="Y578" i="28"/>
  <c r="W317" i="28"/>
  <c r="W305" i="28" s="1"/>
  <c r="U305" i="28"/>
  <c r="W565" i="28"/>
  <c r="AC690" i="28"/>
  <c r="AA110" i="28"/>
  <c r="AC107" i="28"/>
  <c r="AC97" i="28" s="1"/>
  <c r="L6" i="28"/>
  <c r="U18" i="28"/>
  <c r="AC496" i="28"/>
  <c r="AC185" i="28"/>
  <c r="AC369" i="28"/>
  <c r="AC357" i="28" s="1"/>
  <c r="AC473" i="28"/>
  <c r="AC461" i="28" s="1"/>
  <c r="AC94" i="28"/>
  <c r="Z382" i="28"/>
  <c r="Z370" i="28" s="1"/>
  <c r="Y370" i="28"/>
  <c r="Y227" i="28"/>
  <c r="AC131" i="28"/>
  <c r="J709" i="28"/>
  <c r="J708" i="28" s="1"/>
  <c r="AA394" i="28"/>
  <c r="Y394" i="28"/>
  <c r="Z394" i="28" s="1"/>
  <c r="AB394" i="28"/>
  <c r="L213" i="28"/>
  <c r="Y305" i="28"/>
  <c r="Z577" i="28"/>
  <c r="Z565" i="28" s="1"/>
  <c r="Y565" i="28"/>
  <c r="Q70" i="28"/>
  <c r="S70" i="28" s="1"/>
  <c r="S58" i="28" s="1"/>
  <c r="J70" i="28"/>
  <c r="K70" i="28" s="1"/>
  <c r="Y460" i="28"/>
  <c r="AB460" i="28"/>
  <c r="AB448" i="28" s="1"/>
  <c r="AA460" i="28"/>
  <c r="AA448" i="28" s="1"/>
  <c r="AB523" i="28"/>
  <c r="AA523" i="28"/>
  <c r="Y523" i="28"/>
  <c r="Z523" i="28" s="1"/>
  <c r="AA698" i="28"/>
  <c r="W698" i="28"/>
  <c r="Y698" i="28"/>
  <c r="Z698" i="28" s="1"/>
  <c r="X698" i="28"/>
  <c r="AB698" i="28"/>
  <c r="Z486" i="28"/>
  <c r="Y474" i="28"/>
  <c r="AA30" i="28"/>
  <c r="Y30" i="28"/>
  <c r="Z30" i="28" s="1"/>
  <c r="AB30" i="28"/>
  <c r="Z29" i="28"/>
  <c r="AC29" i="28" s="1"/>
  <c r="AC459" i="28"/>
  <c r="AC249" i="28"/>
  <c r="Z279" i="28"/>
  <c r="AC291" i="28"/>
  <c r="AC279" i="28" s="1"/>
  <c r="R603" i="28"/>
  <c r="R591" i="28" s="1"/>
  <c r="S591" i="28"/>
  <c r="Y563" i="28"/>
  <c r="Z563" i="28" s="1"/>
  <c r="AB563" i="28"/>
  <c r="AA563" i="28"/>
  <c r="X720" i="28"/>
  <c r="X709" i="28" s="1"/>
  <c r="X708" i="28" s="1"/>
  <c r="AA720" i="28"/>
  <c r="W720" i="28"/>
  <c r="AA497" i="28"/>
  <c r="Y497" i="28"/>
  <c r="Z497" i="28" s="1"/>
  <c r="AB497" i="28"/>
  <c r="AA510" i="28"/>
  <c r="AA500" i="28" s="1"/>
  <c r="AC562" i="28"/>
  <c r="AC719" i="28"/>
  <c r="AC343" i="28"/>
  <c r="AC331" i="28" s="1"/>
  <c r="Y95" i="28"/>
  <c r="Z95" i="28" s="1"/>
  <c r="AB95" i="28"/>
  <c r="AA95" i="28"/>
  <c r="AC17" i="28"/>
  <c r="AB186" i="28"/>
  <c r="AA186" i="28"/>
  <c r="Y186" i="28"/>
  <c r="Z186" i="28" s="1"/>
  <c r="AC330" i="28"/>
  <c r="AC318" i="28" s="1"/>
  <c r="Q252" i="28"/>
  <c r="J252" i="28"/>
  <c r="Q525" i="28"/>
  <c r="R525" i="28" s="1"/>
  <c r="R513" i="28" s="1"/>
  <c r="J525" i="28"/>
  <c r="P700" i="28"/>
  <c r="Q699" i="28"/>
  <c r="U699" i="28" s="1"/>
  <c r="AB538" i="28"/>
  <c r="AB526" i="28" s="1"/>
  <c r="AA538" i="28"/>
  <c r="AA526" i="28" s="1"/>
  <c r="Y538" i="28"/>
  <c r="Y602" i="28"/>
  <c r="Z602" i="28" s="1"/>
  <c r="AB602" i="28"/>
  <c r="AA602" i="28"/>
  <c r="R266" i="28"/>
  <c r="Y522" i="28"/>
  <c r="Z522" i="28" s="1"/>
  <c r="AB522" i="28"/>
  <c r="AA522" i="28"/>
  <c r="AC537" i="28"/>
  <c r="AC601" i="28"/>
  <c r="AC147" i="28"/>
  <c r="AC122" i="28"/>
  <c r="U629" i="28"/>
  <c r="R123" i="28"/>
  <c r="J499" i="28"/>
  <c r="Q499" i="28"/>
  <c r="R499" i="28" s="1"/>
  <c r="R487" i="28" s="1"/>
  <c r="R69" i="28"/>
  <c r="L69" i="28" s="1"/>
  <c r="U69" i="28" s="1"/>
  <c r="AB434" i="28"/>
  <c r="AA434" i="28"/>
  <c r="Y434" i="28"/>
  <c r="AA67" i="28"/>
  <c r="Y67" i="28"/>
  <c r="Z67" i="28" s="1"/>
  <c r="AB67" i="28"/>
  <c r="AB148" i="28"/>
  <c r="AB136" i="28" s="1"/>
  <c r="AA148" i="28"/>
  <c r="AA136" i="28" s="1"/>
  <c r="Y148" i="28"/>
  <c r="AC718" i="28"/>
  <c r="Y613" i="28"/>
  <c r="AA613" i="28"/>
  <c r="AB613" i="28"/>
  <c r="AC132" i="28"/>
  <c r="L422" i="28"/>
  <c r="L564" i="28"/>
  <c r="K552" i="28"/>
  <c r="S721" i="28"/>
  <c r="R721" i="28"/>
  <c r="R709" i="28" s="1"/>
  <c r="R708" i="28" s="1"/>
  <c r="J552" i="28"/>
  <c r="L498" i="28"/>
  <c r="U498" i="28" s="1"/>
  <c r="Z121" i="28"/>
  <c r="AC121" i="28" s="1"/>
  <c r="Y110" i="28"/>
  <c r="R604" i="28"/>
  <c r="AA134" i="28"/>
  <c r="Y134" i="28"/>
  <c r="Z134" i="28" s="1"/>
  <c r="AB134" i="28"/>
  <c r="Z226" i="28"/>
  <c r="Z214" i="28" s="1"/>
  <c r="Y214" i="28"/>
  <c r="R19" i="28"/>
  <c r="R251" i="28"/>
  <c r="L524" i="28"/>
  <c r="U524" i="28" s="1"/>
  <c r="O51" i="17"/>
  <c r="O52" i="17" s="1"/>
  <c r="O56" i="17" s="1"/>
  <c r="O50" i="17"/>
  <c r="F50" i="17"/>
  <c r="O49" i="17"/>
  <c r="O48" i="17"/>
  <c r="F48" i="17"/>
  <c r="S47" i="17"/>
  <c r="O47" i="17"/>
  <c r="F47" i="17"/>
  <c r="AB46" i="17"/>
  <c r="AA46" i="17"/>
  <c r="X46" i="17"/>
  <c r="W46" i="17"/>
  <c r="H45" i="17"/>
  <c r="G45" i="17"/>
  <c r="F41" i="17"/>
  <c r="R40" i="17"/>
  <c r="F40" i="17"/>
  <c r="Q41" i="17" s="1"/>
  <c r="O38" i="17"/>
  <c r="O39" i="17" s="1"/>
  <c r="O37" i="17"/>
  <c r="F37" i="17"/>
  <c r="O36" i="17"/>
  <c r="F36" i="17"/>
  <c r="O35" i="17"/>
  <c r="F35" i="17"/>
  <c r="S34" i="17"/>
  <c r="O34" i="17"/>
  <c r="M34" i="17"/>
  <c r="AB33" i="17"/>
  <c r="AA33" i="17"/>
  <c r="X33" i="17"/>
  <c r="W33" i="17"/>
  <c r="H32" i="17"/>
  <c r="G32" i="17"/>
  <c r="F25" i="17"/>
  <c r="F23" i="17"/>
  <c r="O22" i="17"/>
  <c r="F22" i="17"/>
  <c r="S21" i="17"/>
  <c r="F21" i="17"/>
  <c r="M21" i="17" s="1"/>
  <c r="AB20" i="17"/>
  <c r="X20" i="17"/>
  <c r="AA20" i="17"/>
  <c r="H19" i="17"/>
  <c r="G19" i="17"/>
  <c r="F13" i="17"/>
  <c r="F9" i="17"/>
  <c r="F8" i="17"/>
  <c r="AB6" i="17"/>
  <c r="AA6" i="17"/>
  <c r="O6" i="17"/>
  <c r="N6" i="17"/>
  <c r="H6" i="17"/>
  <c r="G6" i="17"/>
  <c r="Q5" i="17"/>
  <c r="P5" i="17"/>
  <c r="M8" i="17" l="1"/>
  <c r="G5" i="17"/>
  <c r="H5" i="17"/>
  <c r="Y720" i="28"/>
  <c r="Z720" i="28" s="1"/>
  <c r="Z709" i="28" s="1"/>
  <c r="Z708" i="28" s="1"/>
  <c r="Y83" i="28"/>
  <c r="Y68" i="28"/>
  <c r="Z68" i="28" s="1"/>
  <c r="Q48" i="17"/>
  <c r="R48" i="17" s="1"/>
  <c r="M47" i="17"/>
  <c r="L603" i="28"/>
  <c r="L591" i="28" s="1"/>
  <c r="AB304" i="28"/>
  <c r="AB292" i="28" s="1"/>
  <c r="W422" i="28"/>
  <c r="Y304" i="28"/>
  <c r="W370" i="28"/>
  <c r="Q35" i="17"/>
  <c r="R35" i="17" s="1"/>
  <c r="Q36" i="17"/>
  <c r="M41" i="17"/>
  <c r="M32" i="17" s="1"/>
  <c r="Q42" i="17"/>
  <c r="S42" i="17" s="1"/>
  <c r="Q23" i="17"/>
  <c r="R23" i="17" s="1"/>
  <c r="Q22" i="17"/>
  <c r="R22" i="17" s="1"/>
  <c r="O23" i="17"/>
  <c r="O24" i="17" s="1"/>
  <c r="O25" i="17" s="1"/>
  <c r="O26" i="17" s="1"/>
  <c r="O27" i="17" s="1"/>
  <c r="O28" i="17" s="1"/>
  <c r="O29" i="17" s="1"/>
  <c r="O30" i="17" s="1"/>
  <c r="O31" i="17" s="1"/>
  <c r="AA422" i="28"/>
  <c r="AC433" i="28"/>
  <c r="W69" i="28"/>
  <c r="L552" i="28"/>
  <c r="U564" i="28"/>
  <c r="Y564" i="28" s="1"/>
  <c r="AB422" i="28"/>
  <c r="K58" i="28"/>
  <c r="AC317" i="28"/>
  <c r="AC305" i="28" s="1"/>
  <c r="W18" i="28"/>
  <c r="X6" i="28"/>
  <c r="U603" i="28"/>
  <c r="W510" i="28"/>
  <c r="W500" i="28" s="1"/>
  <c r="U500" i="28"/>
  <c r="W83" i="28"/>
  <c r="W71" i="28" s="1"/>
  <c r="X71" i="28"/>
  <c r="U71" i="28"/>
  <c r="W277" i="28"/>
  <c r="W266" i="28" s="1"/>
  <c r="U266" i="28"/>
  <c r="W133" i="28"/>
  <c r="W123" i="28" s="1"/>
  <c r="U123" i="28"/>
  <c r="W68" i="28"/>
  <c r="W524" i="28"/>
  <c r="W498" i="28"/>
  <c r="AB83" i="28"/>
  <c r="AB71" i="28" s="1"/>
  <c r="AC577" i="28"/>
  <c r="AC565" i="28" s="1"/>
  <c r="AB510" i="28"/>
  <c r="AB500" i="28" s="1"/>
  <c r="W356" i="28"/>
  <c r="W344" i="28" s="1"/>
  <c r="U344" i="28"/>
  <c r="AB356" i="28"/>
  <c r="AB344" i="28" s="1"/>
  <c r="Y356" i="28"/>
  <c r="AA356" i="28"/>
  <c r="AA344" i="28" s="1"/>
  <c r="AC586" i="28"/>
  <c r="AC578" i="28" s="1"/>
  <c r="AC381" i="28"/>
  <c r="L721" i="28"/>
  <c r="L201" i="28"/>
  <c r="U213" i="28"/>
  <c r="AA68" i="28"/>
  <c r="W31" i="28"/>
  <c r="W19" i="28" s="1"/>
  <c r="X19" i="28"/>
  <c r="U19" i="28"/>
  <c r="W304" i="28"/>
  <c r="W292" i="28" s="1"/>
  <c r="U292" i="28"/>
  <c r="W212" i="28"/>
  <c r="AA212" i="28"/>
  <c r="AB212" i="28"/>
  <c r="W614" i="28"/>
  <c r="W604" i="28" s="1"/>
  <c r="U604" i="28"/>
  <c r="AA679" i="28"/>
  <c r="AA678" i="28" s="1"/>
  <c r="Y679" i="28"/>
  <c r="X679" i="28"/>
  <c r="X678" i="28" s="1"/>
  <c r="W679" i="28"/>
  <c r="W678" i="28" s="1"/>
  <c r="AB679" i="28"/>
  <c r="AB678" i="28" s="1"/>
  <c r="AC239" i="28"/>
  <c r="AC227" i="28" s="1"/>
  <c r="U6" i="28"/>
  <c r="Y18" i="28"/>
  <c r="Y6" i="28" s="1"/>
  <c r="AC226" i="28"/>
  <c r="AC214" i="28" s="1"/>
  <c r="AC602" i="28"/>
  <c r="Y31" i="28"/>
  <c r="AB31" i="28"/>
  <c r="AB19" i="28" s="1"/>
  <c r="AA31" i="28"/>
  <c r="AA19" i="28" s="1"/>
  <c r="AB614" i="28"/>
  <c r="AB604" i="28" s="1"/>
  <c r="AA614" i="28"/>
  <c r="AA604" i="28" s="1"/>
  <c r="Y614" i="28"/>
  <c r="Z614" i="28" s="1"/>
  <c r="Z148" i="28"/>
  <c r="Z136" i="28" s="1"/>
  <c r="Y136" i="28"/>
  <c r="Y498" i="28"/>
  <c r="Z498" i="28" s="1"/>
  <c r="AA498" i="28"/>
  <c r="AB498" i="28"/>
  <c r="K525" i="28"/>
  <c r="J513" i="28"/>
  <c r="AC95" i="28"/>
  <c r="AC30" i="28"/>
  <c r="Z460" i="28"/>
  <c r="Z448" i="28" s="1"/>
  <c r="Y448" i="28"/>
  <c r="R70" i="28"/>
  <c r="R58" i="28" s="1"/>
  <c r="K708" i="28"/>
  <c r="Z304" i="28"/>
  <c r="Z292" i="28" s="1"/>
  <c r="Y292" i="28"/>
  <c r="AC134" i="28"/>
  <c r="AC148" i="28"/>
  <c r="AC136" i="28" s="1"/>
  <c r="L251" i="28"/>
  <c r="AB133" i="28"/>
  <c r="AA133" i="28"/>
  <c r="Y133" i="28"/>
  <c r="Z133" i="28" s="1"/>
  <c r="Y277" i="28"/>
  <c r="AB277" i="28"/>
  <c r="AB266" i="28" s="1"/>
  <c r="AA277" i="28"/>
  <c r="AA266" i="28" s="1"/>
  <c r="Y524" i="28"/>
  <c r="Z524" i="28" s="1"/>
  <c r="AB524" i="28"/>
  <c r="AA524" i="28"/>
  <c r="Z510" i="28"/>
  <c r="Z500" i="28" s="1"/>
  <c r="Y500" i="28"/>
  <c r="AC497" i="28"/>
  <c r="Y135" i="28"/>
  <c r="AB135" i="28"/>
  <c r="AA135" i="28"/>
  <c r="AA123" i="28" s="1"/>
  <c r="AC394" i="28"/>
  <c r="W6" i="28"/>
  <c r="AA603" i="28"/>
  <c r="AA591" i="28" s="1"/>
  <c r="AC67" i="28"/>
  <c r="AB187" i="28"/>
  <c r="AB175" i="28" s="1"/>
  <c r="AA187" i="28"/>
  <c r="AA175" i="28" s="1"/>
  <c r="Y187" i="28"/>
  <c r="O5" i="28"/>
  <c r="Z538" i="28"/>
  <c r="Z526" i="28" s="1"/>
  <c r="Y526" i="28"/>
  <c r="AB699" i="28"/>
  <c r="X699" i="28"/>
  <c r="Y699" i="28"/>
  <c r="Z699" i="28" s="1"/>
  <c r="W699" i="28"/>
  <c r="AA699" i="28"/>
  <c r="K252" i="28"/>
  <c r="J240" i="28"/>
  <c r="AC186" i="28"/>
  <c r="AC563" i="28"/>
  <c r="Z110" i="28"/>
  <c r="AC523" i="28"/>
  <c r="AA250" i="28"/>
  <c r="Y250" i="28"/>
  <c r="Z250" i="28" s="1"/>
  <c r="AB250" i="28"/>
  <c r="F58" i="28"/>
  <c r="AC382" i="28"/>
  <c r="S709" i="28"/>
  <c r="S708" i="28" s="1"/>
  <c r="Z613" i="28"/>
  <c r="AC613" i="28" s="1"/>
  <c r="Z434" i="28"/>
  <c r="Z422" i="28" s="1"/>
  <c r="Y422" i="28"/>
  <c r="Y96" i="28"/>
  <c r="AB96" i="28"/>
  <c r="AB84" i="28" s="1"/>
  <c r="AA96" i="28"/>
  <c r="AA84" i="28" s="1"/>
  <c r="K499" i="28"/>
  <c r="J487" i="28"/>
  <c r="AC110" i="28"/>
  <c r="AC522" i="28"/>
  <c r="P701" i="28"/>
  <c r="Q700" i="28"/>
  <c r="U700" i="28" s="1"/>
  <c r="S240" i="28"/>
  <c r="R252" i="28"/>
  <c r="Z83" i="28"/>
  <c r="Z71" i="28" s="1"/>
  <c r="Y71" i="28"/>
  <c r="AA395" i="28"/>
  <c r="AA383" i="28" s="1"/>
  <c r="Y395" i="28"/>
  <c r="AB395" i="28"/>
  <c r="AB383" i="28" s="1"/>
  <c r="Z474" i="28"/>
  <c r="AC486" i="28"/>
  <c r="AC474" i="28" s="1"/>
  <c r="AC698" i="28"/>
  <c r="J58" i="28"/>
  <c r="AA213" i="28"/>
  <c r="AA201" i="28" s="1"/>
  <c r="Y213" i="28"/>
  <c r="F11" i="17"/>
  <c r="Q10" i="17"/>
  <c r="Q9" i="17"/>
  <c r="S9" i="17" s="1"/>
  <c r="O41" i="17"/>
  <c r="F38" i="17"/>
  <c r="S40" i="17"/>
  <c r="F16" i="17"/>
  <c r="N5" i="17"/>
  <c r="F14" i="17"/>
  <c r="R8" i="17"/>
  <c r="X7" i="17"/>
  <c r="W7" i="17"/>
  <c r="Q13" i="17"/>
  <c r="O43" i="17"/>
  <c r="F10" i="17"/>
  <c r="F18" i="17"/>
  <c r="AC33" i="17"/>
  <c r="R34" i="17"/>
  <c r="O40" i="17"/>
  <c r="F42" i="17"/>
  <c r="Q43" i="17" s="1"/>
  <c r="AC46" i="17"/>
  <c r="R47" i="17"/>
  <c r="Q49" i="17"/>
  <c r="F51" i="17"/>
  <c r="O53" i="17"/>
  <c r="O54" i="17"/>
  <c r="F17" i="17"/>
  <c r="F26" i="17"/>
  <c r="O42" i="17"/>
  <c r="O44" i="17"/>
  <c r="O55" i="17"/>
  <c r="O57" i="17"/>
  <c r="F15" i="17"/>
  <c r="W20" i="17"/>
  <c r="U8" i="17" l="1"/>
  <c r="AC7" i="17"/>
  <c r="U47" i="17"/>
  <c r="S48" i="17"/>
  <c r="AC720" i="28"/>
  <c r="AC709" i="28" s="1"/>
  <c r="AC708" i="28" s="1"/>
  <c r="AC304" i="28"/>
  <c r="AC292" i="28" s="1"/>
  <c r="AC212" i="28"/>
  <c r="S35" i="17"/>
  <c r="U35" i="17" s="1"/>
  <c r="Q24" i="17"/>
  <c r="R24" i="17" s="1"/>
  <c r="AB123" i="28"/>
  <c r="Z18" i="28"/>
  <c r="Z6" i="28" s="1"/>
  <c r="Q37" i="17"/>
  <c r="R9" i="17"/>
  <c r="U9" i="17" s="1"/>
  <c r="Q38" i="17"/>
  <c r="Q39" i="17"/>
  <c r="S39" i="17" s="1"/>
  <c r="AC370" i="28"/>
  <c r="AC68" i="28"/>
  <c r="U721" i="28"/>
  <c r="Y721" i="28" s="1"/>
  <c r="Y709" i="28" s="1"/>
  <c r="Y708" i="28" s="1"/>
  <c r="L709" i="28"/>
  <c r="L708" i="28" s="1"/>
  <c r="W564" i="28"/>
  <c r="W552" i="28" s="1"/>
  <c r="U552" i="28"/>
  <c r="F5" i="28"/>
  <c r="W603" i="28"/>
  <c r="W591" i="28" s="1"/>
  <c r="U591" i="28"/>
  <c r="AB603" i="28"/>
  <c r="AB591" i="28" s="1"/>
  <c r="U251" i="28"/>
  <c r="W213" i="28"/>
  <c r="W201" i="28" s="1"/>
  <c r="U201" i="28"/>
  <c r="Z356" i="28"/>
  <c r="Z344" i="28" s="1"/>
  <c r="Y344" i="28"/>
  <c r="L70" i="28"/>
  <c r="AB213" i="28"/>
  <c r="AB201" i="28" s="1"/>
  <c r="Y604" i="28"/>
  <c r="Y603" i="28"/>
  <c r="Z603" i="28" s="1"/>
  <c r="Z591" i="28" s="1"/>
  <c r="AA564" i="28"/>
  <c r="AA552" i="28" s="1"/>
  <c r="J5" i="28"/>
  <c r="AB564" i="28"/>
  <c r="AB552" i="28" s="1"/>
  <c r="Z679" i="28"/>
  <c r="Y678" i="28"/>
  <c r="AC524" i="28"/>
  <c r="AC538" i="28"/>
  <c r="AC526" i="28" s="1"/>
  <c r="AC18" i="28"/>
  <c r="AC6" i="28" s="1"/>
  <c r="R240" i="28"/>
  <c r="R5" i="28" s="1"/>
  <c r="L252" i="28"/>
  <c r="K240" i="28"/>
  <c r="AC699" i="28"/>
  <c r="Z187" i="28"/>
  <c r="Z175" i="28" s="1"/>
  <c r="Y175" i="28"/>
  <c r="Z135" i="28"/>
  <c r="Z123" i="28" s="1"/>
  <c r="Y123" i="28"/>
  <c r="S5" i="28"/>
  <c r="AC460" i="28"/>
  <c r="AC448" i="28" s="1"/>
  <c r="AC83" i="28"/>
  <c r="AC71" i="28" s="1"/>
  <c r="AC498" i="28"/>
  <c r="AC614" i="28"/>
  <c r="AC604" i="28" s="1"/>
  <c r="L499" i="28"/>
  <c r="K487" i="28"/>
  <c r="Y69" i="28"/>
  <c r="Z69" i="28" s="1"/>
  <c r="AB69" i="28"/>
  <c r="AA69" i="28"/>
  <c r="Z564" i="28"/>
  <c r="Z552" i="28" s="1"/>
  <c r="Y552" i="28"/>
  <c r="AC434" i="28"/>
  <c r="AC422" i="28" s="1"/>
  <c r="Z604" i="28"/>
  <c r="Z395" i="28"/>
  <c r="Z383" i="28" s="1"/>
  <c r="Y383" i="28"/>
  <c r="AB700" i="28"/>
  <c r="X700" i="28"/>
  <c r="W700" i="28"/>
  <c r="AA700" i="28"/>
  <c r="Y700" i="28"/>
  <c r="Z700" i="28" s="1"/>
  <c r="AC510" i="28"/>
  <c r="AC500" i="28" s="1"/>
  <c r="L525" i="28"/>
  <c r="K513" i="28"/>
  <c r="Z213" i="28"/>
  <c r="Z201" i="28" s="1"/>
  <c r="Y201" i="28"/>
  <c r="P702" i="28"/>
  <c r="Q701" i="28"/>
  <c r="U701" i="28" s="1"/>
  <c r="Z96" i="28"/>
  <c r="Z84" i="28" s="1"/>
  <c r="Y84" i="28"/>
  <c r="AC250" i="28"/>
  <c r="Z277" i="28"/>
  <c r="Z266" i="28" s="1"/>
  <c r="Y266" i="28"/>
  <c r="AC133" i="28"/>
  <c r="Z31" i="28"/>
  <c r="Z19" i="28" s="1"/>
  <c r="Y19" i="28"/>
  <c r="Y47" i="17"/>
  <c r="Q11" i="17"/>
  <c r="Q12" i="17"/>
  <c r="U40" i="17"/>
  <c r="U21" i="17"/>
  <c r="Y21" i="17" s="1"/>
  <c r="U48" i="17"/>
  <c r="U34" i="17"/>
  <c r="Y34" i="17" s="1"/>
  <c r="R42" i="17"/>
  <c r="U42" i="17" s="1"/>
  <c r="M15" i="17"/>
  <c r="M6" i="17" s="1"/>
  <c r="R10" i="17"/>
  <c r="S10" i="17"/>
  <c r="Q50" i="17"/>
  <c r="F43" i="17"/>
  <c r="Q44" i="17" s="1"/>
  <c r="S23" i="17"/>
  <c r="Q14" i="17"/>
  <c r="S22" i="17"/>
  <c r="O45" i="17"/>
  <c r="F6" i="17"/>
  <c r="F52" i="17"/>
  <c r="Q53" i="17" s="1"/>
  <c r="S41" i="17"/>
  <c r="R41" i="17"/>
  <c r="F27" i="17"/>
  <c r="S36" i="17"/>
  <c r="R36" i="17"/>
  <c r="O32" i="17"/>
  <c r="Q25" i="17"/>
  <c r="R25" i="17" s="1"/>
  <c r="F94" i="22"/>
  <c r="Y48" i="17" l="1"/>
  <c r="Z48" i="17" s="1"/>
  <c r="Y42" i="17"/>
  <c r="Z42" i="17" s="1"/>
  <c r="Y35" i="17"/>
  <c r="Z35" i="17" s="1"/>
  <c r="Y40" i="17"/>
  <c r="Z40" i="17" s="1"/>
  <c r="Y9" i="17"/>
  <c r="Z9" i="17" s="1"/>
  <c r="Y8" i="17"/>
  <c r="Z8" i="17" s="1"/>
  <c r="Z34" i="17"/>
  <c r="Z47" i="17"/>
  <c r="Z21" i="17"/>
  <c r="R39" i="17"/>
  <c r="U39" i="17" s="1"/>
  <c r="U10" i="17"/>
  <c r="W10" i="17" s="1"/>
  <c r="X9" i="17"/>
  <c r="AB40" i="17"/>
  <c r="W35" i="17"/>
  <c r="AA35" i="17"/>
  <c r="AB35" i="17"/>
  <c r="X35" i="17"/>
  <c r="Y591" i="28"/>
  <c r="W9" i="17"/>
  <c r="AC20" i="17"/>
  <c r="W40" i="17"/>
  <c r="W251" i="28"/>
  <c r="AB251" i="28"/>
  <c r="AA251" i="28"/>
  <c r="L487" i="28"/>
  <c r="U499" i="28"/>
  <c r="L513" i="28"/>
  <c r="U525" i="28"/>
  <c r="U70" i="28"/>
  <c r="L58" i="28"/>
  <c r="Y251" i="28"/>
  <c r="Z251" i="28" s="1"/>
  <c r="L240" i="28"/>
  <c r="U252" i="28"/>
  <c r="AC356" i="28"/>
  <c r="AC344" i="28" s="1"/>
  <c r="U709" i="28"/>
  <c r="U708" i="28" s="1"/>
  <c r="AB721" i="28"/>
  <c r="AB709" i="28" s="1"/>
  <c r="AB708" i="28" s="1"/>
  <c r="AA721" i="28"/>
  <c r="AA709" i="28" s="1"/>
  <c r="AA708" i="28" s="1"/>
  <c r="W721" i="28"/>
  <c r="W709" i="28" s="1"/>
  <c r="W708" i="28" s="1"/>
  <c r="AC679" i="28"/>
  <c r="AC678" i="28" s="1"/>
  <c r="Z678" i="28"/>
  <c r="AC277" i="28"/>
  <c r="AC266" i="28" s="1"/>
  <c r="AC69" i="28"/>
  <c r="AC187" i="28"/>
  <c r="AC175" i="28" s="1"/>
  <c r="AC96" i="28"/>
  <c r="AC84" i="28" s="1"/>
  <c r="AC395" i="28"/>
  <c r="AC383" i="28" s="1"/>
  <c r="AC603" i="28"/>
  <c r="AC591" i="28" s="1"/>
  <c r="AC31" i="28"/>
  <c r="AC19" i="28" s="1"/>
  <c r="K5" i="28"/>
  <c r="Y499" i="28"/>
  <c r="Y701" i="28"/>
  <c r="Z701" i="28" s="1"/>
  <c r="AB701" i="28"/>
  <c r="W701" i="28"/>
  <c r="AA701" i="28"/>
  <c r="X701" i="28"/>
  <c r="AC700" i="28"/>
  <c r="AC213" i="28"/>
  <c r="AC201" i="28" s="1"/>
  <c r="P703" i="28"/>
  <c r="Q703" i="28" s="1"/>
  <c r="U703" i="28" s="1"/>
  <c r="Q702" i="28"/>
  <c r="U702" i="28" s="1"/>
  <c r="AC564" i="28"/>
  <c r="AC552" i="28" s="1"/>
  <c r="AC135" i="28"/>
  <c r="AC123" i="28" s="1"/>
  <c r="Y252" i="28"/>
  <c r="AB252" i="28"/>
  <c r="AA252" i="28"/>
  <c r="J6" i="17"/>
  <c r="J5" i="17" s="1"/>
  <c r="K6" i="17"/>
  <c r="K5" i="17" s="1"/>
  <c r="X40" i="17"/>
  <c r="AA40" i="17"/>
  <c r="U23" i="17"/>
  <c r="U36" i="17"/>
  <c r="U41" i="17"/>
  <c r="U22" i="17"/>
  <c r="S12" i="17"/>
  <c r="R12" i="17"/>
  <c r="R37" i="17"/>
  <c r="S37" i="17"/>
  <c r="F28" i="17"/>
  <c r="M28" i="17" s="1"/>
  <c r="M19" i="17" s="1"/>
  <c r="F29" i="17"/>
  <c r="S11" i="17"/>
  <c r="R11" i="17"/>
  <c r="S49" i="17"/>
  <c r="R49" i="17"/>
  <c r="W42" i="17"/>
  <c r="AA42" i="17"/>
  <c r="AB42" i="17"/>
  <c r="X42" i="17"/>
  <c r="AA48" i="17"/>
  <c r="W48" i="17"/>
  <c r="AB48" i="17"/>
  <c r="X48" i="17"/>
  <c r="AB21" i="17"/>
  <c r="X21" i="17"/>
  <c r="AA21" i="17"/>
  <c r="W21" i="17"/>
  <c r="S24" i="17"/>
  <c r="F56" i="17"/>
  <c r="Q57" i="17" s="1"/>
  <c r="F54" i="17"/>
  <c r="F57" i="17"/>
  <c r="F55" i="17"/>
  <c r="Q56" i="17" s="1"/>
  <c r="F53" i="17"/>
  <c r="Q54" i="17" s="1"/>
  <c r="X8" i="17"/>
  <c r="W8" i="17"/>
  <c r="Q15" i="17"/>
  <c r="F44" i="17"/>
  <c r="F32" i="17" s="1"/>
  <c r="S43" i="17"/>
  <c r="R43" i="17"/>
  <c r="Q26" i="17"/>
  <c r="R26" i="17" s="1"/>
  <c r="S38" i="17"/>
  <c r="R38" i="17"/>
  <c r="AB47" i="17"/>
  <c r="X47" i="17"/>
  <c r="AA47" i="17"/>
  <c r="W47" i="17"/>
  <c r="AB34" i="17"/>
  <c r="X34" i="17"/>
  <c r="AA34" i="17"/>
  <c r="W34" i="17"/>
  <c r="R13" i="17"/>
  <c r="S13" i="17"/>
  <c r="Q51" i="17"/>
  <c r="L52" i="27"/>
  <c r="L51" i="27" s="1"/>
  <c r="I51" i="27"/>
  <c r="U29" i="6"/>
  <c r="Y41" i="17" l="1"/>
  <c r="Z41" i="17" s="1"/>
  <c r="Y39" i="17"/>
  <c r="Z39" i="17" s="1"/>
  <c r="Y36" i="17"/>
  <c r="Z36" i="17" s="1"/>
  <c r="Y23" i="17"/>
  <c r="Z23" i="17" s="1"/>
  <c r="Y22" i="17"/>
  <c r="Y10" i="17"/>
  <c r="Z10" i="17" s="1"/>
  <c r="X36" i="17"/>
  <c r="AB23" i="17"/>
  <c r="X10" i="17"/>
  <c r="AC35" i="17"/>
  <c r="W22" i="17"/>
  <c r="X23" i="17"/>
  <c r="AB39" i="17"/>
  <c r="AA41" i="17"/>
  <c r="AA36" i="17"/>
  <c r="AB240" i="28"/>
  <c r="L5" i="28"/>
  <c r="F19" i="22" s="1"/>
  <c r="AB22" i="17"/>
  <c r="U691" i="28"/>
  <c r="M54" i="17"/>
  <c r="M45" i="17" s="1"/>
  <c r="Q55" i="17"/>
  <c r="U37" i="17"/>
  <c r="AC40" i="17"/>
  <c r="W525" i="28"/>
  <c r="W513" i="28" s="1"/>
  <c r="U513" i="28"/>
  <c r="AA525" i="28"/>
  <c r="AA513" i="28" s="1"/>
  <c r="Y525" i="28"/>
  <c r="AB525" i="28"/>
  <c r="AB513" i="28" s="1"/>
  <c r="AA240" i="28"/>
  <c r="W499" i="28"/>
  <c r="W487" i="28" s="1"/>
  <c r="U487" i="28"/>
  <c r="AB499" i="28"/>
  <c r="AB487" i="28" s="1"/>
  <c r="AA499" i="28"/>
  <c r="AA487" i="28" s="1"/>
  <c r="AC251" i="28"/>
  <c r="W252" i="28"/>
  <c r="W240" i="28" s="1"/>
  <c r="U240" i="28"/>
  <c r="W70" i="28"/>
  <c r="W58" i="28" s="1"/>
  <c r="X58" i="28"/>
  <c r="U58" i="28"/>
  <c r="AB70" i="28"/>
  <c r="AB58" i="28" s="1"/>
  <c r="AB5" i="28" s="1"/>
  <c r="AA70" i="28"/>
  <c r="AA58" i="28" s="1"/>
  <c r="Y70" i="28"/>
  <c r="AC701" i="28"/>
  <c r="Z252" i="28"/>
  <c r="Z240" i="28" s="1"/>
  <c r="Y240" i="28"/>
  <c r="AA702" i="28"/>
  <c r="W702" i="28"/>
  <c r="AB702" i="28"/>
  <c r="Y702" i="28"/>
  <c r="Z702" i="28" s="1"/>
  <c r="X702" i="28"/>
  <c r="AA703" i="28"/>
  <c r="W703" i="28"/>
  <c r="AB703" i="28"/>
  <c r="X703" i="28"/>
  <c r="X691" i="28" s="1"/>
  <c r="X677" i="28" s="1"/>
  <c r="Y703" i="28"/>
  <c r="U677" i="28"/>
  <c r="Z499" i="28"/>
  <c r="Y487" i="28"/>
  <c r="W39" i="17"/>
  <c r="AA23" i="17"/>
  <c r="U38" i="17"/>
  <c r="W23" i="17"/>
  <c r="AA22" i="17"/>
  <c r="U12" i="17"/>
  <c r="AB36" i="17"/>
  <c r="W36" i="17"/>
  <c r="X39" i="17"/>
  <c r="AA39" i="17"/>
  <c r="U13" i="17"/>
  <c r="U11" i="17"/>
  <c r="X41" i="17"/>
  <c r="X22" i="17"/>
  <c r="W41" i="17"/>
  <c r="AB41" i="17"/>
  <c r="U43" i="17"/>
  <c r="U49" i="17"/>
  <c r="Y49" i="17" s="1"/>
  <c r="U24" i="17"/>
  <c r="AC48" i="17"/>
  <c r="Q27" i="17"/>
  <c r="R27" i="17" s="1"/>
  <c r="Q16" i="17"/>
  <c r="AC21" i="17"/>
  <c r="AC42" i="17"/>
  <c r="Q52" i="17"/>
  <c r="R44" i="17"/>
  <c r="S44" i="17"/>
  <c r="S32" i="17" s="1"/>
  <c r="S25" i="17"/>
  <c r="F45" i="17"/>
  <c r="S14" i="17"/>
  <c r="R14" i="17"/>
  <c r="F30" i="17"/>
  <c r="S50" i="17"/>
  <c r="R50" i="17"/>
  <c r="AC34" i="17"/>
  <c r="R53" i="17"/>
  <c r="S53" i="17"/>
  <c r="G54" i="22"/>
  <c r="H54" i="22" s="1"/>
  <c r="Y37" i="17" l="1"/>
  <c r="Z37" i="17" s="1"/>
  <c r="Y38" i="17"/>
  <c r="Z38" i="17" s="1"/>
  <c r="Y43" i="17"/>
  <c r="Z43" i="17" s="1"/>
  <c r="Y24" i="17"/>
  <c r="Z24" i="17" s="1"/>
  <c r="Z22" i="17"/>
  <c r="AC22" i="17" s="1"/>
  <c r="Y11" i="17"/>
  <c r="Z11" i="17" s="1"/>
  <c r="Y13" i="17"/>
  <c r="Z13" i="17" s="1"/>
  <c r="Y12" i="17"/>
  <c r="Z12" i="17" s="1"/>
  <c r="AC10" i="17"/>
  <c r="Z49" i="17"/>
  <c r="W12" i="17"/>
  <c r="X24" i="17"/>
  <c r="AB43" i="17"/>
  <c r="W13" i="17"/>
  <c r="AB38" i="17"/>
  <c r="X37" i="17"/>
  <c r="X12" i="17"/>
  <c r="W37" i="17"/>
  <c r="W38" i="17"/>
  <c r="AA38" i="17"/>
  <c r="X38" i="17"/>
  <c r="AB691" i="28"/>
  <c r="AB677" i="28" s="1"/>
  <c r="W5" i="28"/>
  <c r="U5" i="28"/>
  <c r="AB37" i="17"/>
  <c r="AA37" i="17"/>
  <c r="AC8" i="17"/>
  <c r="AC9" i="17"/>
  <c r="AA5" i="28"/>
  <c r="Z70" i="28"/>
  <c r="Y58" i="28"/>
  <c r="Y5" i="28" s="1"/>
  <c r="X5" i="28"/>
  <c r="Z525" i="28"/>
  <c r="Y513" i="28"/>
  <c r="AA691" i="28"/>
  <c r="AA677" i="28" s="1"/>
  <c r="AC23" i="17"/>
  <c r="AC252" i="28"/>
  <c r="AC240" i="28" s="1"/>
  <c r="W691" i="28"/>
  <c r="W677" i="28" s="1"/>
  <c r="Z703" i="28"/>
  <c r="Z691" i="28" s="1"/>
  <c r="Z677" i="28" s="1"/>
  <c r="Y691" i="28"/>
  <c r="Y677" i="28" s="1"/>
  <c r="AC702" i="28"/>
  <c r="Z487" i="28"/>
  <c r="AC499" i="28"/>
  <c r="AC487" i="28" s="1"/>
  <c r="AC41" i="17"/>
  <c r="AC39" i="17"/>
  <c r="X13" i="17"/>
  <c r="AB24" i="17"/>
  <c r="W43" i="17"/>
  <c r="U14" i="17"/>
  <c r="U44" i="17"/>
  <c r="AA43" i="17"/>
  <c r="R32" i="17"/>
  <c r="X43" i="17"/>
  <c r="U53" i="17"/>
  <c r="U50" i="17"/>
  <c r="W24" i="17"/>
  <c r="AA24" i="17"/>
  <c r="U25" i="17"/>
  <c r="S56" i="17"/>
  <c r="R56" i="17"/>
  <c r="Q17" i="17"/>
  <c r="S26" i="17"/>
  <c r="S52" i="17"/>
  <c r="R52" i="17"/>
  <c r="R57" i="17"/>
  <c r="S57" i="17"/>
  <c r="S54" i="17"/>
  <c r="R54" i="17"/>
  <c r="AA49" i="17"/>
  <c r="W49" i="17"/>
  <c r="AB49" i="17"/>
  <c r="X49" i="17"/>
  <c r="Q28" i="17"/>
  <c r="R28" i="17" s="1"/>
  <c r="X11" i="17"/>
  <c r="W11" i="17"/>
  <c r="S15" i="17"/>
  <c r="R15" i="17"/>
  <c r="F31" i="17"/>
  <c r="F19" i="17" s="1"/>
  <c r="S55" i="17"/>
  <c r="R55" i="17"/>
  <c r="R51" i="17"/>
  <c r="S51" i="17"/>
  <c r="AC47" i="17"/>
  <c r="L10" i="4"/>
  <c r="L13" i="27"/>
  <c r="G11" i="22"/>
  <c r="H11" i="22" s="1"/>
  <c r="G16" i="22"/>
  <c r="H16" i="22" s="1"/>
  <c r="G18" i="22"/>
  <c r="H18" i="22" s="1"/>
  <c r="G19" i="22"/>
  <c r="H19" i="22" s="1"/>
  <c r="G22" i="22"/>
  <c r="H22" i="22" s="1"/>
  <c r="G24" i="22"/>
  <c r="H24" i="22" s="1"/>
  <c r="G25" i="22"/>
  <c r="H25" i="22" s="1"/>
  <c r="G31" i="22"/>
  <c r="H31" i="22" s="1"/>
  <c r="G32" i="22"/>
  <c r="H32" i="22" s="1"/>
  <c r="G34" i="22"/>
  <c r="H34" i="22" s="1"/>
  <c r="G35" i="22"/>
  <c r="H35" i="22" s="1"/>
  <c r="G36" i="22"/>
  <c r="H36" i="22" s="1"/>
  <c r="G37" i="22"/>
  <c r="H37" i="22" s="1"/>
  <c r="G39" i="22"/>
  <c r="H39" i="22" s="1"/>
  <c r="G41" i="22"/>
  <c r="H41" i="22" s="1"/>
  <c r="G42" i="22"/>
  <c r="H42" i="22" s="1"/>
  <c r="G43" i="22"/>
  <c r="H43" i="22" s="1"/>
  <c r="G44" i="22"/>
  <c r="H44" i="22" s="1"/>
  <c r="G46" i="22"/>
  <c r="H46" i="22" s="1"/>
  <c r="G49" i="22"/>
  <c r="H50" i="22"/>
  <c r="G51" i="22"/>
  <c r="H51" i="22" s="1"/>
  <c r="G56" i="22"/>
  <c r="H56" i="22" s="1"/>
  <c r="G57" i="22"/>
  <c r="H57" i="22" s="1"/>
  <c r="G58" i="22"/>
  <c r="H58" i="22" s="1"/>
  <c r="G59" i="22"/>
  <c r="H59" i="22" s="1"/>
  <c r="G60" i="22"/>
  <c r="H60" i="22" s="1"/>
  <c r="G61" i="22"/>
  <c r="H61" i="22" s="1"/>
  <c r="G62" i="22"/>
  <c r="H62" i="22" s="1"/>
  <c r="G63" i="22"/>
  <c r="H63" i="22" s="1"/>
  <c r="G64" i="22"/>
  <c r="H64" i="22" s="1"/>
  <c r="G66" i="22"/>
  <c r="H66" i="22" s="1"/>
  <c r="G67" i="22"/>
  <c r="H67" i="22" s="1"/>
  <c r="G68" i="22"/>
  <c r="H68" i="22" s="1"/>
  <c r="G69" i="22"/>
  <c r="H69" i="22" s="1"/>
  <c r="G70" i="22"/>
  <c r="H70" i="22" s="1"/>
  <c r="G71" i="22"/>
  <c r="H71" i="22" s="1"/>
  <c r="G72" i="22"/>
  <c r="H72" i="22" s="1"/>
  <c r="G73" i="22"/>
  <c r="H73" i="22" s="1"/>
  <c r="G74" i="22"/>
  <c r="H74" i="22" s="1"/>
  <c r="G75" i="22"/>
  <c r="H75" i="22" s="1"/>
  <c r="G77" i="22"/>
  <c r="H77" i="22" s="1"/>
  <c r="G78" i="22"/>
  <c r="H78" i="22" s="1"/>
  <c r="G79" i="22"/>
  <c r="H79" i="22" s="1"/>
  <c r="G80" i="22"/>
  <c r="H80" i="22" s="1"/>
  <c r="G82" i="22"/>
  <c r="H82" i="22" s="1"/>
  <c r="G84" i="22"/>
  <c r="H84" i="22" s="1"/>
  <c r="G86" i="22"/>
  <c r="H86" i="22" s="1"/>
  <c r="G88" i="22"/>
  <c r="H88" i="22" s="1"/>
  <c r="G91" i="22"/>
  <c r="H91" i="22" s="1"/>
  <c r="G94" i="22"/>
  <c r="H94" i="22" s="1"/>
  <c r="G95" i="22"/>
  <c r="H95" i="22" s="1"/>
  <c r="G97" i="22"/>
  <c r="H97" i="22" s="1"/>
  <c r="G22" i="8"/>
  <c r="H22" i="8" s="1"/>
  <c r="G23" i="8"/>
  <c r="H23" i="8" s="1"/>
  <c r="G24" i="8"/>
  <c r="H24" i="8" s="1"/>
  <c r="G25" i="8"/>
  <c r="H25" i="8" s="1"/>
  <c r="G29" i="8"/>
  <c r="H29" i="8" s="1"/>
  <c r="G32" i="8"/>
  <c r="H32" i="8" s="1"/>
  <c r="G34" i="8"/>
  <c r="H34" i="8" s="1"/>
  <c r="G35" i="8"/>
  <c r="H35" i="8" s="1"/>
  <c r="G36" i="8"/>
  <c r="H36" i="8" s="1"/>
  <c r="G37" i="8"/>
  <c r="H37" i="8" s="1"/>
  <c r="G39" i="8"/>
  <c r="G40" i="8"/>
  <c r="H40" i="8" s="1"/>
  <c r="G41" i="8"/>
  <c r="H41" i="8" s="1"/>
  <c r="G42" i="8"/>
  <c r="H42" i="8" s="1"/>
  <c r="G43" i="8"/>
  <c r="H43" i="8" s="1"/>
  <c r="G44" i="8"/>
  <c r="H44" i="8" s="1"/>
  <c r="G47" i="8"/>
  <c r="H47" i="8" s="1"/>
  <c r="G48" i="8"/>
  <c r="H48" i="8" s="1"/>
  <c r="G49" i="8"/>
  <c r="H49" i="8" s="1"/>
  <c r="G52" i="8"/>
  <c r="H52" i="8" s="1"/>
  <c r="G53" i="8"/>
  <c r="H53" i="8" s="1"/>
  <c r="G55" i="8"/>
  <c r="H55" i="8" s="1"/>
  <c r="G56" i="8"/>
  <c r="H56" i="8" s="1"/>
  <c r="G57" i="8"/>
  <c r="H57" i="8" s="1"/>
  <c r="G58" i="8"/>
  <c r="H58" i="8" s="1"/>
  <c r="G59" i="8"/>
  <c r="H59" i="8" s="1"/>
  <c r="G60" i="8"/>
  <c r="H60" i="8" s="1"/>
  <c r="G61" i="8"/>
  <c r="H61" i="8" s="1"/>
  <c r="G63" i="8"/>
  <c r="H63" i="8" s="1"/>
  <c r="G64" i="8"/>
  <c r="H64" i="8" s="1"/>
  <c r="G65" i="8"/>
  <c r="H65" i="8" s="1"/>
  <c r="G66" i="8"/>
  <c r="H66" i="8" s="1"/>
  <c r="G67" i="8"/>
  <c r="H67" i="8" s="1"/>
  <c r="G68" i="8"/>
  <c r="H68" i="8" s="1"/>
  <c r="G69" i="8"/>
  <c r="H69" i="8" s="1"/>
  <c r="G70" i="8"/>
  <c r="H70" i="8" s="1"/>
  <c r="G71" i="8"/>
  <c r="H71" i="8" s="1"/>
  <c r="G72" i="8"/>
  <c r="H72" i="8" s="1"/>
  <c r="G74" i="8"/>
  <c r="G75" i="8"/>
  <c r="G76" i="8"/>
  <c r="G77" i="8"/>
  <c r="G79" i="8"/>
  <c r="G81" i="8"/>
  <c r="G83" i="8"/>
  <c r="G86" i="8"/>
  <c r="G89" i="8"/>
  <c r="G92" i="8"/>
  <c r="G9" i="8"/>
  <c r="H9" i="8" s="1"/>
  <c r="G10" i="8"/>
  <c r="H10" i="8" s="1"/>
  <c r="G11" i="8"/>
  <c r="H11" i="8" s="1"/>
  <c r="G13" i="8"/>
  <c r="H13" i="8" s="1"/>
  <c r="G14" i="8"/>
  <c r="H14" i="8" s="1"/>
  <c r="G15" i="8"/>
  <c r="H15" i="8" s="1"/>
  <c r="G16" i="8"/>
  <c r="H16" i="8" s="1"/>
  <c r="G17" i="8"/>
  <c r="H17" i="8" s="1"/>
  <c r="G18" i="8"/>
  <c r="H18" i="8" s="1"/>
  <c r="G19" i="8"/>
  <c r="H19" i="8" s="1"/>
  <c r="G20" i="8"/>
  <c r="H20" i="8" s="1"/>
  <c r="F24" i="21"/>
  <c r="F25" i="21"/>
  <c r="F28" i="21"/>
  <c r="F31" i="21"/>
  <c r="G31" i="21" s="1"/>
  <c r="F32" i="21"/>
  <c r="F35" i="21"/>
  <c r="F36" i="21"/>
  <c r="G36" i="21" s="1"/>
  <c r="F37" i="21"/>
  <c r="F21" i="21"/>
  <c r="G21" i="21" s="1"/>
  <c r="F19" i="21"/>
  <c r="G19" i="21" s="1"/>
  <c r="F18" i="21"/>
  <c r="G18" i="21" s="1"/>
  <c r="F15" i="21"/>
  <c r="F14" i="21" s="1"/>
  <c r="F13" i="21" s="1"/>
  <c r="F12" i="21"/>
  <c r="F11" i="21" s="1"/>
  <c r="F10" i="21" s="1"/>
  <c r="F9" i="21"/>
  <c r="F8" i="21" s="1"/>
  <c r="F7" i="21" s="1"/>
  <c r="F34" i="20"/>
  <c r="G34" i="20" s="1"/>
  <c r="F33" i="20"/>
  <c r="G33" i="20" s="1"/>
  <c r="F32" i="20"/>
  <c r="G32" i="20" s="1"/>
  <c r="F29" i="20"/>
  <c r="F28" i="20"/>
  <c r="G28" i="20" s="1"/>
  <c r="F25" i="20"/>
  <c r="F22" i="20"/>
  <c r="F21" i="20"/>
  <c r="F15" i="20"/>
  <c r="F14" i="20" s="1"/>
  <c r="F13" i="20" s="1"/>
  <c r="F12" i="20"/>
  <c r="F11" i="20" s="1"/>
  <c r="F10" i="20" s="1"/>
  <c r="F9" i="20"/>
  <c r="F18" i="20"/>
  <c r="F17" i="20" s="1"/>
  <c r="F16" i="20" s="1"/>
  <c r="G40" i="19"/>
  <c r="G39" i="19"/>
  <c r="H39" i="19" s="1"/>
  <c r="G38" i="19"/>
  <c r="G35" i="19"/>
  <c r="H35" i="19" s="1"/>
  <c r="G34" i="19"/>
  <c r="H34" i="19" s="1"/>
  <c r="G12" i="19"/>
  <c r="G11" i="19" s="1"/>
  <c r="G10" i="19" s="1"/>
  <c r="G9" i="19"/>
  <c r="F27" i="4"/>
  <c r="F26" i="4"/>
  <c r="F25" i="4"/>
  <c r="F24" i="4"/>
  <c r="F22" i="4"/>
  <c r="F21" i="4" s="1"/>
  <c r="U52" i="17" l="1"/>
  <c r="Y53" i="17"/>
  <c r="Z53" i="17" s="1"/>
  <c r="Y50" i="17"/>
  <c r="Z50" i="17" s="1"/>
  <c r="Y44" i="17"/>
  <c r="Y32" i="17" s="1"/>
  <c r="Y25" i="17"/>
  <c r="Z25" i="17" s="1"/>
  <c r="Y14" i="17"/>
  <c r="Z14" i="17" s="1"/>
  <c r="F24" i="20"/>
  <c r="G25" i="20"/>
  <c r="F8" i="20"/>
  <c r="G9" i="20"/>
  <c r="AC36" i="17"/>
  <c r="W14" i="17"/>
  <c r="U32" i="17"/>
  <c r="AB50" i="17"/>
  <c r="W53" i="17"/>
  <c r="G30" i="22"/>
  <c r="H30" i="22" s="1"/>
  <c r="AC12" i="17"/>
  <c r="G37" i="19"/>
  <c r="H37" i="19" s="1"/>
  <c r="AC37" i="17"/>
  <c r="AC13" i="17"/>
  <c r="AC38" i="17"/>
  <c r="G26" i="22"/>
  <c r="H26" i="22" s="1"/>
  <c r="X14" i="17"/>
  <c r="O19" i="17"/>
  <c r="Z58" i="28"/>
  <c r="AC70" i="28"/>
  <c r="AC58" i="28" s="1"/>
  <c r="AC5" i="28" s="1"/>
  <c r="Z513" i="28"/>
  <c r="AC525" i="28"/>
  <c r="AC513" i="28" s="1"/>
  <c r="AC703" i="28"/>
  <c r="AC691" i="28" s="1"/>
  <c r="AC677" i="28" s="1"/>
  <c r="AC43" i="17"/>
  <c r="AB53" i="17"/>
  <c r="W50" i="17"/>
  <c r="X44" i="17"/>
  <c r="X32" i="17" s="1"/>
  <c r="AA50" i="17"/>
  <c r="X50" i="17"/>
  <c r="AB44" i="17"/>
  <c r="AB32" i="17" s="1"/>
  <c r="AA44" i="17"/>
  <c r="AA32" i="17" s="1"/>
  <c r="W44" i="17"/>
  <c r="W32" i="17" s="1"/>
  <c r="U57" i="17"/>
  <c r="AA53" i="17"/>
  <c r="X53" i="17"/>
  <c r="U51" i="17"/>
  <c r="U55" i="17"/>
  <c r="U15" i="17"/>
  <c r="U54" i="17"/>
  <c r="U26" i="17"/>
  <c r="U56" i="17"/>
  <c r="AC24" i="17"/>
  <c r="S45" i="17"/>
  <c r="F31" i="20"/>
  <c r="S27" i="17"/>
  <c r="R45" i="17"/>
  <c r="Q18" i="17"/>
  <c r="Q29" i="17"/>
  <c r="R29" i="17" s="1"/>
  <c r="S16" i="17"/>
  <c r="R16" i="17"/>
  <c r="AA25" i="17"/>
  <c r="W25" i="17"/>
  <c r="X25" i="17"/>
  <c r="AB25" i="17"/>
  <c r="F56" i="6"/>
  <c r="F20" i="20"/>
  <c r="F19" i="20" s="1"/>
  <c r="F27" i="20"/>
  <c r="G33" i="19"/>
  <c r="F23" i="4"/>
  <c r="L32" i="27"/>
  <c r="L32" i="4"/>
  <c r="M32" i="4" s="1"/>
  <c r="N32" i="4" s="1"/>
  <c r="Y55" i="17" l="1"/>
  <c r="Z55" i="17" s="1"/>
  <c r="Y54" i="17"/>
  <c r="Z54" i="17" s="1"/>
  <c r="Y52" i="17"/>
  <c r="Z52" i="17" s="1"/>
  <c r="Y56" i="17"/>
  <c r="Z56" i="17" s="1"/>
  <c r="Y51" i="17"/>
  <c r="Z51" i="17" s="1"/>
  <c r="Y57" i="17"/>
  <c r="Z44" i="17"/>
  <c r="Z32" i="17" s="1"/>
  <c r="Y26" i="17"/>
  <c r="Z26" i="17" s="1"/>
  <c r="Y15" i="17"/>
  <c r="Z15" i="17" s="1"/>
  <c r="X56" i="17"/>
  <c r="F23" i="20"/>
  <c r="G23" i="20" s="1"/>
  <c r="G24" i="20"/>
  <c r="W56" i="17"/>
  <c r="F30" i="20"/>
  <c r="G30" i="20" s="1"/>
  <c r="G31" i="20"/>
  <c r="F26" i="20"/>
  <c r="G26" i="20" s="1"/>
  <c r="G27" i="20"/>
  <c r="F7" i="20"/>
  <c r="G7" i="20" s="1"/>
  <c r="G8" i="20"/>
  <c r="G32" i="19"/>
  <c r="H32" i="19" s="1"/>
  <c r="H33" i="19"/>
  <c r="G36" i="19"/>
  <c r="H36" i="19" s="1"/>
  <c r="AA56" i="17"/>
  <c r="AB56" i="17"/>
  <c r="X55" i="17"/>
  <c r="AB26" i="17"/>
  <c r="X51" i="17"/>
  <c r="AB57" i="17"/>
  <c r="X15" i="17"/>
  <c r="X54" i="17"/>
  <c r="X52" i="17"/>
  <c r="AB51" i="17"/>
  <c r="W57" i="17"/>
  <c r="X57" i="17"/>
  <c r="AA57" i="17"/>
  <c r="W52" i="17"/>
  <c r="W26" i="17"/>
  <c r="AC14" i="17"/>
  <c r="Z5" i="28"/>
  <c r="AB55" i="17"/>
  <c r="AB54" i="17"/>
  <c r="AC11" i="17"/>
  <c r="AC49" i="17"/>
  <c r="W55" i="17"/>
  <c r="W54" i="17"/>
  <c r="AA55" i="17"/>
  <c r="AA54" i="17"/>
  <c r="AC53" i="17"/>
  <c r="AB52" i="17"/>
  <c r="W51" i="17"/>
  <c r="AA26" i="17"/>
  <c r="X26" i="17"/>
  <c r="AA51" i="17"/>
  <c r="AA52" i="17"/>
  <c r="U45" i="17"/>
  <c r="W15" i="17"/>
  <c r="U27" i="17"/>
  <c r="U16" i="17"/>
  <c r="T6" i="17"/>
  <c r="S28" i="17"/>
  <c r="S17" i="17"/>
  <c r="R17" i="17"/>
  <c r="Q30" i="17"/>
  <c r="R30" i="17" s="1"/>
  <c r="F54" i="8"/>
  <c r="F40" i="22"/>
  <c r="AC44" i="17" l="1"/>
  <c r="AC32" i="17" s="1"/>
  <c r="Y45" i="17"/>
  <c r="Z57" i="17"/>
  <c r="Z45" i="17" s="1"/>
  <c r="Y27" i="17"/>
  <c r="Z27" i="17" s="1"/>
  <c r="Y16" i="17"/>
  <c r="Z16" i="17" s="1"/>
  <c r="F6" i="20"/>
  <c r="G6" i="20" s="1"/>
  <c r="AC56" i="17"/>
  <c r="X45" i="17"/>
  <c r="AC54" i="17"/>
  <c r="AC26" i="17"/>
  <c r="AC50" i="17"/>
  <c r="W45" i="17"/>
  <c r="AB45" i="17"/>
  <c r="AA45" i="17"/>
  <c r="AC25" i="17"/>
  <c r="AC15" i="17"/>
  <c r="AC55" i="17"/>
  <c r="AC51" i="17"/>
  <c r="U28" i="17"/>
  <c r="AC52" i="17"/>
  <c r="W16" i="17"/>
  <c r="X16" i="17"/>
  <c r="U17" i="17"/>
  <c r="G53" i="22"/>
  <c r="H53" i="22" s="1"/>
  <c r="G55" i="22"/>
  <c r="H55" i="22" s="1"/>
  <c r="AA27" i="17"/>
  <c r="W27" i="17"/>
  <c r="X27" i="17"/>
  <c r="AB27" i="17"/>
  <c r="R18" i="17"/>
  <c r="S18" i="17"/>
  <c r="S6" i="17" s="1"/>
  <c r="S29" i="17"/>
  <c r="Q31" i="17"/>
  <c r="R31" i="17" s="1"/>
  <c r="F38" i="22"/>
  <c r="G38" i="22" s="1"/>
  <c r="H38" i="22" s="1"/>
  <c r="G40" i="22"/>
  <c r="H40" i="22" s="1"/>
  <c r="F51" i="8"/>
  <c r="G54" i="8"/>
  <c r="H54" i="8" s="1"/>
  <c r="AC57" i="17" l="1"/>
  <c r="AC45" i="17" s="1"/>
  <c r="Y28" i="17"/>
  <c r="Z28" i="17" s="1"/>
  <c r="Y17" i="17"/>
  <c r="Z17" i="17" s="1"/>
  <c r="AA28" i="17"/>
  <c r="G28" i="22"/>
  <c r="H28" i="22" s="1"/>
  <c r="AC16" i="17"/>
  <c r="X28" i="17"/>
  <c r="AB28" i="17"/>
  <c r="L6" i="17"/>
  <c r="L5" i="17" s="1"/>
  <c r="M5" i="17"/>
  <c r="W28" i="17"/>
  <c r="U29" i="17"/>
  <c r="W17" i="17"/>
  <c r="X17" i="17"/>
  <c r="U18" i="17"/>
  <c r="S30" i="17"/>
  <c r="R6" i="17"/>
  <c r="G51" i="8"/>
  <c r="H51" i="8" s="1"/>
  <c r="E9" i="4"/>
  <c r="E12" i="4"/>
  <c r="E15" i="4"/>
  <c r="E24" i="4"/>
  <c r="E25" i="4"/>
  <c r="E26" i="4"/>
  <c r="E27" i="4"/>
  <c r="E32" i="4"/>
  <c r="F32" i="4" s="1"/>
  <c r="G32" i="4" s="1"/>
  <c r="E33" i="4"/>
  <c r="E38" i="4"/>
  <c r="F41" i="4"/>
  <c r="G41" i="4" s="1"/>
  <c r="E42" i="4"/>
  <c r="F42" i="4" s="1"/>
  <c r="E45" i="4"/>
  <c r="E44" i="4" s="1"/>
  <c r="F46" i="4"/>
  <c r="G46" i="4" s="1"/>
  <c r="F47" i="4"/>
  <c r="G47" i="4" s="1"/>
  <c r="F45" i="4" l="1"/>
  <c r="G45" i="4" s="1"/>
  <c r="E43" i="4"/>
  <c r="Y29" i="17"/>
  <c r="Z29" i="17" s="1"/>
  <c r="Y18" i="17"/>
  <c r="Z18" i="17" s="1"/>
  <c r="AC28" i="17"/>
  <c r="T5" i="17"/>
  <c r="AC27" i="17"/>
  <c r="W29" i="17"/>
  <c r="AA29" i="17"/>
  <c r="X29" i="17"/>
  <c r="AB29" i="17"/>
  <c r="AC17" i="17"/>
  <c r="U30" i="17"/>
  <c r="S31" i="17"/>
  <c r="S19" i="17" s="1"/>
  <c r="W18" i="17"/>
  <c r="X18" i="17"/>
  <c r="U6" i="17"/>
  <c r="F44" i="4"/>
  <c r="G44" i="4" s="1"/>
  <c r="E31" i="4"/>
  <c r="F33" i="4"/>
  <c r="G33" i="4" s="1"/>
  <c r="E8" i="4"/>
  <c r="E7" i="4" s="1"/>
  <c r="F9" i="4"/>
  <c r="G9" i="4" s="1"/>
  <c r="F40" i="4"/>
  <c r="G40" i="4" s="1"/>
  <c r="E14" i="4"/>
  <c r="E13" i="4" s="1"/>
  <c r="F15" i="4"/>
  <c r="E37" i="4"/>
  <c r="E36" i="4" s="1"/>
  <c r="F38" i="4"/>
  <c r="G38" i="4" s="1"/>
  <c r="E11" i="4"/>
  <c r="E10" i="4" s="1"/>
  <c r="F12" i="4"/>
  <c r="E23" i="4"/>
  <c r="E40" i="4"/>
  <c r="E39" i="4" s="1"/>
  <c r="F11" i="4" l="1"/>
  <c r="G12" i="4"/>
  <c r="F14" i="4"/>
  <c r="G15" i="4"/>
  <c r="F31" i="4"/>
  <c r="G31" i="4" s="1"/>
  <c r="Y30" i="17"/>
  <c r="Z30" i="17" s="1"/>
  <c r="F37" i="4"/>
  <c r="G37" i="4" s="1"/>
  <c r="F8" i="4"/>
  <c r="G8" i="4" s="1"/>
  <c r="F39" i="4"/>
  <c r="G39" i="4" s="1"/>
  <c r="F43" i="4"/>
  <c r="G43" i="4" s="1"/>
  <c r="AA30" i="17"/>
  <c r="X30" i="17"/>
  <c r="X6" i="17"/>
  <c r="AC29" i="17"/>
  <c r="AB30" i="17"/>
  <c r="W30" i="17"/>
  <c r="F5" i="17"/>
  <c r="F9" i="6" s="1"/>
  <c r="U31" i="17"/>
  <c r="Y31" i="17" s="1"/>
  <c r="Y6" i="17"/>
  <c r="W6" i="17"/>
  <c r="O5" i="17"/>
  <c r="R19" i="17"/>
  <c r="L14" i="27"/>
  <c r="L16" i="27"/>
  <c r="L18" i="27"/>
  <c r="L19" i="27"/>
  <c r="L20" i="27"/>
  <c r="L22" i="27"/>
  <c r="L23" i="27"/>
  <c r="L26" i="27"/>
  <c r="M26" i="27" s="1"/>
  <c r="L27" i="27"/>
  <c r="L28" i="27"/>
  <c r="L34" i="27"/>
  <c r="L45" i="27"/>
  <c r="F85" i="22"/>
  <c r="L48" i="27"/>
  <c r="L47" i="27" s="1"/>
  <c r="L10" i="26"/>
  <c r="L9" i="26"/>
  <c r="S9" i="26" s="1"/>
  <c r="W9" i="26" s="1"/>
  <c r="X9" i="26" s="1"/>
  <c r="L8" i="26"/>
  <c r="L7" i="26"/>
  <c r="S8" i="26"/>
  <c r="W8" i="26" s="1"/>
  <c r="X8" i="26" s="1"/>
  <c r="M37" i="27"/>
  <c r="M46" i="27"/>
  <c r="M52" i="27"/>
  <c r="F21" i="27"/>
  <c r="F22" i="27"/>
  <c r="E47" i="27"/>
  <c r="F47" i="27" s="1"/>
  <c r="E45" i="27"/>
  <c r="E42" i="27"/>
  <c r="F42" i="27" s="1"/>
  <c r="E38" i="27"/>
  <c r="F38" i="27" s="1"/>
  <c r="J33" i="27"/>
  <c r="F33" i="27"/>
  <c r="E27" i="27"/>
  <c r="F27" i="27" s="1"/>
  <c r="E26" i="27"/>
  <c r="F26" i="27" s="1"/>
  <c r="E25" i="27"/>
  <c r="F25" i="27" s="1"/>
  <c r="E24" i="27"/>
  <c r="F24" i="27" s="1"/>
  <c r="C19" i="27"/>
  <c r="B17" i="27"/>
  <c r="E15" i="27"/>
  <c r="F15" i="27" s="1"/>
  <c r="E12" i="27"/>
  <c r="F12" i="27" s="1"/>
  <c r="E9" i="27"/>
  <c r="F9" i="27" s="1"/>
  <c r="B10" i="1"/>
  <c r="B9" i="1"/>
  <c r="B7" i="1"/>
  <c r="C71" i="24"/>
  <c r="D41" i="24"/>
  <c r="D59" i="24"/>
  <c r="D61" i="24"/>
  <c r="D63" i="24"/>
  <c r="D64" i="24"/>
  <c r="D66" i="24"/>
  <c r="D73" i="24"/>
  <c r="D76" i="24"/>
  <c r="D78" i="24"/>
  <c r="D20" i="24"/>
  <c r="D21" i="24"/>
  <c r="D22" i="24"/>
  <c r="D24" i="24"/>
  <c r="D25" i="24"/>
  <c r="D27" i="24"/>
  <c r="D7" i="24"/>
  <c r="D54" i="24"/>
  <c r="D77" i="24"/>
  <c r="D65" i="24"/>
  <c r="D68" i="24"/>
  <c r="D69" i="24"/>
  <c r="D70" i="24"/>
  <c r="D71" i="24"/>
  <c r="D72" i="24"/>
  <c r="D74" i="24"/>
  <c r="D55" i="24"/>
  <c r="D56" i="24"/>
  <c r="D57" i="24"/>
  <c r="D58" i="24"/>
  <c r="D51" i="24"/>
  <c r="D52" i="24"/>
  <c r="D53" i="24"/>
  <c r="D45" i="24"/>
  <c r="D46" i="24"/>
  <c r="D47" i="24"/>
  <c r="D48" i="24"/>
  <c r="D49" i="24"/>
  <c r="D50" i="24"/>
  <c r="D42" i="24"/>
  <c r="D43" i="24"/>
  <c r="D44" i="24"/>
  <c r="D40" i="24"/>
  <c r="D34" i="24"/>
  <c r="D35" i="24"/>
  <c r="D36" i="24"/>
  <c r="D37" i="24"/>
  <c r="D38" i="24"/>
  <c r="D39" i="24"/>
  <c r="D79" i="24"/>
  <c r="D75" i="24"/>
  <c r="D26" i="24"/>
  <c r="D12" i="24"/>
  <c r="C19" i="4"/>
  <c r="C18" i="4"/>
  <c r="B17" i="4"/>
  <c r="D23" i="19"/>
  <c r="D22" i="19"/>
  <c r="D16" i="19"/>
  <c r="Q6" i="26"/>
  <c r="S11" i="26"/>
  <c r="W11" i="26" s="1"/>
  <c r="X11" i="26" s="1"/>
  <c r="T114" i="26"/>
  <c r="Z114" i="26" s="1"/>
  <c r="T113" i="26"/>
  <c r="Z113" i="26" s="1"/>
  <c r="T112" i="26"/>
  <c r="Z112" i="26" s="1"/>
  <c r="T111" i="26"/>
  <c r="Z111" i="26" s="1"/>
  <c r="T110" i="26"/>
  <c r="Z110" i="26" s="1"/>
  <c r="T109" i="26"/>
  <c r="Z109" i="26" s="1"/>
  <c r="T108" i="26"/>
  <c r="S102" i="26"/>
  <c r="R102" i="26"/>
  <c r="Q102" i="26"/>
  <c r="O102" i="26"/>
  <c r="N102" i="26"/>
  <c r="M102" i="26"/>
  <c r="L102" i="26"/>
  <c r="K102" i="26"/>
  <c r="J102" i="26"/>
  <c r="I102" i="26"/>
  <c r="H102" i="26"/>
  <c r="G102" i="26"/>
  <c r="F102" i="26"/>
  <c r="T101" i="26"/>
  <c r="Z101" i="26" s="1"/>
  <c r="T100" i="26"/>
  <c r="Z100" i="26" s="1"/>
  <c r="T99" i="26"/>
  <c r="Z99" i="26" s="1"/>
  <c r="T98" i="26"/>
  <c r="Z98" i="26" s="1"/>
  <c r="T97" i="26"/>
  <c r="Z97" i="26" s="1"/>
  <c r="T96" i="26"/>
  <c r="Z96" i="26" s="1"/>
  <c r="T95" i="26"/>
  <c r="Z95" i="26" s="1"/>
  <c r="T94" i="26"/>
  <c r="Z94" i="26" s="1"/>
  <c r="T93" i="26"/>
  <c r="T92" i="26"/>
  <c r="S89" i="26"/>
  <c r="R89" i="26"/>
  <c r="Q89" i="26"/>
  <c r="O89" i="26"/>
  <c r="N89" i="26"/>
  <c r="M89" i="26"/>
  <c r="L89" i="26"/>
  <c r="K89" i="26"/>
  <c r="J89" i="26"/>
  <c r="I89" i="26"/>
  <c r="H89" i="26"/>
  <c r="G89" i="26"/>
  <c r="F89" i="26"/>
  <c r="AA62" i="26"/>
  <c r="Z62" i="26"/>
  <c r="Y62" i="26"/>
  <c r="V62" i="26"/>
  <c r="AA61" i="26"/>
  <c r="Z61" i="26"/>
  <c r="Y61" i="26"/>
  <c r="V61" i="26"/>
  <c r="AA60" i="26"/>
  <c r="Z60" i="26"/>
  <c r="Y60" i="26"/>
  <c r="V60" i="26"/>
  <c r="AA59" i="26"/>
  <c r="Z59" i="26"/>
  <c r="Y59" i="26"/>
  <c r="V59" i="26"/>
  <c r="AA58" i="26"/>
  <c r="Z58" i="26"/>
  <c r="Y58" i="26"/>
  <c r="V58" i="26"/>
  <c r="AA57" i="26"/>
  <c r="Z57" i="26"/>
  <c r="Y57" i="26"/>
  <c r="V57" i="26"/>
  <c r="AA56" i="26"/>
  <c r="Z56" i="26"/>
  <c r="Y56" i="26"/>
  <c r="V56" i="26"/>
  <c r="AA55" i="26"/>
  <c r="Z55" i="26"/>
  <c r="Y55" i="26"/>
  <c r="V55" i="26"/>
  <c r="AA54" i="26"/>
  <c r="Z54" i="26"/>
  <c r="Y54" i="26"/>
  <c r="V54" i="26"/>
  <c r="AA53" i="26"/>
  <c r="Z53" i="26"/>
  <c r="Y53" i="26"/>
  <c r="V53" i="26"/>
  <c r="AA52" i="26"/>
  <c r="Z52" i="26"/>
  <c r="V52" i="26"/>
  <c r="AA51" i="26"/>
  <c r="Z51" i="26"/>
  <c r="Y51" i="26"/>
  <c r="V51" i="26"/>
  <c r="T50" i="26"/>
  <c r="S50" i="26"/>
  <c r="R50" i="26"/>
  <c r="Q50" i="26"/>
  <c r="O50" i="26"/>
  <c r="N50" i="26"/>
  <c r="M50" i="26"/>
  <c r="L50" i="26"/>
  <c r="K50" i="26"/>
  <c r="J50" i="26"/>
  <c r="I50" i="26"/>
  <c r="H50" i="26"/>
  <c r="G50" i="26"/>
  <c r="F50" i="26"/>
  <c r="R34" i="26"/>
  <c r="R35" i="26" s="1"/>
  <c r="S33" i="26"/>
  <c r="Q32" i="26"/>
  <c r="P32" i="26"/>
  <c r="O32" i="26"/>
  <c r="N32" i="26"/>
  <c r="M32" i="26"/>
  <c r="L32" i="26"/>
  <c r="K32" i="26"/>
  <c r="J32" i="26"/>
  <c r="I32" i="26"/>
  <c r="H32" i="26"/>
  <c r="G32" i="26"/>
  <c r="F32" i="26"/>
  <c r="R21" i="26"/>
  <c r="R22" i="26" s="1"/>
  <c r="S20" i="26"/>
  <c r="Q19" i="26"/>
  <c r="P19" i="26"/>
  <c r="O19" i="26"/>
  <c r="N19" i="26"/>
  <c r="M19" i="26"/>
  <c r="L19" i="26"/>
  <c r="K19" i="26"/>
  <c r="J19" i="26"/>
  <c r="I19" i="26"/>
  <c r="H19" i="26"/>
  <c r="G19" i="26"/>
  <c r="F19" i="26"/>
  <c r="I18" i="26"/>
  <c r="I17" i="26"/>
  <c r="I16" i="26"/>
  <c r="I15" i="26"/>
  <c r="I14" i="26"/>
  <c r="L13" i="26"/>
  <c r="L14" i="26" s="1"/>
  <c r="R12" i="26"/>
  <c r="R13" i="26" s="1"/>
  <c r="O12" i="26"/>
  <c r="N12" i="26"/>
  <c r="N13" i="26" s="1"/>
  <c r="K12" i="26"/>
  <c r="K13" i="26" s="1"/>
  <c r="I12" i="26"/>
  <c r="F12" i="26"/>
  <c r="P12" i="26" s="1"/>
  <c r="S10" i="26"/>
  <c r="W10" i="26" s="1"/>
  <c r="X10" i="26" s="1"/>
  <c r="S7" i="26"/>
  <c r="W7" i="26" s="1"/>
  <c r="X7" i="26" s="1"/>
  <c r="L14" i="4"/>
  <c r="L16" i="4"/>
  <c r="L15" i="4" s="1"/>
  <c r="L18" i="4"/>
  <c r="M18" i="4" s="1"/>
  <c r="N18" i="4" s="1"/>
  <c r="L20" i="4"/>
  <c r="L22" i="4"/>
  <c r="L23" i="4"/>
  <c r="L26" i="4"/>
  <c r="L27" i="4"/>
  <c r="L28" i="4"/>
  <c r="L34" i="4"/>
  <c r="M34" i="4" s="1"/>
  <c r="N34" i="4" s="1"/>
  <c r="L35" i="4"/>
  <c r="M35" i="4" s="1"/>
  <c r="N35" i="4" s="1"/>
  <c r="L44" i="4"/>
  <c r="L43" i="4" s="1"/>
  <c r="Q675" i="17"/>
  <c r="M53" i="4"/>
  <c r="M50" i="4"/>
  <c r="N51" i="4" s="1"/>
  <c r="L19" i="4"/>
  <c r="M19" i="4" s="1"/>
  <c r="N19" i="4" s="1"/>
  <c r="H29" i="9"/>
  <c r="H38" i="9" s="1"/>
  <c r="F60" i="24"/>
  <c r="H14" i="9"/>
  <c r="J33" i="4"/>
  <c r="T51" i="22"/>
  <c r="U50" i="22"/>
  <c r="U49" i="22"/>
  <c r="T45" i="22"/>
  <c r="N7" i="13"/>
  <c r="O7" i="13" s="1"/>
  <c r="N21" i="13"/>
  <c r="R143" i="9"/>
  <c r="R142" i="9"/>
  <c r="R141" i="9"/>
  <c r="R140" i="9"/>
  <c r="R139" i="9"/>
  <c r="R137" i="9"/>
  <c r="R136" i="9"/>
  <c r="R135" i="9"/>
  <c r="R134" i="9"/>
  <c r="R133" i="9"/>
  <c r="R131" i="9"/>
  <c r="R130" i="9"/>
  <c r="R129" i="9"/>
  <c r="R128" i="9"/>
  <c r="R127" i="9"/>
  <c r="R121" i="9"/>
  <c r="G121" i="9" s="1"/>
  <c r="R118" i="9"/>
  <c r="G118" i="9" s="1"/>
  <c r="G117" i="9" s="1"/>
  <c r="R115" i="9"/>
  <c r="G115" i="9" s="1"/>
  <c r="R112" i="9"/>
  <c r="G112" i="9" s="1"/>
  <c r="R109" i="9"/>
  <c r="G109" i="9" s="1"/>
  <c r="G108" i="9" s="1"/>
  <c r="R106" i="9"/>
  <c r="G106" i="9" s="1"/>
  <c r="R103" i="9"/>
  <c r="G103" i="9" s="1"/>
  <c r="R99" i="9"/>
  <c r="G99" i="9" s="1"/>
  <c r="G98" i="9" s="1"/>
  <c r="R96" i="9"/>
  <c r="G96" i="9" s="1"/>
  <c r="R93" i="9"/>
  <c r="G93" i="9" s="1"/>
  <c r="R90" i="9"/>
  <c r="G90" i="9" s="1"/>
  <c r="G89" i="9" s="1"/>
  <c r="R87" i="9"/>
  <c r="G87" i="9" s="1"/>
  <c r="R81" i="9"/>
  <c r="G81" i="9"/>
  <c r="G80" i="9" s="1"/>
  <c r="R78" i="9"/>
  <c r="G78" i="9"/>
  <c r="R72" i="9"/>
  <c r="G72" i="9" s="1"/>
  <c r="G71" i="9" s="1"/>
  <c r="R69" i="9"/>
  <c r="G69" i="9" s="1"/>
  <c r="R63" i="9"/>
  <c r="G63" i="9" s="1"/>
  <c r="G62" i="9" s="1"/>
  <c r="R51" i="9"/>
  <c r="G51" i="9" s="1"/>
  <c r="R45" i="9"/>
  <c r="G45" i="9"/>
  <c r="G44" i="9" s="1"/>
  <c r="R42" i="9"/>
  <c r="G42" i="9" s="1"/>
  <c r="R36" i="9"/>
  <c r="G36" i="9" s="1"/>
  <c r="R33" i="9"/>
  <c r="G33" i="9" s="1"/>
  <c r="H32" i="9"/>
  <c r="H41" i="9" s="1"/>
  <c r="R27" i="9"/>
  <c r="G27" i="9" s="1"/>
  <c r="G26" i="9" s="1"/>
  <c r="R24" i="9"/>
  <c r="G24" i="9" s="1"/>
  <c r="R23" i="9"/>
  <c r="G23" i="9" s="1"/>
  <c r="R20" i="9"/>
  <c r="G20" i="9" s="1"/>
  <c r="R18" i="9"/>
  <c r="G18" i="9" s="1"/>
  <c r="G17" i="9" s="1"/>
  <c r="N6" i="13"/>
  <c r="O6" i="13" s="1"/>
  <c r="N8" i="13"/>
  <c r="O8" i="13" s="1"/>
  <c r="N9" i="13"/>
  <c r="O9" i="13" s="1"/>
  <c r="N10" i="13"/>
  <c r="O10" i="13" s="1"/>
  <c r="N11" i="13"/>
  <c r="O11" i="13" s="1"/>
  <c r="N12" i="13"/>
  <c r="O12" i="13" s="1"/>
  <c r="N13" i="13"/>
  <c r="O13" i="13" s="1"/>
  <c r="N14" i="13"/>
  <c r="O14" i="13" s="1"/>
  <c r="N15" i="13"/>
  <c r="O15" i="13" s="1"/>
  <c r="N16" i="13"/>
  <c r="O16" i="13" s="1"/>
  <c r="N17" i="13"/>
  <c r="O17" i="13" s="1"/>
  <c r="N18" i="13"/>
  <c r="O18" i="13" s="1"/>
  <c r="N20" i="13"/>
  <c r="O20" i="13" s="1"/>
  <c r="O21" i="13"/>
  <c r="N22" i="13"/>
  <c r="O22" i="13" s="1"/>
  <c r="N23" i="13"/>
  <c r="O23" i="13" s="1"/>
  <c r="N24" i="13"/>
  <c r="O24" i="13" s="1"/>
  <c r="N25" i="13"/>
  <c r="O25" i="13" s="1"/>
  <c r="N26" i="13"/>
  <c r="O26" i="13" s="1"/>
  <c r="N27" i="13"/>
  <c r="O27" i="13" s="1"/>
  <c r="N28" i="13"/>
  <c r="O28" i="13" s="1"/>
  <c r="N29" i="13"/>
  <c r="O29" i="13" s="1"/>
  <c r="N30" i="13"/>
  <c r="O30" i="13" s="1"/>
  <c r="N31" i="13"/>
  <c r="O31" i="13" s="1"/>
  <c r="N32" i="13"/>
  <c r="O32" i="13" s="1"/>
  <c r="N34" i="13"/>
  <c r="O34" i="13" s="1"/>
  <c r="F28" i="30" s="1"/>
  <c r="G28" i="30" s="1"/>
  <c r="N35" i="13"/>
  <c r="O35" i="13" s="1"/>
  <c r="F29" i="30" s="1"/>
  <c r="G29" i="30" s="1"/>
  <c r="N36" i="13"/>
  <c r="O36" i="13" s="1"/>
  <c r="N37" i="13"/>
  <c r="O37" i="13" s="1"/>
  <c r="N38" i="13"/>
  <c r="O38" i="13" s="1"/>
  <c r="N39" i="13"/>
  <c r="O39" i="13" s="1"/>
  <c r="N41" i="13"/>
  <c r="O41" i="13" s="1"/>
  <c r="Q6" i="18"/>
  <c r="S7" i="18"/>
  <c r="U7" i="18" s="1"/>
  <c r="X7" i="18"/>
  <c r="S8" i="18"/>
  <c r="U8" i="18" s="1"/>
  <c r="X8" i="18"/>
  <c r="S9" i="18"/>
  <c r="X9" i="18"/>
  <c r="S10" i="18"/>
  <c r="U10" i="18" s="1"/>
  <c r="X10" i="18"/>
  <c r="S11" i="18"/>
  <c r="U11" i="18" s="1"/>
  <c r="X11" i="18"/>
  <c r="F12" i="18"/>
  <c r="P12" i="18" s="1"/>
  <c r="I12" i="18"/>
  <c r="K12" i="18"/>
  <c r="K13" i="18" s="1"/>
  <c r="K14" i="18" s="1"/>
  <c r="N12" i="18"/>
  <c r="O12" i="18"/>
  <c r="O13" i="18" s="1"/>
  <c r="R12" i="18"/>
  <c r="R13" i="18" s="1"/>
  <c r="L13" i="18"/>
  <c r="L14" i="18" s="1"/>
  <c r="L15" i="18" s="1"/>
  <c r="N13" i="18"/>
  <c r="I14" i="18"/>
  <c r="I15" i="18"/>
  <c r="I16" i="18"/>
  <c r="I17" i="18"/>
  <c r="I18" i="18"/>
  <c r="F19" i="18"/>
  <c r="G19" i="18"/>
  <c r="H19" i="18"/>
  <c r="I19" i="18"/>
  <c r="J19" i="18"/>
  <c r="K19" i="18"/>
  <c r="L19" i="18"/>
  <c r="M19" i="18"/>
  <c r="N19" i="18"/>
  <c r="O19" i="18"/>
  <c r="P19" i="18"/>
  <c r="Q19" i="18"/>
  <c r="S20" i="18"/>
  <c r="R21" i="18"/>
  <c r="R22" i="18" s="1"/>
  <c r="F32" i="18"/>
  <c r="G32" i="18"/>
  <c r="H32" i="18"/>
  <c r="I32" i="18"/>
  <c r="J32" i="18"/>
  <c r="K32" i="18"/>
  <c r="L32" i="18"/>
  <c r="M32" i="18"/>
  <c r="N32" i="18"/>
  <c r="O32" i="18"/>
  <c r="P32" i="18"/>
  <c r="Q32" i="18"/>
  <c r="Q5" i="18" s="1"/>
  <c r="S33" i="18"/>
  <c r="Y33" i="18" s="1"/>
  <c r="R34" i="18"/>
  <c r="R35" i="18" s="1"/>
  <c r="F50" i="18"/>
  <c r="G50" i="18"/>
  <c r="H50" i="18"/>
  <c r="I50" i="18"/>
  <c r="J50" i="18"/>
  <c r="K50" i="18"/>
  <c r="L50" i="18"/>
  <c r="M50" i="18"/>
  <c r="N50" i="18"/>
  <c r="O50" i="18"/>
  <c r="Q50" i="18"/>
  <c r="R50" i="18"/>
  <c r="S50" i="18"/>
  <c r="T50" i="18"/>
  <c r="V51" i="18"/>
  <c r="W51" i="18"/>
  <c r="X51" i="18"/>
  <c r="Z51" i="18"/>
  <c r="AA51" i="18"/>
  <c r="V52" i="18"/>
  <c r="W52" i="18"/>
  <c r="X52" i="18"/>
  <c r="Z52" i="18"/>
  <c r="AA52" i="18"/>
  <c r="V53" i="18"/>
  <c r="W53" i="18"/>
  <c r="X53" i="18"/>
  <c r="Y53" i="18" s="1"/>
  <c r="Z53" i="18"/>
  <c r="AA53" i="18"/>
  <c r="V54" i="18"/>
  <c r="W54" i="18"/>
  <c r="X54" i="18"/>
  <c r="Y54" i="18" s="1"/>
  <c r="Z54" i="18"/>
  <c r="AA54" i="18"/>
  <c r="V55" i="18"/>
  <c r="W55" i="18"/>
  <c r="X55" i="18"/>
  <c r="Y55" i="18" s="1"/>
  <c r="Z55" i="18"/>
  <c r="AA55" i="18"/>
  <c r="V56" i="18"/>
  <c r="W56" i="18"/>
  <c r="X56" i="18"/>
  <c r="Y56" i="18" s="1"/>
  <c r="Z56" i="18"/>
  <c r="AA56" i="18"/>
  <c r="V57" i="18"/>
  <c r="W57" i="18"/>
  <c r="X57" i="18"/>
  <c r="Y57" i="18" s="1"/>
  <c r="Z57" i="18"/>
  <c r="AA57" i="18"/>
  <c r="V58" i="18"/>
  <c r="W58" i="18"/>
  <c r="X58" i="18"/>
  <c r="Y58" i="18" s="1"/>
  <c r="Z58" i="18"/>
  <c r="AA58" i="18"/>
  <c r="V59" i="18"/>
  <c r="W59" i="18"/>
  <c r="X59" i="18"/>
  <c r="Y59" i="18" s="1"/>
  <c r="Z59" i="18"/>
  <c r="AA59" i="18"/>
  <c r="V60" i="18"/>
  <c r="W60" i="18"/>
  <c r="X60" i="18"/>
  <c r="Y60" i="18" s="1"/>
  <c r="Z60" i="18"/>
  <c r="AA60" i="18"/>
  <c r="V61" i="18"/>
  <c r="W61" i="18"/>
  <c r="X61" i="18"/>
  <c r="Y61" i="18" s="1"/>
  <c r="Z61" i="18"/>
  <c r="AA61" i="18"/>
  <c r="V62" i="18"/>
  <c r="W62" i="18"/>
  <c r="X62" i="18"/>
  <c r="Y62" i="18" s="1"/>
  <c r="Z62" i="18"/>
  <c r="AA62" i="18"/>
  <c r="F89" i="18"/>
  <c r="G89" i="18"/>
  <c r="H89" i="18"/>
  <c r="I89" i="18"/>
  <c r="J89" i="18"/>
  <c r="K89" i="18"/>
  <c r="L89" i="18"/>
  <c r="M89" i="18"/>
  <c r="N89" i="18"/>
  <c r="O89" i="18"/>
  <c r="Q89" i="18"/>
  <c r="R89" i="18"/>
  <c r="S89" i="18"/>
  <c r="T92" i="18"/>
  <c r="T93" i="18"/>
  <c r="T94" i="18"/>
  <c r="X94" i="18" s="1"/>
  <c r="Y94" i="18" s="1"/>
  <c r="T95" i="18"/>
  <c r="V95" i="18" s="1"/>
  <c r="T96" i="18"/>
  <c r="X96" i="18" s="1"/>
  <c r="Y96" i="18" s="1"/>
  <c r="T97" i="18"/>
  <c r="V97" i="18" s="1"/>
  <c r="T98" i="18"/>
  <c r="X98" i="18" s="1"/>
  <c r="Y98" i="18" s="1"/>
  <c r="T99" i="18"/>
  <c r="V99" i="18" s="1"/>
  <c r="T100" i="18"/>
  <c r="T101" i="18"/>
  <c r="V101" i="18" s="1"/>
  <c r="F102" i="18"/>
  <c r="G102" i="18"/>
  <c r="H102" i="18"/>
  <c r="I102" i="18"/>
  <c r="J102" i="18"/>
  <c r="K102" i="18"/>
  <c r="L102" i="18"/>
  <c r="M102" i="18"/>
  <c r="N102" i="18"/>
  <c r="O102" i="18"/>
  <c r="Q102" i="18"/>
  <c r="R102" i="18"/>
  <c r="S102" i="18"/>
  <c r="T108" i="18"/>
  <c r="X108" i="18" s="1"/>
  <c r="Y108" i="18" s="1"/>
  <c r="T109" i="18"/>
  <c r="V109" i="18" s="1"/>
  <c r="T110" i="18"/>
  <c r="W110" i="18" s="1"/>
  <c r="T111" i="18"/>
  <c r="V111" i="18" s="1"/>
  <c r="T112" i="18"/>
  <c r="T113" i="18"/>
  <c r="V113" i="18" s="1"/>
  <c r="T114" i="18"/>
  <c r="AA114" i="18" s="1"/>
  <c r="G115" i="18"/>
  <c r="H115" i="18"/>
  <c r="J115" i="18"/>
  <c r="M115" i="18"/>
  <c r="R115" i="18"/>
  <c r="V115" i="18"/>
  <c r="W115" i="18"/>
  <c r="X115" i="18"/>
  <c r="Y115" i="18"/>
  <c r="Z115" i="18"/>
  <c r="AA115" i="18"/>
  <c r="T116" i="18"/>
  <c r="AB116" i="18"/>
  <c r="F117" i="18"/>
  <c r="I117" i="18"/>
  <c r="K117" i="18"/>
  <c r="L117" i="18"/>
  <c r="L115" i="18" s="1"/>
  <c r="N117" i="18"/>
  <c r="O117" i="18"/>
  <c r="O118" i="18" s="1"/>
  <c r="Q117" i="18"/>
  <c r="AB117" i="18"/>
  <c r="I118" i="18"/>
  <c r="Q118" i="18"/>
  <c r="AB118" i="18"/>
  <c r="I119" i="18"/>
  <c r="Q119" i="18"/>
  <c r="AB119" i="18"/>
  <c r="I120" i="18"/>
  <c r="Q120" i="18"/>
  <c r="AB120" i="18"/>
  <c r="I121" i="18"/>
  <c r="Q121" i="18"/>
  <c r="AB121" i="18"/>
  <c r="Q122" i="18"/>
  <c r="AB122" i="18"/>
  <c r="I123" i="18"/>
  <c r="Q123" i="18"/>
  <c r="AB123" i="18"/>
  <c r="I124" i="18"/>
  <c r="Q124" i="18"/>
  <c r="AB124" i="18"/>
  <c r="I125" i="18"/>
  <c r="O125" i="18"/>
  <c r="O126" i="18" s="1"/>
  <c r="Q125" i="18"/>
  <c r="AB125" i="18"/>
  <c r="I126" i="18"/>
  <c r="N126" i="18"/>
  <c r="N127" i="18" s="1"/>
  <c r="Q126" i="18"/>
  <c r="AB126" i="18"/>
  <c r="I127" i="18"/>
  <c r="K127" i="18"/>
  <c r="K115" i="18" s="1"/>
  <c r="Q127" i="18"/>
  <c r="AB127" i="18"/>
  <c r="F10" i="22"/>
  <c r="F13" i="22"/>
  <c r="F15" i="22"/>
  <c r="F17" i="22"/>
  <c r="F20" i="22"/>
  <c r="F21" i="22"/>
  <c r="F23" i="22"/>
  <c r="F29" i="22"/>
  <c r="F33" i="22"/>
  <c r="U39" i="22"/>
  <c r="U40" i="22"/>
  <c r="T43" i="22"/>
  <c r="U46" i="22"/>
  <c r="F48" i="22"/>
  <c r="F65" i="22"/>
  <c r="F83" i="22"/>
  <c r="F87" i="22"/>
  <c r="F52" i="22" s="1"/>
  <c r="F90" i="22"/>
  <c r="L47" i="4" s="1"/>
  <c r="M47" i="4" s="1"/>
  <c r="N48" i="4" s="1"/>
  <c r="F93" i="22"/>
  <c r="F96" i="22"/>
  <c r="G96" i="22" s="1"/>
  <c r="H96" i="22" s="1"/>
  <c r="V10" i="8"/>
  <c r="W10" i="8" s="1"/>
  <c r="V11" i="8"/>
  <c r="W11" i="8" s="1"/>
  <c r="V12" i="8"/>
  <c r="W12" i="8" s="1"/>
  <c r="T32" i="8"/>
  <c r="W32" i="8" s="1"/>
  <c r="W33" i="8"/>
  <c r="W34" i="8"/>
  <c r="W36" i="8"/>
  <c r="W37" i="8"/>
  <c r="F38" i="8"/>
  <c r="W38" i="8"/>
  <c r="W39" i="8"/>
  <c r="W40" i="8"/>
  <c r="W41" i="8"/>
  <c r="W42" i="8"/>
  <c r="W43" i="8"/>
  <c r="W44" i="8"/>
  <c r="W45" i="8"/>
  <c r="F46" i="8"/>
  <c r="W46" i="8"/>
  <c r="T47" i="8"/>
  <c r="W47" i="8" s="1"/>
  <c r="W48" i="8"/>
  <c r="T49" i="8"/>
  <c r="W49" i="8" s="1"/>
  <c r="W50" i="8"/>
  <c r="W51" i="8"/>
  <c r="W52" i="8"/>
  <c r="W53" i="8"/>
  <c r="W54" i="8"/>
  <c r="W56" i="8"/>
  <c r="W57" i="8"/>
  <c r="W58" i="8"/>
  <c r="W59" i="8"/>
  <c r="W60" i="8"/>
  <c r="W61" i="8"/>
  <c r="F62" i="8"/>
  <c r="W62" i="8"/>
  <c r="W63" i="8"/>
  <c r="W64" i="8"/>
  <c r="W65" i="8"/>
  <c r="W66" i="8"/>
  <c r="W67" i="8"/>
  <c r="W68" i="8"/>
  <c r="W69" i="8"/>
  <c r="W70" i="8"/>
  <c r="W71" i="8"/>
  <c r="W72" i="8"/>
  <c r="W73" i="8"/>
  <c r="W74" i="8"/>
  <c r="T75" i="8"/>
  <c r="W75" i="8" s="1"/>
  <c r="T76" i="8"/>
  <c r="W76" i="8" s="1"/>
  <c r="T77" i="8"/>
  <c r="W77" i="8" s="1"/>
  <c r="W79" i="8"/>
  <c r="F80" i="8"/>
  <c r="W80" i="8"/>
  <c r="W81" i="8"/>
  <c r="F82" i="8"/>
  <c r="W82" i="8"/>
  <c r="W83" i="8"/>
  <c r="W84" i="8"/>
  <c r="F85" i="8"/>
  <c r="W85" i="8"/>
  <c r="W86" i="8"/>
  <c r="W87" i="8"/>
  <c r="F88" i="8"/>
  <c r="W88" i="8"/>
  <c r="W89" i="8"/>
  <c r="W90" i="8"/>
  <c r="F91" i="8"/>
  <c r="F90" i="8" s="1"/>
  <c r="W91" i="8"/>
  <c r="W92" i="8"/>
  <c r="G21" i="6"/>
  <c r="H21" i="6" s="1"/>
  <c r="F22" i="6"/>
  <c r="G23" i="6"/>
  <c r="H23" i="6" s="1"/>
  <c r="G24" i="6"/>
  <c r="H24" i="6" s="1"/>
  <c r="G25" i="6"/>
  <c r="H25" i="6" s="1"/>
  <c r="G27" i="6"/>
  <c r="H27" i="6" s="1"/>
  <c r="G28" i="6"/>
  <c r="H28" i="6" s="1"/>
  <c r="G29" i="6"/>
  <c r="H29" i="6" s="1"/>
  <c r="U30" i="6"/>
  <c r="G31" i="6"/>
  <c r="H31" i="6" s="1"/>
  <c r="G32" i="6"/>
  <c r="H32" i="6" s="1"/>
  <c r="G33" i="6"/>
  <c r="H33" i="6" s="1"/>
  <c r="G34" i="6"/>
  <c r="H34" i="6" s="1"/>
  <c r="G35" i="6"/>
  <c r="H35" i="6" s="1"/>
  <c r="F37" i="6"/>
  <c r="G38" i="6"/>
  <c r="H38" i="6" s="1"/>
  <c r="G39" i="6"/>
  <c r="H39" i="6" s="1"/>
  <c r="G40" i="6"/>
  <c r="H40" i="6" s="1"/>
  <c r="F47" i="6"/>
  <c r="G48" i="6"/>
  <c r="H48" i="6" s="1"/>
  <c r="G49" i="6"/>
  <c r="H49" i="6" s="1"/>
  <c r="G51" i="6"/>
  <c r="H51" i="6" s="1"/>
  <c r="F50" i="6"/>
  <c r="G58" i="6"/>
  <c r="H58" i="6" s="1"/>
  <c r="E8" i="21"/>
  <c r="E11" i="21"/>
  <c r="E10" i="21" s="1"/>
  <c r="E14" i="21"/>
  <c r="E17" i="21"/>
  <c r="E23" i="21"/>
  <c r="E27" i="21"/>
  <c r="F27" i="21" s="1"/>
  <c r="E30" i="21"/>
  <c r="C30" i="1" s="1"/>
  <c r="E34" i="21"/>
  <c r="E8" i="20"/>
  <c r="E11" i="20"/>
  <c r="E10" i="20" s="1"/>
  <c r="C20" i="1" s="1"/>
  <c r="E14" i="20"/>
  <c r="E13" i="20" s="1"/>
  <c r="E17" i="20"/>
  <c r="E16" i="20" s="1"/>
  <c r="E20" i="20"/>
  <c r="E19" i="20" s="1"/>
  <c r="E23" i="20"/>
  <c r="E27" i="20"/>
  <c r="E26" i="20" s="1"/>
  <c r="C22" i="1" s="1"/>
  <c r="E31" i="20"/>
  <c r="E30" i="20" s="1"/>
  <c r="C23" i="1" s="1"/>
  <c r="D4" i="20"/>
  <c r="D4" i="21" s="1"/>
  <c r="F4" i="19"/>
  <c r="E4" i="20" s="1"/>
  <c r="E4" i="21" s="1"/>
  <c r="F8" i="19"/>
  <c r="G8" i="19" s="1"/>
  <c r="G7" i="19" s="1"/>
  <c r="F11" i="19"/>
  <c r="F10" i="19" s="1"/>
  <c r="F33" i="19"/>
  <c r="C9" i="1" s="1"/>
  <c r="K4" i="4"/>
  <c r="L4" i="4"/>
  <c r="E13" i="24"/>
  <c r="F13" i="24" s="1"/>
  <c r="E14" i="24"/>
  <c r="F14" i="24" s="1"/>
  <c r="E23" i="24"/>
  <c r="D31" i="24"/>
  <c r="E31" i="24"/>
  <c r="E41" i="24"/>
  <c r="F62" i="24"/>
  <c r="G13" i="9"/>
  <c r="R14" i="9"/>
  <c r="F67" i="24"/>
  <c r="E20" i="24"/>
  <c r="W109" i="18"/>
  <c r="W108" i="18"/>
  <c r="W114" i="18"/>
  <c r="X111" i="18"/>
  <c r="Y111" i="18" s="1"/>
  <c r="X95" i="18"/>
  <c r="Y95" i="18" s="1"/>
  <c r="Z114" i="18"/>
  <c r="Z110" i="18"/>
  <c r="V108" i="18"/>
  <c r="AA101" i="18"/>
  <c r="AA95" i="18"/>
  <c r="S34" i="18"/>
  <c r="V34" i="18" s="1"/>
  <c r="Y20" i="18"/>
  <c r="U20" i="18"/>
  <c r="Z20" i="18"/>
  <c r="V20" i="18"/>
  <c r="Y51" i="18"/>
  <c r="W20" i="18"/>
  <c r="X20" i="18" s="1"/>
  <c r="Z99" i="18"/>
  <c r="E66" i="24"/>
  <c r="E59" i="24"/>
  <c r="E63" i="24"/>
  <c r="E61" i="24"/>
  <c r="E64" i="24"/>
  <c r="R36" i="18" l="1"/>
  <c r="S35" i="18"/>
  <c r="Z34" i="18"/>
  <c r="AA94" i="18"/>
  <c r="AA111" i="18"/>
  <c r="U7" i="8"/>
  <c r="C19" i="1"/>
  <c r="Z111" i="18"/>
  <c r="W111" i="18"/>
  <c r="F118" i="18"/>
  <c r="F119" i="18" s="1"/>
  <c r="F120" i="18" s="1"/>
  <c r="F121" i="18" s="1"/>
  <c r="F122" i="18" s="1"/>
  <c r="F123" i="18" s="1"/>
  <c r="F124" i="18" s="1"/>
  <c r="F125" i="18" s="1"/>
  <c r="F126" i="18" s="1"/>
  <c r="Y33" i="26"/>
  <c r="W33" i="26"/>
  <c r="X33" i="26" s="1"/>
  <c r="W89" i="26"/>
  <c r="X89" i="26" s="1"/>
  <c r="Q5" i="26"/>
  <c r="V33" i="26"/>
  <c r="L25" i="27"/>
  <c r="L24" i="27" s="1"/>
  <c r="T7" i="6"/>
  <c r="M15" i="4"/>
  <c r="L15" i="27"/>
  <c r="Y20" i="26"/>
  <c r="W20" i="26"/>
  <c r="X20" i="26" s="1"/>
  <c r="T118" i="18"/>
  <c r="O40" i="13"/>
  <c r="F30" i="30"/>
  <c r="G30" i="30" s="1"/>
  <c r="W50" i="26"/>
  <c r="X50" i="26" s="1"/>
  <c r="W102" i="26"/>
  <c r="X102" i="26" s="1"/>
  <c r="F13" i="4"/>
  <c r="G13" i="4" s="1"/>
  <c r="G14" i="4"/>
  <c r="F10" i="4"/>
  <c r="G10" i="4" s="1"/>
  <c r="G11" i="4"/>
  <c r="H16" i="15"/>
  <c r="C21" i="1"/>
  <c r="C18" i="1" s="1"/>
  <c r="L9" i="27"/>
  <c r="L9" i="4"/>
  <c r="M14" i="4"/>
  <c r="N14" i="4" s="1"/>
  <c r="M46" i="4"/>
  <c r="N47" i="4" s="1"/>
  <c r="F4" i="6"/>
  <c r="F4" i="8" s="1"/>
  <c r="F4" i="22" s="1"/>
  <c r="F4" i="30"/>
  <c r="F32" i="19"/>
  <c r="E4" i="6"/>
  <c r="E4" i="8" s="1"/>
  <c r="E4" i="22" s="1"/>
  <c r="D4" i="27" s="1"/>
  <c r="K4" i="27" s="1"/>
  <c r="E4" i="30"/>
  <c r="T8" i="6"/>
  <c r="Y19" i="17"/>
  <c r="L46" i="4"/>
  <c r="L45" i="4" s="1"/>
  <c r="G24" i="19"/>
  <c r="Z31" i="17"/>
  <c r="Z19" i="17" s="1"/>
  <c r="M45" i="27"/>
  <c r="L44" i="27"/>
  <c r="M44" i="27" s="1"/>
  <c r="F36" i="4"/>
  <c r="G36" i="4" s="1"/>
  <c r="F17" i="21"/>
  <c r="G17" i="21" s="1"/>
  <c r="E16" i="21"/>
  <c r="F7" i="4"/>
  <c r="G7" i="4" s="1"/>
  <c r="M52" i="4"/>
  <c r="N53" i="4" s="1"/>
  <c r="M49" i="4"/>
  <c r="N50" i="4" s="1"/>
  <c r="U19" i="17"/>
  <c r="W99" i="18"/>
  <c r="Z108" i="18"/>
  <c r="X99" i="18"/>
  <c r="Y99" i="18" s="1"/>
  <c r="Z35" i="18"/>
  <c r="W33" i="18"/>
  <c r="X33" i="18" s="1"/>
  <c r="V33" i="18"/>
  <c r="U33" i="18"/>
  <c r="AA99" i="18"/>
  <c r="AA108" i="18"/>
  <c r="Z95" i="18"/>
  <c r="AB51" i="18"/>
  <c r="Z33" i="18"/>
  <c r="W95" i="18"/>
  <c r="AB56" i="18"/>
  <c r="I6" i="18"/>
  <c r="I5" i="18" s="1"/>
  <c r="Y34" i="18"/>
  <c r="U34" i="18"/>
  <c r="T89" i="18"/>
  <c r="AA20" i="18"/>
  <c r="AA98" i="18"/>
  <c r="X109" i="18"/>
  <c r="Y109" i="18" s="1"/>
  <c r="Q115" i="18"/>
  <c r="F45" i="27"/>
  <c r="G21" i="22"/>
  <c r="H21" i="22" s="1"/>
  <c r="G20" i="22"/>
  <c r="H20" i="22" s="1"/>
  <c r="G10" i="22"/>
  <c r="H10" i="22" s="1"/>
  <c r="T85" i="22"/>
  <c r="G65" i="22"/>
  <c r="H65" i="22" s="1"/>
  <c r="F27" i="22"/>
  <c r="G29" i="22"/>
  <c r="H29" i="22" s="1"/>
  <c r="G17" i="22"/>
  <c r="H17" i="22" s="1"/>
  <c r="G9" i="22"/>
  <c r="H9" i="22" s="1"/>
  <c r="G13" i="22"/>
  <c r="H13" i="22" s="1"/>
  <c r="G23" i="22"/>
  <c r="H23" i="22" s="1"/>
  <c r="G15" i="22"/>
  <c r="H15" i="22" s="1"/>
  <c r="M51" i="27"/>
  <c r="G83" i="22"/>
  <c r="H83" i="22" s="1"/>
  <c r="R29" i="9"/>
  <c r="G29" i="9" s="1"/>
  <c r="AC30" i="17"/>
  <c r="Z6" i="17"/>
  <c r="R5" i="17"/>
  <c r="AC18" i="17"/>
  <c r="AC6" i="17" s="1"/>
  <c r="U33" i="22"/>
  <c r="G33" i="22"/>
  <c r="H33" i="22" s="1"/>
  <c r="G81" i="22"/>
  <c r="H81" i="22" s="1"/>
  <c r="AA31" i="17"/>
  <c r="AB31" i="17"/>
  <c r="X31" i="17"/>
  <c r="W31" i="17"/>
  <c r="G85" i="22"/>
  <c r="H85" i="22" s="1"/>
  <c r="F92" i="22"/>
  <c r="G92" i="22" s="1"/>
  <c r="H92" i="22" s="1"/>
  <c r="G93" i="22"/>
  <c r="H93" i="22" s="1"/>
  <c r="G87" i="22"/>
  <c r="H87" i="22" s="1"/>
  <c r="F89" i="22"/>
  <c r="E31" i="1" s="1"/>
  <c r="G90" i="22"/>
  <c r="H90" i="22" s="1"/>
  <c r="F47" i="22"/>
  <c r="G48" i="22"/>
  <c r="H48" i="22" s="1"/>
  <c r="F59" i="24"/>
  <c r="F66" i="24"/>
  <c r="F20" i="24"/>
  <c r="T9" i="22"/>
  <c r="E25" i="1"/>
  <c r="G90" i="8"/>
  <c r="F87" i="8"/>
  <c r="G88" i="8"/>
  <c r="G82" i="8"/>
  <c r="G78" i="8"/>
  <c r="G91" i="8"/>
  <c r="G62" i="8"/>
  <c r="H62" i="8" s="1"/>
  <c r="F45" i="8"/>
  <c r="G46" i="8"/>
  <c r="H46" i="8" s="1"/>
  <c r="G85" i="8"/>
  <c r="V8" i="8"/>
  <c r="W8" i="8" s="1"/>
  <c r="G80" i="8"/>
  <c r="G38" i="8"/>
  <c r="H38" i="8" s="1"/>
  <c r="L33" i="27"/>
  <c r="M33" i="27" s="1"/>
  <c r="G57" i="6"/>
  <c r="H57" i="6" s="1"/>
  <c r="F36" i="6"/>
  <c r="E26" i="21"/>
  <c r="F26" i="21" s="1"/>
  <c r="E33" i="21"/>
  <c r="C31" i="1" s="1"/>
  <c r="C26" i="1" s="1"/>
  <c r="F34" i="21"/>
  <c r="G34" i="21" s="1"/>
  <c r="E22" i="21"/>
  <c r="F23" i="21"/>
  <c r="E29" i="21"/>
  <c r="F30" i="21"/>
  <c r="G30" i="21" s="1"/>
  <c r="F7" i="19"/>
  <c r="D21" i="19"/>
  <c r="E75" i="24"/>
  <c r="F75" i="24" s="1"/>
  <c r="M44" i="4"/>
  <c r="E50" i="24"/>
  <c r="F50" i="24" s="1"/>
  <c r="M23" i="4"/>
  <c r="N23" i="4" s="1"/>
  <c r="E53" i="24"/>
  <c r="F53" i="24" s="1"/>
  <c r="M28" i="4"/>
  <c r="N28" i="4" s="1"/>
  <c r="E49" i="24"/>
  <c r="F49" i="24" s="1"/>
  <c r="M22" i="4"/>
  <c r="N22" i="4" s="1"/>
  <c r="E43" i="24"/>
  <c r="F43" i="24" s="1"/>
  <c r="E44" i="24"/>
  <c r="F44" i="24" s="1"/>
  <c r="M16" i="4"/>
  <c r="N16" i="4" s="1"/>
  <c r="E65" i="24"/>
  <c r="F65" i="24" s="1"/>
  <c r="E52" i="24"/>
  <c r="F52" i="24" s="1"/>
  <c r="M27" i="4"/>
  <c r="N27" i="4" s="1"/>
  <c r="E47" i="24"/>
  <c r="F47" i="24" s="1"/>
  <c r="M20" i="4"/>
  <c r="N20" i="4" s="1"/>
  <c r="E51" i="24"/>
  <c r="F51" i="24" s="1"/>
  <c r="M26" i="4"/>
  <c r="N26" i="4" s="1"/>
  <c r="E57" i="24"/>
  <c r="F57" i="24" s="1"/>
  <c r="F61" i="24"/>
  <c r="R23" i="18"/>
  <c r="R24" i="18" s="1"/>
  <c r="S22" i="18"/>
  <c r="V22" i="18" s="1"/>
  <c r="U9" i="26"/>
  <c r="W35" i="18"/>
  <c r="X35" i="18" s="1"/>
  <c r="Z97" i="18"/>
  <c r="AA33" i="18"/>
  <c r="S21" i="18"/>
  <c r="X97" i="18"/>
  <c r="Y97" i="18" s="1"/>
  <c r="T117" i="18"/>
  <c r="V50" i="18"/>
  <c r="U7" i="26"/>
  <c r="I6" i="26"/>
  <c r="I5" i="26" s="1"/>
  <c r="V20" i="26"/>
  <c r="O119" i="18"/>
  <c r="O120" i="18" s="1"/>
  <c r="O121" i="18" s="1"/>
  <c r="O122" i="18" s="1"/>
  <c r="O123" i="18" s="1"/>
  <c r="W97" i="18"/>
  <c r="Z113" i="18"/>
  <c r="X113" i="18"/>
  <c r="Y113" i="18" s="1"/>
  <c r="W113" i="18"/>
  <c r="E13" i="21"/>
  <c r="E29" i="4"/>
  <c r="F29" i="4" s="1"/>
  <c r="F28" i="4" s="1"/>
  <c r="G47" i="6"/>
  <c r="H47" i="6" s="1"/>
  <c r="L33" i="4"/>
  <c r="M33" i="4" s="1"/>
  <c r="N33" i="4" s="1"/>
  <c r="G22" i="6"/>
  <c r="H22" i="6" s="1"/>
  <c r="Z101" i="18"/>
  <c r="AA97" i="18"/>
  <c r="W101" i="18"/>
  <c r="Z109" i="18"/>
  <c r="AA113" i="18"/>
  <c r="X101" i="18"/>
  <c r="Y101" i="18" s="1"/>
  <c r="AA109" i="18"/>
  <c r="F73" i="8"/>
  <c r="E78" i="24"/>
  <c r="F78" i="24" s="1"/>
  <c r="U10" i="26"/>
  <c r="U11" i="26"/>
  <c r="E58" i="24"/>
  <c r="F58" i="24" s="1"/>
  <c r="E45" i="24"/>
  <c r="F45" i="24" s="1"/>
  <c r="E40" i="24"/>
  <c r="F40" i="24" s="1"/>
  <c r="U6" i="8"/>
  <c r="Z52" i="8"/>
  <c r="G12" i="18"/>
  <c r="S12" i="18" s="1"/>
  <c r="G37" i="6"/>
  <c r="H37" i="6" s="1"/>
  <c r="E46" i="24"/>
  <c r="F46" i="24" s="1"/>
  <c r="F64" i="24"/>
  <c r="F41" i="24"/>
  <c r="G61" i="6"/>
  <c r="H61" i="6" s="1"/>
  <c r="F60" i="6"/>
  <c r="I115" i="18"/>
  <c r="V112" i="18"/>
  <c r="X112" i="18"/>
  <c r="Y112" i="18" s="1"/>
  <c r="W112" i="18"/>
  <c r="V100" i="18"/>
  <c r="X100" i="18"/>
  <c r="Y100" i="18" s="1"/>
  <c r="W100" i="18"/>
  <c r="V96" i="18"/>
  <c r="W96" i="18"/>
  <c r="N16" i="18"/>
  <c r="N15" i="18"/>
  <c r="N18" i="18"/>
  <c r="N14" i="18"/>
  <c r="Y52" i="26"/>
  <c r="AB52" i="26" s="1"/>
  <c r="U95" i="22"/>
  <c r="Y22" i="18"/>
  <c r="U35" i="18"/>
  <c r="W34" i="18"/>
  <c r="X34" i="18" s="1"/>
  <c r="W21" i="18"/>
  <c r="X21" i="18" s="1"/>
  <c r="AA100" i="18"/>
  <c r="Z112" i="18"/>
  <c r="T10" i="22"/>
  <c r="AA110" i="18"/>
  <c r="E19" i="24"/>
  <c r="E15" i="24"/>
  <c r="F15" i="24" s="1"/>
  <c r="E7" i="21"/>
  <c r="F84" i="8"/>
  <c r="E23" i="1"/>
  <c r="AA50" i="18"/>
  <c r="W50" i="18"/>
  <c r="Z108" i="26"/>
  <c r="Z102" i="26" s="1"/>
  <c r="T102" i="26"/>
  <c r="Z100" i="18"/>
  <c r="T102" i="18"/>
  <c r="AB115" i="18"/>
  <c r="V114" i="18"/>
  <c r="X114" i="18"/>
  <c r="Y114" i="18" s="1"/>
  <c r="V110" i="18"/>
  <c r="X110" i="18"/>
  <c r="V98" i="18"/>
  <c r="W98" i="18"/>
  <c r="Z98" i="18"/>
  <c r="V94" i="18"/>
  <c r="W94" i="18"/>
  <c r="Z94" i="18"/>
  <c r="AB58" i="18"/>
  <c r="AB57" i="18"/>
  <c r="N17" i="18"/>
  <c r="AB56" i="26"/>
  <c r="Z96" i="18"/>
  <c r="AA96" i="18"/>
  <c r="AA112" i="18"/>
  <c r="Y52" i="18"/>
  <c r="Y50" i="18" s="1"/>
  <c r="X50" i="18"/>
  <c r="Z50" i="18"/>
  <c r="AB61" i="18"/>
  <c r="AA11" i="18"/>
  <c r="AA7" i="18"/>
  <c r="E29" i="27"/>
  <c r="F29" i="27" s="1"/>
  <c r="N115" i="18"/>
  <c r="AB59" i="18"/>
  <c r="AB53" i="18"/>
  <c r="AA10" i="18"/>
  <c r="G12" i="26"/>
  <c r="E37" i="27"/>
  <c r="F37" i="27" s="1"/>
  <c r="L50" i="27"/>
  <c r="M50" i="27" s="1"/>
  <c r="M32" i="27"/>
  <c r="E28" i="1"/>
  <c r="F63" i="24"/>
  <c r="G19" i="9"/>
  <c r="R38" i="9"/>
  <c r="G38" i="9" s="1"/>
  <c r="G37" i="9" s="1"/>
  <c r="H47" i="9"/>
  <c r="H56" i="9" s="1"/>
  <c r="R56" i="9" s="1"/>
  <c r="G56" i="9" s="1"/>
  <c r="G55" i="9" s="1"/>
  <c r="Y11" i="26"/>
  <c r="Z11" i="26"/>
  <c r="Y10" i="26"/>
  <c r="Z10" i="26"/>
  <c r="Y9" i="26"/>
  <c r="Z9" i="26"/>
  <c r="AA7" i="26"/>
  <c r="M27" i="27"/>
  <c r="M28" i="27"/>
  <c r="M49" i="27"/>
  <c r="M16" i="27"/>
  <c r="M19" i="27"/>
  <c r="M22" i="27"/>
  <c r="M20" i="27"/>
  <c r="E11" i="27"/>
  <c r="F11" i="27" s="1"/>
  <c r="M14" i="27"/>
  <c r="M18" i="27"/>
  <c r="M34" i="27"/>
  <c r="F41" i="27"/>
  <c r="F32" i="27"/>
  <c r="M36" i="27"/>
  <c r="M48" i="27"/>
  <c r="M47" i="27"/>
  <c r="E14" i="27"/>
  <c r="M23" i="27"/>
  <c r="U8" i="26"/>
  <c r="Z8" i="26"/>
  <c r="Y8" i="26"/>
  <c r="E23" i="27"/>
  <c r="F23" i="27" s="1"/>
  <c r="E40" i="27"/>
  <c r="E8" i="27"/>
  <c r="L25" i="4"/>
  <c r="D19" i="24"/>
  <c r="E22" i="24"/>
  <c r="F22" i="24" s="1"/>
  <c r="D23" i="24"/>
  <c r="F23" i="24" s="1"/>
  <c r="F46" i="27"/>
  <c r="D33" i="24"/>
  <c r="H17" i="15"/>
  <c r="E17" i="24"/>
  <c r="F17" i="24" s="1"/>
  <c r="E25" i="24"/>
  <c r="F25" i="24" s="1"/>
  <c r="E16" i="24"/>
  <c r="F16" i="24" s="1"/>
  <c r="E9" i="24"/>
  <c r="F9" i="24" s="1"/>
  <c r="E27" i="24"/>
  <c r="F27" i="24" s="1"/>
  <c r="E24" i="24"/>
  <c r="F24" i="24" s="1"/>
  <c r="G22" i="9"/>
  <c r="R32" i="9"/>
  <c r="G32" i="9" s="1"/>
  <c r="G31" i="9" s="1"/>
  <c r="Z20" i="26"/>
  <c r="AB51" i="26"/>
  <c r="Z50" i="26"/>
  <c r="AB61" i="26"/>
  <c r="AA50" i="26"/>
  <c r="AB55" i="26"/>
  <c r="AB53" i="26"/>
  <c r="AB59" i="26"/>
  <c r="AB60" i="26"/>
  <c r="AA108" i="26"/>
  <c r="AA109" i="26"/>
  <c r="AA110" i="26"/>
  <c r="AA111" i="26"/>
  <c r="AA112" i="26"/>
  <c r="AA113" i="26"/>
  <c r="AA114" i="26"/>
  <c r="Z33" i="26"/>
  <c r="AB57" i="26"/>
  <c r="T89" i="26"/>
  <c r="Y109" i="26"/>
  <c r="Y110" i="26"/>
  <c r="Y111" i="26"/>
  <c r="Y112" i="26"/>
  <c r="Y113" i="26"/>
  <c r="Y114" i="26"/>
  <c r="K14" i="26"/>
  <c r="K15" i="26" s="1"/>
  <c r="K16" i="26" s="1"/>
  <c r="K17" i="26" s="1"/>
  <c r="K18" i="26" s="1"/>
  <c r="L15" i="26"/>
  <c r="L16" i="26" s="1"/>
  <c r="L17" i="26" s="1"/>
  <c r="L18" i="26" s="1"/>
  <c r="R14" i="26"/>
  <c r="R15" i="26" s="1"/>
  <c r="R16" i="26" s="1"/>
  <c r="R17" i="26" s="1"/>
  <c r="R18" i="26" s="1"/>
  <c r="R36" i="26"/>
  <c r="S35" i="26"/>
  <c r="W35" i="26" s="1"/>
  <c r="X35" i="26" s="1"/>
  <c r="Z89" i="26"/>
  <c r="R23" i="26"/>
  <c r="S22" i="26"/>
  <c r="W22" i="26" s="1"/>
  <c r="X22" i="26" s="1"/>
  <c r="N15" i="26"/>
  <c r="N16" i="26"/>
  <c r="N17" i="26"/>
  <c r="N14" i="26"/>
  <c r="N18" i="26"/>
  <c r="O13" i="26"/>
  <c r="AB54" i="26"/>
  <c r="AB58" i="26"/>
  <c r="AB62" i="26"/>
  <c r="S12" i="26"/>
  <c r="W12" i="26" s="1"/>
  <c r="X12" i="26" s="1"/>
  <c r="F13" i="26"/>
  <c r="Y95" i="26"/>
  <c r="Y96" i="26"/>
  <c r="Y97" i="26"/>
  <c r="Y98" i="26"/>
  <c r="Y99" i="26"/>
  <c r="Y100" i="26"/>
  <c r="Y101" i="26"/>
  <c r="U20" i="26"/>
  <c r="S21" i="26"/>
  <c r="W21" i="26" s="1"/>
  <c r="X21" i="26" s="1"/>
  <c r="U33" i="26"/>
  <c r="S34" i="26"/>
  <c r="W34" i="26" s="1"/>
  <c r="X34" i="26" s="1"/>
  <c r="V50" i="26"/>
  <c r="AA94" i="26"/>
  <c r="AA95" i="26"/>
  <c r="AA96" i="26"/>
  <c r="AA97" i="26"/>
  <c r="AA98" i="26"/>
  <c r="AA99" i="26"/>
  <c r="AA100" i="26"/>
  <c r="AA101" i="26"/>
  <c r="V108" i="26"/>
  <c r="V109" i="26"/>
  <c r="V110" i="26"/>
  <c r="V111" i="26"/>
  <c r="AB111" i="26" s="1"/>
  <c r="V112" i="26"/>
  <c r="V113" i="26"/>
  <c r="V114" i="26"/>
  <c r="V94" i="26"/>
  <c r="V95" i="26"/>
  <c r="V96" i="26"/>
  <c r="V97" i="26"/>
  <c r="V98" i="26"/>
  <c r="V99" i="26"/>
  <c r="V100" i="26"/>
  <c r="V101" i="26"/>
  <c r="AB62" i="18"/>
  <c r="AB60" i="18"/>
  <c r="AB54" i="18"/>
  <c r="F13" i="18"/>
  <c r="F15" i="18" s="1"/>
  <c r="AB55" i="18"/>
  <c r="U31" i="6"/>
  <c r="T119" i="18"/>
  <c r="AB108" i="18"/>
  <c r="L16" i="18"/>
  <c r="L17" i="18" s="1"/>
  <c r="L18" i="18" s="1"/>
  <c r="AA8" i="18"/>
  <c r="G102" i="9"/>
  <c r="G12" i="9"/>
  <c r="Y89" i="18"/>
  <c r="O33" i="13"/>
  <c r="O14" i="18"/>
  <c r="O15" i="18"/>
  <c r="O16" i="18"/>
  <c r="O18" i="18"/>
  <c r="O17" i="18"/>
  <c r="H50" i="9"/>
  <c r="H59" i="9" s="1"/>
  <c r="R59" i="9" s="1"/>
  <c r="G59" i="9" s="1"/>
  <c r="G58" i="9" s="1"/>
  <c r="G52" i="9" s="1"/>
  <c r="R41" i="9"/>
  <c r="G41" i="9" s="1"/>
  <c r="G40" i="9" s="1"/>
  <c r="AB101" i="18"/>
  <c r="O5" i="13"/>
  <c r="F26" i="30" s="1"/>
  <c r="O127" i="18"/>
  <c r="V89" i="18"/>
  <c r="R14" i="18"/>
  <c r="R15" i="18" s="1"/>
  <c r="R16" i="18" s="1"/>
  <c r="R17" i="18" s="1"/>
  <c r="R18" i="18" s="1"/>
  <c r="U9" i="18"/>
  <c r="AA9" i="18" s="1"/>
  <c r="G28" i="9"/>
  <c r="K15" i="18"/>
  <c r="K16" i="18" s="1"/>
  <c r="K17" i="18" s="1"/>
  <c r="K18" i="18" s="1"/>
  <c r="G35" i="9"/>
  <c r="G8" i="9"/>
  <c r="AB111" i="18"/>
  <c r="AB95" i="18"/>
  <c r="O19" i="13"/>
  <c r="F27" i="30" s="1"/>
  <c r="G27" i="30" s="1"/>
  <c r="E7" i="20"/>
  <c r="F17" i="18"/>
  <c r="F16" i="18"/>
  <c r="H13" i="18"/>
  <c r="E7" i="24"/>
  <c r="H11" i="15"/>
  <c r="E8" i="24"/>
  <c r="F8" i="24" s="1"/>
  <c r="H12" i="15"/>
  <c r="L52" i="4"/>
  <c r="L51" i="4" s="1"/>
  <c r="H25" i="15" s="1"/>
  <c r="L49" i="4"/>
  <c r="L48" i="4" s="1"/>
  <c r="F25" i="30" l="1"/>
  <c r="G26" i="30"/>
  <c r="AA34" i="18"/>
  <c r="AB99" i="18"/>
  <c r="G16" i="9"/>
  <c r="V102" i="18"/>
  <c r="F115" i="18"/>
  <c r="Y35" i="18"/>
  <c r="AA35" i="18" s="1"/>
  <c r="V35" i="18"/>
  <c r="S36" i="18"/>
  <c r="R37" i="18"/>
  <c r="N45" i="4"/>
  <c r="N44" i="4"/>
  <c r="L24" i="4"/>
  <c r="H21" i="15" s="1"/>
  <c r="E4" i="27"/>
  <c r="L4" i="27" s="1"/>
  <c r="M45" i="4"/>
  <c r="N46" i="4" s="1"/>
  <c r="AA11" i="26"/>
  <c r="M42" i="4"/>
  <c r="N42" i="4" s="1"/>
  <c r="M41" i="27"/>
  <c r="H24" i="15"/>
  <c r="E76" i="24"/>
  <c r="F76" i="24" s="1"/>
  <c r="M43" i="4"/>
  <c r="N43" i="4" s="1"/>
  <c r="M51" i="4"/>
  <c r="N52" i="4" s="1"/>
  <c r="M48" i="4"/>
  <c r="N49" i="4" s="1"/>
  <c r="AB96" i="18"/>
  <c r="AB113" i="18"/>
  <c r="AB52" i="18"/>
  <c r="AB50" i="18" s="1"/>
  <c r="AA89" i="18"/>
  <c r="AB97" i="18"/>
  <c r="S23" i="18"/>
  <c r="V23" i="18" s="1"/>
  <c r="AB100" i="18"/>
  <c r="AB109" i="18"/>
  <c r="AB94" i="18"/>
  <c r="AB98" i="18"/>
  <c r="E44" i="27"/>
  <c r="U92" i="22"/>
  <c r="E73" i="24"/>
  <c r="F73" i="24" s="1"/>
  <c r="E74" i="24"/>
  <c r="F74" i="24" s="1"/>
  <c r="G19" i="19"/>
  <c r="AA19" i="17"/>
  <c r="X19" i="17"/>
  <c r="AB19" i="17"/>
  <c r="W19" i="17"/>
  <c r="U89" i="22"/>
  <c r="U6" i="22" s="1"/>
  <c r="G89" i="22"/>
  <c r="H89" i="22" s="1"/>
  <c r="E30" i="1"/>
  <c r="H76" i="22"/>
  <c r="G47" i="22"/>
  <c r="H47" i="22" s="1"/>
  <c r="E29" i="1"/>
  <c r="E36" i="27"/>
  <c r="F36" i="27" s="1"/>
  <c r="G60" i="6"/>
  <c r="H60" i="6" s="1"/>
  <c r="F59" i="6"/>
  <c r="G87" i="8"/>
  <c r="G84" i="8"/>
  <c r="E24" i="1"/>
  <c r="E21" i="1"/>
  <c r="G45" i="8"/>
  <c r="H45" i="8" s="1"/>
  <c r="F50" i="8"/>
  <c r="E22" i="1" s="1"/>
  <c r="G73" i="8"/>
  <c r="H73" i="8" s="1"/>
  <c r="W7" i="8"/>
  <c r="G36" i="6"/>
  <c r="H36" i="6" s="1"/>
  <c r="M25" i="4"/>
  <c r="N25" i="4" s="1"/>
  <c r="G56" i="6"/>
  <c r="H56" i="6" s="1"/>
  <c r="F22" i="21"/>
  <c r="F29" i="21"/>
  <c r="G29" i="21" s="1"/>
  <c r="F33" i="21"/>
  <c r="G33" i="21" s="1"/>
  <c r="F19" i="24"/>
  <c r="E28" i="27"/>
  <c r="F28" i="27" s="1"/>
  <c r="E77" i="24"/>
  <c r="F77" i="24" s="1"/>
  <c r="H23" i="15"/>
  <c r="W89" i="18"/>
  <c r="E79" i="24"/>
  <c r="F79" i="24" s="1"/>
  <c r="AB112" i="18"/>
  <c r="AB114" i="26"/>
  <c r="AA10" i="26"/>
  <c r="AA102" i="18"/>
  <c r="Z102" i="18"/>
  <c r="Z56" i="8"/>
  <c r="Z73" i="8" s="1"/>
  <c r="Z21" i="18"/>
  <c r="U21" i="18"/>
  <c r="V21" i="18"/>
  <c r="Y21" i="18"/>
  <c r="U22" i="18"/>
  <c r="W22" i="18"/>
  <c r="X22" i="18" s="1"/>
  <c r="Z22" i="18"/>
  <c r="AB110" i="26"/>
  <c r="Y50" i="26"/>
  <c r="AB114" i="18"/>
  <c r="G25" i="9"/>
  <c r="W102" i="18"/>
  <c r="E28" i="4"/>
  <c r="E18" i="24" s="1"/>
  <c r="F18" i="24" s="1"/>
  <c r="M25" i="27"/>
  <c r="Z89" i="18"/>
  <c r="R6" i="26"/>
  <c r="Y23" i="18"/>
  <c r="W23" i="18"/>
  <c r="X23" i="18" s="1"/>
  <c r="U23" i="18"/>
  <c r="R6" i="18"/>
  <c r="K6" i="26"/>
  <c r="K5" i="26" s="1"/>
  <c r="AA9" i="26"/>
  <c r="X89" i="18"/>
  <c r="S24" i="18"/>
  <c r="R25" i="18"/>
  <c r="AB50" i="26"/>
  <c r="N6" i="26"/>
  <c r="N5" i="26" s="1"/>
  <c r="F22" i="19"/>
  <c r="Y110" i="18"/>
  <c r="X102" i="18"/>
  <c r="L6" i="26"/>
  <c r="L5" i="26" s="1"/>
  <c r="N6" i="18"/>
  <c r="N5" i="18" s="1"/>
  <c r="R47" i="9"/>
  <c r="G47" i="9" s="1"/>
  <c r="E10" i="27"/>
  <c r="F10" i="27" s="1"/>
  <c r="M24" i="27"/>
  <c r="F31" i="27"/>
  <c r="D10" i="24"/>
  <c r="M43" i="27"/>
  <c r="M42" i="27" s="1"/>
  <c r="E39" i="27"/>
  <c r="F39" i="27" s="1"/>
  <c r="F40" i="27"/>
  <c r="E7" i="27"/>
  <c r="F7" i="27" s="1"/>
  <c r="F8" i="27"/>
  <c r="F14" i="27"/>
  <c r="E13" i="27"/>
  <c r="F13" i="27" s="1"/>
  <c r="T35" i="8"/>
  <c r="W35" i="8" s="1"/>
  <c r="W6" i="8" s="1"/>
  <c r="F33" i="8"/>
  <c r="AA8" i="26"/>
  <c r="F36" i="19"/>
  <c r="G34" i="9"/>
  <c r="AB113" i="26"/>
  <c r="AB109" i="26"/>
  <c r="AA102" i="26"/>
  <c r="Y108" i="26"/>
  <c r="Y102" i="26" s="1"/>
  <c r="AB101" i="26"/>
  <c r="AB97" i="26"/>
  <c r="AB112" i="26"/>
  <c r="AA20" i="26"/>
  <c r="Y94" i="26"/>
  <c r="Y89" i="26" s="1"/>
  <c r="Z35" i="26"/>
  <c r="V35" i="26"/>
  <c r="Y35" i="26"/>
  <c r="U35" i="26"/>
  <c r="AB100" i="26"/>
  <c r="AB96" i="26"/>
  <c r="V102" i="26"/>
  <c r="Y21" i="26"/>
  <c r="U21" i="26"/>
  <c r="Z21" i="26"/>
  <c r="V21" i="26"/>
  <c r="O18" i="26"/>
  <c r="O15" i="26"/>
  <c r="O16" i="26"/>
  <c r="O17" i="26"/>
  <c r="O14" i="26"/>
  <c r="R24" i="26"/>
  <c r="S23" i="26"/>
  <c r="W23" i="26" s="1"/>
  <c r="X23" i="26" s="1"/>
  <c r="V89" i="26"/>
  <c r="AA33" i="26"/>
  <c r="Z12" i="26"/>
  <c r="V12" i="26"/>
  <c r="Y12" i="26"/>
  <c r="U12" i="26"/>
  <c r="Z22" i="26"/>
  <c r="V22" i="26"/>
  <c r="Y22" i="26"/>
  <c r="U22" i="26"/>
  <c r="AB98" i="26"/>
  <c r="AA89" i="26"/>
  <c r="Y34" i="26"/>
  <c r="U34" i="26"/>
  <c r="Z34" i="26"/>
  <c r="V34" i="26"/>
  <c r="F16" i="26"/>
  <c r="P13" i="26"/>
  <c r="F17" i="26"/>
  <c r="F18" i="26"/>
  <c r="F15" i="26"/>
  <c r="F14" i="26"/>
  <c r="H13" i="26"/>
  <c r="H6" i="26" s="1"/>
  <c r="H5" i="26" s="1"/>
  <c r="R37" i="26"/>
  <c r="S36" i="26"/>
  <c r="W36" i="26" s="1"/>
  <c r="X36" i="26" s="1"/>
  <c r="AB99" i="26"/>
  <c r="AB95" i="26"/>
  <c r="F14" i="18"/>
  <c r="P13" i="18"/>
  <c r="S13" i="18" s="1"/>
  <c r="F18" i="18"/>
  <c r="K6" i="18"/>
  <c r="K5" i="18" s="1"/>
  <c r="O6" i="18"/>
  <c r="O5" i="18" s="1"/>
  <c r="E72" i="24"/>
  <c r="F72" i="24" s="1"/>
  <c r="J16" i="18"/>
  <c r="P16" i="18"/>
  <c r="O4" i="13"/>
  <c r="G11" i="9"/>
  <c r="F46" i="6" s="1"/>
  <c r="R12" i="9"/>
  <c r="H6" i="18"/>
  <c r="H5" i="18" s="1"/>
  <c r="E56" i="24"/>
  <c r="F56" i="24" s="1"/>
  <c r="J17" i="18"/>
  <c r="P17" i="18"/>
  <c r="R50" i="9"/>
  <c r="G50" i="9" s="1"/>
  <c r="G49" i="9" s="1"/>
  <c r="T120" i="18"/>
  <c r="L6" i="18"/>
  <c r="E6" i="20"/>
  <c r="G15" i="18"/>
  <c r="P15" i="18"/>
  <c r="M15" i="18"/>
  <c r="M6" i="18" s="1"/>
  <c r="M5" i="18" s="1"/>
  <c r="G7" i="9"/>
  <c r="R8" i="9"/>
  <c r="F44" i="6"/>
  <c r="Y12" i="18"/>
  <c r="U12" i="18"/>
  <c r="Z12" i="18"/>
  <c r="V12" i="18"/>
  <c r="W12" i="18"/>
  <c r="O115" i="18"/>
  <c r="E55" i="24"/>
  <c r="F55" i="24" s="1"/>
  <c r="F7" i="24"/>
  <c r="AB89" i="18" l="1"/>
  <c r="O6" i="26"/>
  <c r="O5" i="26" s="1"/>
  <c r="R38" i="18"/>
  <c r="S37" i="18"/>
  <c r="AB108" i="26"/>
  <c r="Y36" i="18"/>
  <c r="W36" i="18"/>
  <c r="X36" i="18" s="1"/>
  <c r="Z36" i="18"/>
  <c r="U36" i="18"/>
  <c r="V36" i="18"/>
  <c r="L39" i="4"/>
  <c r="L38" i="27"/>
  <c r="F19" i="31"/>
  <c r="G19" i="31" s="1"/>
  <c r="H19" i="31" s="1"/>
  <c r="F20" i="30"/>
  <c r="G25" i="30"/>
  <c r="E11" i="1"/>
  <c r="G22" i="19"/>
  <c r="H22" i="19" s="1"/>
  <c r="C8" i="1"/>
  <c r="M24" i="4"/>
  <c r="N24" i="4" s="1"/>
  <c r="Z23" i="18"/>
  <c r="AA21" i="18"/>
  <c r="F20" i="27"/>
  <c r="T52" i="22"/>
  <c r="G25" i="19"/>
  <c r="H25" i="19" s="1"/>
  <c r="G59" i="6"/>
  <c r="H59" i="6" s="1"/>
  <c r="AC31" i="17"/>
  <c r="AC19" i="17" s="1"/>
  <c r="G52" i="22"/>
  <c r="H52" i="22" s="1"/>
  <c r="E20" i="1"/>
  <c r="G33" i="8"/>
  <c r="H33" i="8" s="1"/>
  <c r="G50" i="8"/>
  <c r="H50" i="8" s="1"/>
  <c r="G46" i="6"/>
  <c r="H46" i="6" s="1"/>
  <c r="F20" i="21"/>
  <c r="G20" i="21" s="1"/>
  <c r="E35" i="27"/>
  <c r="E35" i="4"/>
  <c r="AA22" i="18"/>
  <c r="AB94" i="26"/>
  <c r="AB89" i="26" s="1"/>
  <c r="S25" i="18"/>
  <c r="R26" i="18"/>
  <c r="Y102" i="18"/>
  <c r="AB110" i="18"/>
  <c r="AB102" i="18" s="1"/>
  <c r="Z24" i="18"/>
  <c r="Y24" i="18"/>
  <c r="W24" i="18"/>
  <c r="X24" i="18" s="1"/>
  <c r="U24" i="18"/>
  <c r="V24" i="18"/>
  <c r="S17" i="18"/>
  <c r="Z17" i="18" s="1"/>
  <c r="AA23" i="18"/>
  <c r="H65" i="9"/>
  <c r="G46" i="9"/>
  <c r="G43" i="9" s="1"/>
  <c r="M53" i="27"/>
  <c r="E43" i="27"/>
  <c r="F43" i="27" s="1"/>
  <c r="F44" i="27"/>
  <c r="E42" i="24"/>
  <c r="F42" i="24" s="1"/>
  <c r="D11" i="24"/>
  <c r="D6" i="24" s="1"/>
  <c r="E26" i="24"/>
  <c r="F26" i="24" s="1"/>
  <c r="H18" i="15"/>
  <c r="AB102" i="26"/>
  <c r="P17" i="26"/>
  <c r="J17" i="26"/>
  <c r="R25" i="26"/>
  <c r="S24" i="26"/>
  <c r="W24" i="26" s="1"/>
  <c r="X24" i="26" s="1"/>
  <c r="S13" i="26"/>
  <c r="W13" i="26" s="1"/>
  <c r="X13" i="26" s="1"/>
  <c r="AA22" i="26"/>
  <c r="P18" i="26"/>
  <c r="G18" i="26"/>
  <c r="J16" i="26"/>
  <c r="J6" i="26" s="1"/>
  <c r="J5" i="26" s="1"/>
  <c r="P16" i="26"/>
  <c r="Y23" i="26"/>
  <c r="U23" i="26"/>
  <c r="Z23" i="26"/>
  <c r="V23" i="26"/>
  <c r="R38" i="26"/>
  <c r="S37" i="26"/>
  <c r="W37" i="26" s="1"/>
  <c r="X37" i="26" s="1"/>
  <c r="P15" i="26"/>
  <c r="M15" i="26"/>
  <c r="M6" i="26" s="1"/>
  <c r="M5" i="26" s="1"/>
  <c r="G15" i="26"/>
  <c r="Y36" i="26"/>
  <c r="U36" i="26"/>
  <c r="Z36" i="26"/>
  <c r="V36" i="26"/>
  <c r="P14" i="26"/>
  <c r="AA12" i="26"/>
  <c r="F6" i="26"/>
  <c r="AA35" i="26"/>
  <c r="J6" i="18"/>
  <c r="J5" i="18" s="1"/>
  <c r="P14" i="18"/>
  <c r="S14" i="18" s="1"/>
  <c r="F6" i="18"/>
  <c r="G18" i="18"/>
  <c r="P18" i="18"/>
  <c r="H68" i="9"/>
  <c r="V13" i="18"/>
  <c r="W13" i="18"/>
  <c r="X13" i="18" s="1"/>
  <c r="Y13" i="18"/>
  <c r="U13" i="18"/>
  <c r="Z13" i="18"/>
  <c r="S15" i="18"/>
  <c r="S16" i="18"/>
  <c r="X12" i="18"/>
  <c r="AA12" i="18" s="1"/>
  <c r="L5" i="18"/>
  <c r="F14" i="22"/>
  <c r="G44" i="6"/>
  <c r="H44" i="6" s="1"/>
  <c r="Z6" i="8"/>
  <c r="T121" i="18"/>
  <c r="R39" i="18" l="1"/>
  <c r="S38" i="18"/>
  <c r="G20" i="30"/>
  <c r="E9" i="1"/>
  <c r="AA36" i="18"/>
  <c r="U37" i="18"/>
  <c r="Y37" i="18"/>
  <c r="Z37" i="18"/>
  <c r="V37" i="18"/>
  <c r="W37" i="18"/>
  <c r="X37" i="18" s="1"/>
  <c r="G50" i="6"/>
  <c r="F20" i="4"/>
  <c r="G20" i="4" s="1"/>
  <c r="Y17" i="18"/>
  <c r="W17" i="18"/>
  <c r="X17" i="18" s="1"/>
  <c r="G14" i="22"/>
  <c r="H14" i="22" s="1"/>
  <c r="F35" i="27"/>
  <c r="E34" i="27"/>
  <c r="E34" i="4"/>
  <c r="E30" i="4" s="1"/>
  <c r="F35" i="4"/>
  <c r="F16" i="21"/>
  <c r="E6" i="21"/>
  <c r="X8" i="22" s="1"/>
  <c r="H14" i="15"/>
  <c r="V17" i="18"/>
  <c r="U17" i="18"/>
  <c r="P6" i="26"/>
  <c r="P5" i="26" s="1"/>
  <c r="S17" i="26"/>
  <c r="W17" i="26" s="1"/>
  <c r="X17" i="26" s="1"/>
  <c r="AA24" i="18"/>
  <c r="S26" i="18"/>
  <c r="R27" i="18"/>
  <c r="U25" i="18"/>
  <c r="W25" i="18"/>
  <c r="X25" i="18" s="1"/>
  <c r="Y25" i="18"/>
  <c r="Z25" i="18"/>
  <c r="V25" i="18"/>
  <c r="H74" i="9"/>
  <c r="R65" i="9"/>
  <c r="G65" i="9" s="1"/>
  <c r="S14" i="26"/>
  <c r="W14" i="26" s="1"/>
  <c r="X14" i="26" s="1"/>
  <c r="S18" i="26"/>
  <c r="R39" i="26"/>
  <c r="S38" i="26"/>
  <c r="W38" i="26" s="1"/>
  <c r="X38" i="26" s="1"/>
  <c r="AA23" i="26"/>
  <c r="Y24" i="26"/>
  <c r="U24" i="26"/>
  <c r="Z24" i="26"/>
  <c r="V24" i="26"/>
  <c r="S16" i="26"/>
  <c r="W16" i="26" s="1"/>
  <c r="X16" i="26" s="1"/>
  <c r="AA21" i="26"/>
  <c r="Y37" i="26"/>
  <c r="U37" i="26"/>
  <c r="Z37" i="26"/>
  <c r="V37" i="26"/>
  <c r="Z13" i="26"/>
  <c r="V13" i="26"/>
  <c r="Y13" i="26"/>
  <c r="U13" i="26"/>
  <c r="AA36" i="26"/>
  <c r="AA34" i="26"/>
  <c r="G6" i="26"/>
  <c r="G5" i="26" s="1"/>
  <c r="Y14" i="26"/>
  <c r="R26" i="26"/>
  <c r="S25" i="26"/>
  <c r="W25" i="26" s="1"/>
  <c r="X25" i="26" s="1"/>
  <c r="Z17" i="26"/>
  <c r="V17" i="26"/>
  <c r="Y17" i="26"/>
  <c r="U17" i="26"/>
  <c r="S15" i="26"/>
  <c r="W15" i="26" s="1"/>
  <c r="X15" i="26" s="1"/>
  <c r="S18" i="18"/>
  <c r="Y18" i="18" s="1"/>
  <c r="P6" i="18"/>
  <c r="P5" i="18" s="1"/>
  <c r="U14" i="18"/>
  <c r="Y14" i="18"/>
  <c r="W14" i="18"/>
  <c r="X14" i="18" s="1"/>
  <c r="V14" i="18"/>
  <c r="Z14" i="18"/>
  <c r="G6" i="18"/>
  <c r="G5" i="18" s="1"/>
  <c r="E35" i="24"/>
  <c r="F35" i="24" s="1"/>
  <c r="AA17" i="18"/>
  <c r="AA13" i="18"/>
  <c r="F12" i="22"/>
  <c r="T122" i="18"/>
  <c r="W16" i="18"/>
  <c r="X16" i="18" s="1"/>
  <c r="U16" i="18"/>
  <c r="Z16" i="18"/>
  <c r="V16" i="18"/>
  <c r="Y16" i="18"/>
  <c r="W15" i="18"/>
  <c r="X15" i="18" s="1"/>
  <c r="U15" i="18"/>
  <c r="Z15" i="18"/>
  <c r="V15" i="18"/>
  <c r="Y15" i="18"/>
  <c r="R68" i="9"/>
  <c r="G68" i="9" s="1"/>
  <c r="G67" i="9" s="1"/>
  <c r="H77" i="9"/>
  <c r="Y18" i="26" l="1"/>
  <c r="Y6" i="26" s="1"/>
  <c r="W18" i="26"/>
  <c r="X18" i="26" s="1"/>
  <c r="AA37" i="18"/>
  <c r="W38" i="18"/>
  <c r="X38" i="18" s="1"/>
  <c r="Y38" i="18"/>
  <c r="Z38" i="18"/>
  <c r="U38" i="18"/>
  <c r="V38" i="18"/>
  <c r="R40" i="18"/>
  <c r="S39" i="18"/>
  <c r="L36" i="4"/>
  <c r="F34" i="4"/>
  <c r="F6" i="21"/>
  <c r="G6" i="21" s="1"/>
  <c r="G16" i="21"/>
  <c r="S6" i="18"/>
  <c r="U18" i="18"/>
  <c r="W18" i="18"/>
  <c r="X18" i="18" s="1"/>
  <c r="X6" i="18" s="1"/>
  <c r="M38" i="27"/>
  <c r="E68" i="24"/>
  <c r="F68" i="24" s="1"/>
  <c r="M39" i="4"/>
  <c r="N39" i="4" s="1"/>
  <c r="F8" i="22"/>
  <c r="T12" i="22"/>
  <c r="G12" i="22"/>
  <c r="H12" i="22" s="1"/>
  <c r="E21" i="24"/>
  <c r="F21" i="24" s="1"/>
  <c r="F34" i="27"/>
  <c r="E30" i="27"/>
  <c r="F30" i="27" s="1"/>
  <c r="S6" i="26"/>
  <c r="R74" i="9"/>
  <c r="G74" i="9" s="1"/>
  <c r="G73" i="9" s="1"/>
  <c r="H83" i="9"/>
  <c r="V14" i="26"/>
  <c r="V18" i="18"/>
  <c r="U14" i="26"/>
  <c r="AA14" i="26" s="1"/>
  <c r="Z14" i="26"/>
  <c r="V18" i="26"/>
  <c r="R28" i="18"/>
  <c r="S27" i="18"/>
  <c r="Y6" i="18"/>
  <c r="Z18" i="18"/>
  <c r="U18" i="26"/>
  <c r="AA25" i="18"/>
  <c r="Y26" i="18"/>
  <c r="V26" i="18"/>
  <c r="W26" i="18"/>
  <c r="X26" i="18" s="1"/>
  <c r="Z26" i="18"/>
  <c r="U26" i="18"/>
  <c r="G64" i="9"/>
  <c r="G61" i="9" s="1"/>
  <c r="Z18" i="26"/>
  <c r="AA17" i="26"/>
  <c r="Y15" i="26"/>
  <c r="U15" i="26"/>
  <c r="Z15" i="26"/>
  <c r="V15" i="26"/>
  <c r="R27" i="26"/>
  <c r="S26" i="26"/>
  <c r="W26" i="26" s="1"/>
  <c r="X26" i="26" s="1"/>
  <c r="Y16" i="26"/>
  <c r="U16" i="26"/>
  <c r="U6" i="26" s="1"/>
  <c r="Z16" i="26"/>
  <c r="V16" i="26"/>
  <c r="Y25" i="26"/>
  <c r="U25" i="26"/>
  <c r="Z25" i="26"/>
  <c r="V25" i="26"/>
  <c r="AA13" i="26"/>
  <c r="AA24" i="26"/>
  <c r="R40" i="26"/>
  <c r="S39" i="26"/>
  <c r="W39" i="26" s="1"/>
  <c r="X39" i="26" s="1"/>
  <c r="AA37" i="26"/>
  <c r="Y38" i="26"/>
  <c r="U38" i="26"/>
  <c r="Z38" i="26"/>
  <c r="V38" i="26"/>
  <c r="AA16" i="18"/>
  <c r="Z6" i="18"/>
  <c r="AA14" i="18"/>
  <c r="R77" i="9"/>
  <c r="G77" i="9" s="1"/>
  <c r="G76" i="9" s="1"/>
  <c r="H86" i="9"/>
  <c r="V6" i="18"/>
  <c r="AA15" i="18"/>
  <c r="U6" i="18"/>
  <c r="T123" i="18"/>
  <c r="AA18" i="26" l="1"/>
  <c r="AA38" i="18"/>
  <c r="Y39" i="18"/>
  <c r="U39" i="18"/>
  <c r="V39" i="18"/>
  <c r="Z39" i="18"/>
  <c r="W39" i="18"/>
  <c r="X39" i="18" s="1"/>
  <c r="R41" i="18"/>
  <c r="S40" i="18"/>
  <c r="Z6" i="26"/>
  <c r="M36" i="4"/>
  <c r="N36" i="4" s="1"/>
  <c r="F30" i="4"/>
  <c r="G30" i="4" s="1"/>
  <c r="AA18" i="18"/>
  <c r="AA6" i="18" s="1"/>
  <c r="W6" i="18"/>
  <c r="G70" i="9"/>
  <c r="R83" i="9"/>
  <c r="G83" i="9" s="1"/>
  <c r="G82" i="9" s="1"/>
  <c r="H92" i="9"/>
  <c r="V27" i="18"/>
  <c r="W27" i="18"/>
  <c r="X27" i="18" s="1"/>
  <c r="Y27" i="18"/>
  <c r="U27" i="18"/>
  <c r="Z27" i="18"/>
  <c r="R29" i="18"/>
  <c r="S28" i="18"/>
  <c r="AA26" i="18"/>
  <c r="V6" i="26"/>
  <c r="R41" i="26"/>
  <c r="S40" i="26"/>
  <c r="W40" i="26" s="1"/>
  <c r="X40" i="26" s="1"/>
  <c r="R28" i="26"/>
  <c r="S27" i="26"/>
  <c r="W27" i="26" s="1"/>
  <c r="X27" i="26" s="1"/>
  <c r="AA38" i="26"/>
  <c r="X6" i="26"/>
  <c r="AA16" i="26"/>
  <c r="AA15" i="26"/>
  <c r="Z39" i="26"/>
  <c r="V39" i="26"/>
  <c r="Y39" i="26"/>
  <c r="U39" i="26"/>
  <c r="Z26" i="26"/>
  <c r="V26" i="26"/>
  <c r="Y26" i="26"/>
  <c r="U26" i="26"/>
  <c r="W6" i="26"/>
  <c r="AA25" i="26"/>
  <c r="R86" i="9"/>
  <c r="G86" i="9" s="1"/>
  <c r="G85" i="9" s="1"/>
  <c r="H95" i="9"/>
  <c r="T124" i="18"/>
  <c r="S41" i="18" l="1"/>
  <c r="R42" i="18"/>
  <c r="AA39" i="18"/>
  <c r="Y40" i="18"/>
  <c r="U40" i="18"/>
  <c r="Z40" i="18"/>
  <c r="V40" i="18"/>
  <c r="W40" i="18"/>
  <c r="X40" i="18" s="1"/>
  <c r="G79" i="9"/>
  <c r="R92" i="9"/>
  <c r="G92" i="9" s="1"/>
  <c r="H101" i="9"/>
  <c r="AA6" i="26"/>
  <c r="R30" i="18"/>
  <c r="S29" i="18"/>
  <c r="AA27" i="18"/>
  <c r="V28" i="18"/>
  <c r="Y28" i="18"/>
  <c r="W28" i="18"/>
  <c r="X28" i="18" s="1"/>
  <c r="Z28" i="18"/>
  <c r="U28" i="18"/>
  <c r="AA39" i="26"/>
  <c r="R29" i="26"/>
  <c r="S28" i="26"/>
  <c r="W28" i="26" s="1"/>
  <c r="X28" i="26" s="1"/>
  <c r="Y27" i="26"/>
  <c r="U27" i="26"/>
  <c r="Z27" i="26"/>
  <c r="V27" i="26"/>
  <c r="R42" i="26"/>
  <c r="S41" i="26"/>
  <c r="W41" i="26" s="1"/>
  <c r="X41" i="26" s="1"/>
  <c r="Y40" i="26"/>
  <c r="U40" i="26"/>
  <c r="Z40" i="26"/>
  <c r="V40" i="26"/>
  <c r="AA26" i="26"/>
  <c r="T125" i="18"/>
  <c r="R95" i="9"/>
  <c r="G95" i="9" s="1"/>
  <c r="G94" i="9" s="1"/>
  <c r="H105" i="9"/>
  <c r="S42" i="18" l="1"/>
  <c r="R43" i="18"/>
  <c r="AA40" i="18"/>
  <c r="Y41" i="18"/>
  <c r="W41" i="18"/>
  <c r="X41" i="18" s="1"/>
  <c r="U41" i="18"/>
  <c r="Z41" i="18"/>
  <c r="V41" i="18"/>
  <c r="R101" i="9"/>
  <c r="G101" i="9" s="1"/>
  <c r="G100" i="9" s="1"/>
  <c r="H111" i="9"/>
  <c r="G91" i="9"/>
  <c r="G88" i="9" s="1"/>
  <c r="AA28" i="18"/>
  <c r="V29" i="18"/>
  <c r="Y29" i="18"/>
  <c r="W29" i="18"/>
  <c r="Z29" i="18"/>
  <c r="U29" i="18"/>
  <c r="R31" i="18"/>
  <c r="S31" i="18" s="1"/>
  <c r="S30" i="18"/>
  <c r="R43" i="26"/>
  <c r="S42" i="26"/>
  <c r="W42" i="26" s="1"/>
  <c r="X42" i="26" s="1"/>
  <c r="AA27" i="26"/>
  <c r="Y41" i="26"/>
  <c r="U41" i="26"/>
  <c r="Z41" i="26"/>
  <c r="V41" i="26"/>
  <c r="R30" i="26"/>
  <c r="S29" i="26"/>
  <c r="W29" i="26" s="1"/>
  <c r="X29" i="26" s="1"/>
  <c r="AA40" i="26"/>
  <c r="Y28" i="26"/>
  <c r="U28" i="26"/>
  <c r="Z28" i="26"/>
  <c r="V28" i="26"/>
  <c r="R105" i="9"/>
  <c r="G105" i="9" s="1"/>
  <c r="G104" i="9" s="1"/>
  <c r="H114" i="9"/>
  <c r="R114" i="9" s="1"/>
  <c r="G114" i="9" s="1"/>
  <c r="G113" i="9" s="1"/>
  <c r="T126" i="18"/>
  <c r="AA41" i="18" l="1"/>
  <c r="R44" i="18"/>
  <c r="S43" i="18"/>
  <c r="Y42" i="18"/>
  <c r="W42" i="18"/>
  <c r="Z42" i="18"/>
  <c r="V42" i="18"/>
  <c r="U42" i="18"/>
  <c r="G97" i="9"/>
  <c r="R19" i="18"/>
  <c r="H120" i="9"/>
  <c r="R120" i="9" s="1"/>
  <c r="G120" i="9" s="1"/>
  <c r="G119" i="9" s="1"/>
  <c r="G116" i="9" s="1"/>
  <c r="R111" i="9"/>
  <c r="G111" i="9" s="1"/>
  <c r="X29" i="18"/>
  <c r="U30" i="18"/>
  <c r="V30" i="18"/>
  <c r="V19" i="18" s="1"/>
  <c r="Z30" i="18"/>
  <c r="Y30" i="18"/>
  <c r="W30" i="18"/>
  <c r="X30" i="18" s="1"/>
  <c r="S19" i="18"/>
  <c r="U31" i="18"/>
  <c r="Y31" i="18"/>
  <c r="Y19" i="18" s="1"/>
  <c r="V31" i="18"/>
  <c r="W31" i="18"/>
  <c r="X31" i="18" s="1"/>
  <c r="Z31" i="18"/>
  <c r="F11" i="6"/>
  <c r="R31" i="26"/>
  <c r="S30" i="26"/>
  <c r="W30" i="26" s="1"/>
  <c r="X30" i="26" s="1"/>
  <c r="R44" i="26"/>
  <c r="S43" i="26"/>
  <c r="W43" i="26" s="1"/>
  <c r="X43" i="26" s="1"/>
  <c r="AA41" i="26"/>
  <c r="AA28" i="26"/>
  <c r="Y29" i="26"/>
  <c r="U29" i="26"/>
  <c r="Z29" i="26"/>
  <c r="V29" i="26"/>
  <c r="Y42" i="26"/>
  <c r="U42" i="26"/>
  <c r="Z42" i="26"/>
  <c r="V42" i="26"/>
  <c r="T127" i="18"/>
  <c r="U43" i="18" l="1"/>
  <c r="W43" i="18"/>
  <c r="X43" i="18" s="1"/>
  <c r="Y43" i="18"/>
  <c r="V43" i="18"/>
  <c r="Z43" i="18"/>
  <c r="S44" i="18"/>
  <c r="R32" i="18"/>
  <c r="R5" i="18" s="1"/>
  <c r="X42" i="18"/>
  <c r="AA42" i="18" s="1"/>
  <c r="G11" i="6"/>
  <c r="H11" i="6" s="1"/>
  <c r="U19" i="18"/>
  <c r="G110" i="9"/>
  <c r="G107" i="9" s="1"/>
  <c r="G5" i="9" s="1"/>
  <c r="G10" i="9"/>
  <c r="T26" i="22"/>
  <c r="Z19" i="18"/>
  <c r="W19" i="18"/>
  <c r="AA29" i="18"/>
  <c r="X19" i="18"/>
  <c r="AA31" i="18"/>
  <c r="AA30" i="18"/>
  <c r="S31" i="26"/>
  <c r="W31" i="26" s="1"/>
  <c r="X31" i="26" s="1"/>
  <c r="R19" i="26"/>
  <c r="Z30" i="26"/>
  <c r="V30" i="26"/>
  <c r="Y30" i="26"/>
  <c r="U30" i="26"/>
  <c r="AA29" i="26"/>
  <c r="S44" i="26"/>
  <c r="W44" i="26" s="1"/>
  <c r="X44" i="26" s="1"/>
  <c r="R32" i="26"/>
  <c r="AA42" i="26"/>
  <c r="Z43" i="26"/>
  <c r="V43" i="26"/>
  <c r="Y43" i="26"/>
  <c r="U43" i="26"/>
  <c r="F5" i="18"/>
  <c r="V44" i="18" l="1"/>
  <c r="V32" i="18" s="1"/>
  <c r="V5" i="18" s="1"/>
  <c r="U44" i="18"/>
  <c r="Z44" i="18"/>
  <c r="Z32" i="18" s="1"/>
  <c r="Y44" i="18"/>
  <c r="Y32" i="18" s="1"/>
  <c r="Y5" i="18" s="1"/>
  <c r="W44" i="18"/>
  <c r="Z5" i="18"/>
  <c r="S32" i="18"/>
  <c r="AA43" i="18"/>
  <c r="T27" i="22"/>
  <c r="G27" i="22"/>
  <c r="H27" i="22" s="1"/>
  <c r="R10" i="9"/>
  <c r="G9" i="9"/>
  <c r="G6" i="9" s="1"/>
  <c r="F45" i="6"/>
  <c r="T45" i="6" s="1"/>
  <c r="AA19" i="18"/>
  <c r="R5" i="26"/>
  <c r="Y44" i="26"/>
  <c r="Y32" i="26" s="1"/>
  <c r="U44" i="26"/>
  <c r="Z44" i="26"/>
  <c r="Z32" i="26" s="1"/>
  <c r="V44" i="26"/>
  <c r="V32" i="26" s="1"/>
  <c r="S32" i="26"/>
  <c r="W32" i="26" s="1"/>
  <c r="X32" i="26" s="1"/>
  <c r="AA30" i="26"/>
  <c r="Y31" i="26"/>
  <c r="Y19" i="26" s="1"/>
  <c r="U31" i="26"/>
  <c r="Z31" i="26"/>
  <c r="Z19" i="26" s="1"/>
  <c r="V31" i="26"/>
  <c r="V19" i="26" s="1"/>
  <c r="S19" i="26"/>
  <c r="W19" i="26" s="1"/>
  <c r="X19" i="26" s="1"/>
  <c r="AA43" i="26"/>
  <c r="E12" i="24"/>
  <c r="F12" i="24" s="1"/>
  <c r="S5" i="18"/>
  <c r="U32" i="18" l="1"/>
  <c r="U5" i="18" s="1"/>
  <c r="X44" i="18"/>
  <c r="X32" i="18" s="1"/>
  <c r="X5" i="18" s="1"/>
  <c r="W32" i="18"/>
  <c r="W5" i="18" s="1"/>
  <c r="L31" i="27"/>
  <c r="F43" i="6"/>
  <c r="F42" i="6" s="1"/>
  <c r="F41" i="6" s="1"/>
  <c r="G45" i="6"/>
  <c r="H45" i="6" s="1"/>
  <c r="L31" i="4"/>
  <c r="Z5" i="26"/>
  <c r="F31" i="8" s="1"/>
  <c r="G31" i="8" s="1"/>
  <c r="H31" i="8" s="1"/>
  <c r="V5" i="26"/>
  <c r="S5" i="26"/>
  <c r="F21" i="8" s="1"/>
  <c r="M13" i="27"/>
  <c r="F12" i="6"/>
  <c r="Y5" i="26"/>
  <c r="F30" i="8" s="1"/>
  <c r="G30" i="8" s="1"/>
  <c r="H30" i="8" s="1"/>
  <c r="AA31" i="26"/>
  <c r="AA19" i="26" s="1"/>
  <c r="U19" i="26"/>
  <c r="U32" i="26"/>
  <c r="F13" i="6"/>
  <c r="G13" i="6" s="1"/>
  <c r="H13" i="6" s="1"/>
  <c r="T11" i="22"/>
  <c r="T6" i="22" s="1"/>
  <c r="V6" i="22" s="1"/>
  <c r="M10" i="4"/>
  <c r="N10" i="4" s="1"/>
  <c r="AA44" i="18" l="1"/>
  <c r="AA32" i="18" s="1"/>
  <c r="AA5" i="18" s="1"/>
  <c r="M31" i="4"/>
  <c r="N31" i="4" s="1"/>
  <c r="L30" i="4"/>
  <c r="L29" i="4" s="1"/>
  <c r="M29" i="4" s="1"/>
  <c r="G17" i="31"/>
  <c r="H17" i="31" s="1"/>
  <c r="G12" i="6"/>
  <c r="H12" i="6" s="1"/>
  <c r="S28" i="8"/>
  <c r="S31" i="8"/>
  <c r="T31" i="8" s="1"/>
  <c r="S30" i="8"/>
  <c r="T30" i="8" s="1"/>
  <c r="F12" i="8"/>
  <c r="G21" i="8"/>
  <c r="H21" i="8" s="1"/>
  <c r="U3" i="22"/>
  <c r="F18" i="19"/>
  <c r="G18" i="19" s="1"/>
  <c r="H18" i="19" s="1"/>
  <c r="T43" i="6"/>
  <c r="T44" i="6"/>
  <c r="G8" i="22"/>
  <c r="H8" i="22" s="1"/>
  <c r="H14" i="6"/>
  <c r="M9" i="27"/>
  <c r="E54" i="24"/>
  <c r="F54" i="24" s="1"/>
  <c r="F23" i="19"/>
  <c r="G43" i="6"/>
  <c r="H43" i="6" s="1"/>
  <c r="E8" i="1"/>
  <c r="L30" i="27"/>
  <c r="M31" i="27"/>
  <c r="AA44" i="26"/>
  <c r="AA32" i="26" s="1"/>
  <c r="AA5" i="26" s="1"/>
  <c r="X5" i="26"/>
  <c r="U5" i="26"/>
  <c r="F26" i="8" s="1"/>
  <c r="G26" i="8" s="1"/>
  <c r="H26" i="8" s="1"/>
  <c r="W5" i="26"/>
  <c r="F28" i="8" s="1"/>
  <c r="G9" i="6"/>
  <c r="H9" i="6" s="1"/>
  <c r="E36" i="24"/>
  <c r="E27" i="1"/>
  <c r="E26" i="1" s="1"/>
  <c r="F7" i="22"/>
  <c r="M30" i="4" l="1"/>
  <c r="N30" i="4" s="1"/>
  <c r="G23" i="19"/>
  <c r="H23" i="19" s="1"/>
  <c r="T28" i="8"/>
  <c r="U28" i="8" s="1"/>
  <c r="V28" i="8" s="1"/>
  <c r="G28" i="8"/>
  <c r="H28" i="8" s="1"/>
  <c r="G7" i="22"/>
  <c r="H7" i="22" s="1"/>
  <c r="M30" i="27"/>
  <c r="F6" i="22"/>
  <c r="G12" i="8"/>
  <c r="H12" i="8" s="1"/>
  <c r="G42" i="6"/>
  <c r="H42" i="6" s="1"/>
  <c r="E34" i="24"/>
  <c r="F34" i="24" s="1"/>
  <c r="M9" i="4"/>
  <c r="M41" i="4"/>
  <c r="N41" i="4" s="1"/>
  <c r="T3" i="22"/>
  <c r="V3" i="22" s="1"/>
  <c r="F36" i="24"/>
  <c r="N9" i="4" l="1"/>
  <c r="G6" i="22"/>
  <c r="H6" i="22" s="1"/>
  <c r="X11" i="22"/>
  <c r="J6" i="21"/>
  <c r="V7" i="22"/>
  <c r="X9" i="22"/>
  <c r="E71" i="24"/>
  <c r="F71" i="24" s="1"/>
  <c r="M40" i="27"/>
  <c r="F27" i="8"/>
  <c r="G27" i="8" l="1"/>
  <c r="H27" i="8" s="1"/>
  <c r="V9" i="8"/>
  <c r="F8" i="8"/>
  <c r="G8" i="8" l="1"/>
  <c r="H8" i="8" s="1"/>
  <c r="V6" i="8"/>
  <c r="W9" i="8"/>
  <c r="F7" i="8"/>
  <c r="E19" i="1"/>
  <c r="M39" i="27" l="1"/>
  <c r="E69" i="24"/>
  <c r="F69" i="24" s="1"/>
  <c r="F6" i="8"/>
  <c r="G7" i="8"/>
  <c r="E18" i="1"/>
  <c r="AD6" i="8" l="1"/>
  <c r="AB6" i="8"/>
  <c r="G6" i="8"/>
  <c r="H6" i="8" s="1"/>
  <c r="H7" i="8"/>
  <c r="S6" i="8"/>
  <c r="H78" i="8"/>
  <c r="H92" i="8"/>
  <c r="H89" i="8"/>
  <c r="H88" i="8"/>
  <c r="H91" i="8"/>
  <c r="H90" i="8"/>
  <c r="H87" i="8"/>
  <c r="J6" i="20"/>
  <c r="Z8" i="8"/>
  <c r="G30" i="6" l="1"/>
  <c r="H30" i="6" s="1"/>
  <c r="L21" i="27"/>
  <c r="F26" i="6"/>
  <c r="E7" i="1" s="1"/>
  <c r="L21" i="4"/>
  <c r="M21" i="27" l="1"/>
  <c r="L17" i="27"/>
  <c r="G26" i="6"/>
  <c r="H26" i="6" s="1"/>
  <c r="M21" i="4"/>
  <c r="N21" i="4" s="1"/>
  <c r="L17" i="4"/>
  <c r="E48" i="24"/>
  <c r="M17" i="4" l="1"/>
  <c r="N17" i="4" s="1"/>
  <c r="M17" i="27"/>
  <c r="E33" i="24"/>
  <c r="F48" i="24"/>
  <c r="F33" i="24" s="1"/>
  <c r="N15" i="4" l="1"/>
  <c r="S370" i="17"/>
  <c r="S5" i="17" s="1"/>
  <c r="F13" i="30" s="1"/>
  <c r="U381" i="17"/>
  <c r="AA381" i="17" s="1"/>
  <c r="G13" i="30" l="1"/>
  <c r="H13" i="30" s="1"/>
  <c r="F9" i="30"/>
  <c r="F10" i="6"/>
  <c r="AB381" i="17"/>
  <c r="AB370" i="17" s="1"/>
  <c r="AB5" i="17" s="1"/>
  <c r="F20" i="6" s="1"/>
  <c r="W381" i="17"/>
  <c r="W370" i="17" s="1"/>
  <c r="Y381" i="17"/>
  <c r="Y370" i="17" s="1"/>
  <c r="Y5" i="17" s="1"/>
  <c r="X381" i="17"/>
  <c r="U370" i="17"/>
  <c r="U5" i="17" s="1"/>
  <c r="T19" i="6" s="1"/>
  <c r="U19" i="6" s="1"/>
  <c r="AA370" i="17"/>
  <c r="AA5" i="17" s="1"/>
  <c r="F19" i="6" s="1"/>
  <c r="G9" i="30" l="1"/>
  <c r="H9" i="30" s="1"/>
  <c r="F7" i="30"/>
  <c r="W5" i="17"/>
  <c r="F15" i="6" s="1"/>
  <c r="L10" i="27"/>
  <c r="L11" i="4"/>
  <c r="G10" i="6"/>
  <c r="H10" i="6" s="1"/>
  <c r="T17" i="6"/>
  <c r="U17" i="6" s="1"/>
  <c r="V17" i="6" s="1"/>
  <c r="W17" i="6"/>
  <c r="Z16" i="6"/>
  <c r="T20" i="6"/>
  <c r="U20" i="6" s="1"/>
  <c r="V20" i="6" s="1"/>
  <c r="T18" i="6"/>
  <c r="U18" i="6" s="1"/>
  <c r="X370" i="17"/>
  <c r="X5" i="17" s="1"/>
  <c r="F18" i="6" s="1"/>
  <c r="G18" i="6" s="1"/>
  <c r="H18" i="6" s="1"/>
  <c r="Z381" i="17"/>
  <c r="AC381" i="17" s="1"/>
  <c r="AC370" i="17" s="1"/>
  <c r="AC5" i="17" s="1"/>
  <c r="V19" i="6"/>
  <c r="G19" i="6"/>
  <c r="H19" i="6" s="1"/>
  <c r="L35" i="27"/>
  <c r="L29" i="27" s="1"/>
  <c r="G20" i="6"/>
  <c r="H20" i="6" s="1"/>
  <c r="M10" i="27" l="1"/>
  <c r="G7" i="30"/>
  <c r="H7" i="30" s="1"/>
  <c r="F15" i="31"/>
  <c r="F14" i="31" s="1"/>
  <c r="F6" i="30"/>
  <c r="G6" i="30" s="1"/>
  <c r="H6" i="30" s="1"/>
  <c r="L12" i="4"/>
  <c r="G15" i="6"/>
  <c r="H15" i="6" s="1"/>
  <c r="L11" i="27"/>
  <c r="M11" i="27" s="1"/>
  <c r="E37" i="24"/>
  <c r="F37" i="24" s="1"/>
  <c r="M11" i="4"/>
  <c r="N11" i="4" s="1"/>
  <c r="X17" i="6"/>
  <c r="V18" i="6"/>
  <c r="Z370" i="17"/>
  <c r="Z5" i="17" s="1"/>
  <c r="F17" i="6" s="1"/>
  <c r="E70" i="24"/>
  <c r="F70" i="24" s="1"/>
  <c r="H50" i="6"/>
  <c r="F13" i="31" l="1"/>
  <c r="G14" i="31"/>
  <c r="M12" i="4"/>
  <c r="N12" i="4" s="1"/>
  <c r="E38" i="24"/>
  <c r="F38" i="24" s="1"/>
  <c r="G41" i="6"/>
  <c r="H41" i="6" s="1"/>
  <c r="X16" i="6"/>
  <c r="F16" i="6"/>
  <c r="G17" i="6"/>
  <c r="H17" i="6" s="1"/>
  <c r="M35" i="27"/>
  <c r="N29" i="4"/>
  <c r="H22" i="15"/>
  <c r="F6" i="31" l="1"/>
  <c r="L12" i="27"/>
  <c r="L8" i="27" s="1"/>
  <c r="L7" i="27" s="1"/>
  <c r="L13" i="4"/>
  <c r="L8" i="4" s="1"/>
  <c r="L7" i="4" s="1"/>
  <c r="L6" i="4" s="1"/>
  <c r="M6" i="4" s="1"/>
  <c r="F21" i="19"/>
  <c r="F20" i="19" s="1"/>
  <c r="F8" i="6"/>
  <c r="E6" i="1" s="1"/>
  <c r="F16" i="19"/>
  <c r="F15" i="19" s="1"/>
  <c r="M29" i="27"/>
  <c r="G16" i="6"/>
  <c r="H16" i="6" s="1"/>
  <c r="E19" i="4" l="1"/>
  <c r="E19" i="27" s="1"/>
  <c r="F19" i="27" s="1"/>
  <c r="E18" i="4"/>
  <c r="G20" i="19"/>
  <c r="F14" i="19"/>
  <c r="F13" i="19" s="1"/>
  <c r="F7" i="6"/>
  <c r="C7" i="1"/>
  <c r="G15" i="31"/>
  <c r="H15" i="31" s="1"/>
  <c r="E39" i="24"/>
  <c r="F39" i="24" s="1"/>
  <c r="M13" i="4"/>
  <c r="M12" i="27"/>
  <c r="E5" i="1"/>
  <c r="D4" i="1" s="1"/>
  <c r="G8" i="6"/>
  <c r="H8" i="6" s="1"/>
  <c r="F6" i="6" l="1"/>
  <c r="G6" i="6" s="1"/>
  <c r="E17" i="4"/>
  <c r="E16" i="4" s="1"/>
  <c r="E6" i="4" s="1"/>
  <c r="P6" i="4" s="1"/>
  <c r="E18" i="27"/>
  <c r="E17" i="27" s="1"/>
  <c r="N13" i="4"/>
  <c r="M8" i="4"/>
  <c r="G21" i="19"/>
  <c r="H21" i="19" s="1"/>
  <c r="H20" i="15"/>
  <c r="M8" i="27"/>
  <c r="G7" i="6"/>
  <c r="G16" i="19"/>
  <c r="H16" i="19" s="1"/>
  <c r="H14" i="31" l="1"/>
  <c r="M7" i="4"/>
  <c r="N8" i="4"/>
  <c r="H20" i="19"/>
  <c r="C6" i="1"/>
  <c r="C5" i="1" s="1"/>
  <c r="B4" i="1" s="1"/>
  <c r="G15" i="19"/>
  <c r="H15" i="19" s="1"/>
  <c r="H7" i="6"/>
  <c r="H6" i="6"/>
  <c r="G13" i="31" l="1"/>
  <c r="G6" i="31" s="1"/>
  <c r="K6" i="31"/>
  <c r="G14" i="19"/>
  <c r="H14" i="19" s="1"/>
  <c r="F18" i="27"/>
  <c r="E10" i="24"/>
  <c r="F18" i="4"/>
  <c r="G18" i="4" s="1"/>
  <c r="E11" i="24"/>
  <c r="F11" i="24" s="1"/>
  <c r="F19" i="4"/>
  <c r="G19" i="4" s="1"/>
  <c r="N7" i="4"/>
  <c r="N6" i="4"/>
  <c r="G13" i="19" l="1"/>
  <c r="G6" i="19" s="1"/>
  <c r="H13" i="31"/>
  <c r="H6" i="31"/>
  <c r="F17" i="4"/>
  <c r="G17" i="4" s="1"/>
  <c r="H13" i="15"/>
  <c r="F6" i="19"/>
  <c r="E16" i="27"/>
  <c r="E6" i="27" s="1"/>
  <c r="F17" i="27"/>
  <c r="F10" i="24"/>
  <c r="F6" i="24" s="1"/>
  <c r="E6" i="24"/>
  <c r="K6" i="19" l="1"/>
  <c r="G8" i="15"/>
  <c r="F4" i="1"/>
  <c r="T14" i="6"/>
  <c r="F16" i="27"/>
  <c r="H6" i="19"/>
  <c r="H13" i="19"/>
  <c r="F16" i="4"/>
  <c r="G16" i="4" s="1"/>
  <c r="F6" i="27" l="1"/>
  <c r="F6" i="4"/>
  <c r="G6" i="4" s="1"/>
  <c r="M15" i="27"/>
  <c r="L6" i="27"/>
  <c r="M6" i="27" l="1"/>
  <c r="P6" i="27"/>
  <c r="M7" i="27"/>
</calcChain>
</file>

<file path=xl/comments1.xml><?xml version="1.0" encoding="utf-8"?>
<comments xmlns="http://schemas.openxmlformats.org/spreadsheetml/2006/main">
  <authors>
    <author>L.S.Y</author>
  </authors>
  <commentList>
    <comment ref="F15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심영은퇴직적립금</t>
        </r>
      </text>
    </comment>
    <comment ref="T45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주부식비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합산금액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특별위로금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</t>
        </r>
      </text>
    </comment>
  </commentList>
</comments>
</file>

<file path=xl/comments2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comments3.xml><?xml version="1.0" encoding="utf-8"?>
<comments xmlns="http://schemas.openxmlformats.org/spreadsheetml/2006/main">
  <authors>
    <author>L.S.Y</author>
  </authors>
  <commentList>
    <comment ref="O462" authorId="0" shapeId="0">
      <text>
        <r>
          <rPr>
            <b/>
            <sz val="9"/>
            <color indexed="81"/>
            <rFont val="Tahoma"/>
            <family val="2"/>
          </rPr>
          <t xml:space="preserve">L.S.Y
</t>
        </r>
        <r>
          <rPr>
            <b/>
            <sz val="9"/>
            <color indexed="81"/>
            <rFont val="돋움"/>
            <family val="3"/>
            <charset val="129"/>
          </rPr>
          <t>예상액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편성
</t>
        </r>
      </text>
    </comment>
  </commentList>
</comments>
</file>

<file path=xl/sharedStrings.xml><?xml version="1.0" encoding="utf-8"?>
<sst xmlns="http://schemas.openxmlformats.org/spreadsheetml/2006/main" count="4350" uniqueCount="1027">
  <si>
    <t>(단위:원)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</si>
  <si>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</si>
  <si>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</si>
  <si>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</si>
  <si>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과                     목</t>
    <phoneticPr fontId="2" type="noConversion"/>
  </si>
  <si>
    <t>국민연금부담금</t>
    <phoneticPr fontId="2" type="noConversion"/>
  </si>
  <si>
    <t>소계</t>
    <phoneticPr fontId="2" type="noConversion"/>
  </si>
  <si>
    <t>잡지출</t>
    <phoneticPr fontId="2" type="noConversion"/>
  </si>
  <si>
    <t>가족수당</t>
    <phoneticPr fontId="2" type="noConversion"/>
  </si>
  <si>
    <t>사무비</t>
    <phoneticPr fontId="2" type="noConversion"/>
  </si>
  <si>
    <t>급여</t>
    <phoneticPr fontId="2" type="noConversion"/>
  </si>
  <si>
    <t>상여금</t>
    <phoneticPr fontId="2" type="noConversion"/>
  </si>
  <si>
    <t>일용잡급</t>
    <phoneticPr fontId="2" type="noConversion"/>
  </si>
  <si>
    <t>제수당</t>
    <phoneticPr fontId="2" type="noConversion"/>
  </si>
  <si>
    <t>직책보조비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</si>
  <si>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</si>
  <si>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</si>
  <si>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</si>
  <si>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</si>
  <si>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</si>
  <si>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연료비</t>
    <phoneticPr fontId="2" type="noConversion"/>
  </si>
  <si>
    <t>시설비</t>
    <phoneticPr fontId="2" type="noConversion"/>
  </si>
  <si>
    <t>재산조성비</t>
    <phoneticPr fontId="2" type="noConversion"/>
  </si>
  <si>
    <t>사업비</t>
    <phoneticPr fontId="2" type="noConversion"/>
  </si>
  <si>
    <t>피복비</t>
    <phoneticPr fontId="2" type="noConversion"/>
  </si>
  <si>
    <t>의료비</t>
    <phoneticPr fontId="2" type="noConversion"/>
  </si>
  <si>
    <t>직업재활비</t>
    <phoneticPr fontId="2" type="noConversion"/>
  </si>
  <si>
    <t>예비비</t>
    <phoneticPr fontId="2" type="noConversion"/>
  </si>
  <si>
    <t>계</t>
    <phoneticPr fontId="2" type="noConversion"/>
  </si>
  <si>
    <t>명절휴가비</t>
    <phoneticPr fontId="2" type="noConversion"/>
  </si>
  <si>
    <t>=</t>
    <phoneticPr fontId="2" type="noConversion"/>
  </si>
  <si>
    <t>산    출    내    역</t>
    <phoneticPr fontId="2" type="noConversion"/>
  </si>
  <si>
    <t>주부식비</t>
    <phoneticPr fontId="2" type="noConversion"/>
  </si>
  <si>
    <t>총                  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</si>
  <si>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</si>
  <si>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</si>
  <si>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</si>
  <si>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</si>
  <si>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퇴직적립금</t>
    <phoneticPr fontId="2" type="noConversion"/>
  </si>
  <si>
    <t>총                     계</t>
    <phoneticPr fontId="2" type="noConversion"/>
  </si>
  <si>
    <t>연장근로수당</t>
    <phoneticPr fontId="2" type="noConversion"/>
  </si>
  <si>
    <t>입소자부담금</t>
    <phoneticPr fontId="2" type="noConversion"/>
  </si>
  <si>
    <t>보조금수입</t>
    <phoneticPr fontId="2" type="noConversion"/>
  </si>
  <si>
    <t>기타보조금</t>
    <phoneticPr fontId="2" type="noConversion"/>
  </si>
  <si>
    <t>과년도수입</t>
    <phoneticPr fontId="2" type="noConversion"/>
  </si>
  <si>
    <t>잡수입</t>
    <phoneticPr fontId="2" type="noConversion"/>
  </si>
  <si>
    <t>전입금</t>
    <phoneticPr fontId="2" type="noConversion"/>
  </si>
  <si>
    <t>법인전입금</t>
    <phoneticPr fontId="2" type="noConversion"/>
  </si>
  <si>
    <t>불용품매각대</t>
    <phoneticPr fontId="2" type="noConversion"/>
  </si>
  <si>
    <t>기타예금이자수입</t>
    <phoneticPr fontId="2" type="noConversion"/>
  </si>
  <si>
    <t>인건비</t>
    <phoneticPr fontId="2" type="noConversion"/>
  </si>
  <si>
    <t>업무추진비</t>
    <phoneticPr fontId="2" type="noConversion"/>
  </si>
  <si>
    <t>자산취득비</t>
    <phoneticPr fontId="2" type="noConversion"/>
  </si>
  <si>
    <t>특수근무
수  당
(도비)</t>
    <phoneticPr fontId="7" type="noConversion"/>
  </si>
  <si>
    <t>9월</t>
  </si>
  <si>
    <t>10월</t>
  </si>
  <si>
    <t>11월</t>
  </si>
  <si>
    <t xml:space="preserve"> 종사자인건비 총계표 참조</t>
    <phoneticPr fontId="2" type="noConversion"/>
  </si>
  <si>
    <t>제 1 조</t>
    <phoneticPr fontId="2" type="noConversion"/>
  </si>
  <si>
    <t>제 2 조</t>
    <phoneticPr fontId="2" type="noConversion"/>
  </si>
  <si>
    <t>-</t>
    <phoneticPr fontId="2" type="noConversion"/>
  </si>
  <si>
    <t xml:space="preserve">    1) 보조금 세출내역  </t>
    <phoneticPr fontId="2" type="noConversion"/>
  </si>
  <si>
    <t xml:space="preserve">산     출     내     역 </t>
    <phoneticPr fontId="2" type="noConversion"/>
  </si>
  <si>
    <t xml:space="preserve"> 장애인의 위생관리를 위한 용품 구입비 등 </t>
    <phoneticPr fontId="2" type="noConversion"/>
  </si>
  <si>
    <t xml:space="preserve"> 7,000,000원 X 1개소 = 7,000,000원</t>
    <phoneticPr fontId="2" type="noConversion"/>
  </si>
  <si>
    <t>(단위 : 원)</t>
    <phoneticPr fontId="7" type="noConversion"/>
  </si>
  <si>
    <t>연
번</t>
    <phoneticPr fontId="7" type="noConversion"/>
  </si>
  <si>
    <t>직
종</t>
    <phoneticPr fontId="7" type="noConversion"/>
  </si>
  <si>
    <t>호
봉</t>
    <phoneticPr fontId="7" type="noConversion"/>
  </si>
  <si>
    <t>명
수</t>
    <phoneticPr fontId="2" type="noConversion"/>
  </si>
  <si>
    <t>구분
(월)</t>
    <phoneticPr fontId="7" type="noConversion"/>
  </si>
  <si>
    <t>기본급</t>
    <phoneticPr fontId="7" type="noConversion"/>
  </si>
  <si>
    <t>기말수당
(50%씩 연4회
-3,6,9,12월)</t>
    <phoneticPr fontId="7" type="noConversion"/>
  </si>
  <si>
    <t>정근수당
(1,7월)</t>
    <phoneticPr fontId="7" type="noConversion"/>
  </si>
  <si>
    <t>장기근속
수  당</t>
    <phoneticPr fontId="7" type="noConversion"/>
  </si>
  <si>
    <t>가계지원비
(50%씩 연4회
-4,5,10,11월)</t>
    <phoneticPr fontId="7" type="noConversion"/>
  </si>
  <si>
    <t>명절휴가비
(50%씩
연2회)</t>
    <phoneticPr fontId="7" type="noConversion"/>
  </si>
  <si>
    <t>가족수당
(30,000원)
(20,000원)</t>
    <phoneticPr fontId="7" type="noConversion"/>
  </si>
  <si>
    <t>소  계</t>
    <phoneticPr fontId="7" type="noConversion"/>
  </si>
  <si>
    <t>비    고</t>
    <phoneticPr fontId="2" type="noConversion"/>
  </si>
  <si>
    <t>국민연금</t>
    <phoneticPr fontId="2" type="noConversion"/>
  </si>
  <si>
    <t>의료보험</t>
    <phoneticPr fontId="2" type="noConversion"/>
  </si>
  <si>
    <t>고용보험</t>
    <phoneticPr fontId="2" type="noConversion"/>
  </si>
  <si>
    <t>산재보험</t>
    <phoneticPr fontId="7" type="noConversion"/>
  </si>
  <si>
    <t>합계</t>
    <phoneticPr fontId="7" type="noConversion"/>
  </si>
  <si>
    <t>합     계</t>
    <phoneticPr fontId="7" type="noConversion"/>
  </si>
  <si>
    <t>소계</t>
    <phoneticPr fontId="7" type="noConversion"/>
  </si>
  <si>
    <t>생활재활교사</t>
    <phoneticPr fontId="7" type="noConversion"/>
  </si>
  <si>
    <t>구    분</t>
    <phoneticPr fontId="2" type="noConversion"/>
  </si>
  <si>
    <t>경상보조금수입</t>
    <phoneticPr fontId="2" type="noConversion"/>
  </si>
  <si>
    <t>자본보조금수입</t>
    <phoneticPr fontId="2" type="noConversion"/>
  </si>
  <si>
    <t>이월금</t>
    <phoneticPr fontId="2" type="noConversion"/>
  </si>
  <si>
    <t>잡수입</t>
    <phoneticPr fontId="2" type="noConversion"/>
  </si>
  <si>
    <t>과년도수입</t>
    <phoneticPr fontId="2" type="noConversion"/>
  </si>
  <si>
    <t>후원금수입</t>
    <phoneticPr fontId="2" type="noConversion"/>
  </si>
  <si>
    <t>전입금</t>
    <phoneticPr fontId="2" type="noConversion"/>
  </si>
  <si>
    <t>인건비</t>
    <phoneticPr fontId="2" type="noConversion"/>
  </si>
  <si>
    <t>생계비</t>
    <phoneticPr fontId="2" type="noConversion"/>
  </si>
  <si>
    <t>사업비</t>
    <phoneticPr fontId="2" type="noConversion"/>
  </si>
  <si>
    <t>과년도지출</t>
    <phoneticPr fontId="2" type="noConversion"/>
  </si>
  <si>
    <t>잡지출</t>
    <phoneticPr fontId="2" type="noConversion"/>
  </si>
  <si>
    <t>재산조성비</t>
    <phoneticPr fontId="2" type="noConversion"/>
  </si>
  <si>
    <t>입소자부담금수입</t>
    <phoneticPr fontId="2" type="noConversion"/>
  </si>
  <si>
    <t>보  조  금</t>
    <phoneticPr fontId="2" type="noConversion"/>
  </si>
  <si>
    <t>자  부  담</t>
    <phoneticPr fontId="2" type="noConversion"/>
  </si>
  <si>
    <t>인건비</t>
    <phoneticPr fontId="2" type="noConversion"/>
  </si>
  <si>
    <t>급여</t>
    <phoneticPr fontId="2" type="noConversion"/>
  </si>
  <si>
    <t>소계</t>
    <phoneticPr fontId="2" type="noConversion"/>
  </si>
  <si>
    <t>세목</t>
    <phoneticPr fontId="2" type="noConversion"/>
  </si>
  <si>
    <t>기타후생경비</t>
    <phoneticPr fontId="2" type="noConversion"/>
  </si>
  <si>
    <t>기관운영비</t>
    <phoneticPr fontId="2" type="noConversion"/>
  </si>
  <si>
    <t>직책보조비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</si>
  <si>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</si>
  <si>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</si>
  <si>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</si>
  <si>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수용비및수수료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</si>
  <si>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</si>
  <si>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</si>
  <si>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</si>
  <si>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기타운영비</t>
    <phoneticPr fontId="2" type="noConversion"/>
  </si>
  <si>
    <t>시설비</t>
    <phoneticPr fontId="2" type="noConversion"/>
  </si>
  <si>
    <t>자산취득비</t>
    <phoneticPr fontId="2" type="noConversion"/>
  </si>
  <si>
    <t>시설장비유지비</t>
    <phoneticPr fontId="2" type="noConversion"/>
  </si>
  <si>
    <t>사업비</t>
    <phoneticPr fontId="2" type="noConversion"/>
  </si>
  <si>
    <t>사회보험부담금</t>
    <phoneticPr fontId="2" type="noConversion"/>
  </si>
  <si>
    <t>생계비</t>
    <phoneticPr fontId="2" type="noConversion"/>
  </si>
  <si>
    <t>월동대책비</t>
    <phoneticPr fontId="2" type="noConversion"/>
  </si>
  <si>
    <t>동내의</t>
    <phoneticPr fontId="2" type="noConversion"/>
  </si>
  <si>
    <t>사업비</t>
    <phoneticPr fontId="2" type="noConversion"/>
  </si>
  <si>
    <t>수용기관경비</t>
    <phoneticPr fontId="2" type="noConversion"/>
  </si>
  <si>
    <t>소계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</si>
  <si>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</si>
  <si>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</si>
  <si>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</si>
  <si>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</si>
  <si>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</si>
  <si>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</si>
  <si>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</si>
  <si>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</si>
  <si>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</si>
  <si>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</si>
  <si>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</si>
  <si>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이미용비</t>
    <phoneticPr fontId="2" type="noConversion"/>
  </si>
  <si>
    <t>기타교육비</t>
    <phoneticPr fontId="2" type="noConversion"/>
  </si>
  <si>
    <t>의료재활사업비</t>
    <phoneticPr fontId="2" type="noConversion"/>
  </si>
  <si>
    <t>교육재활사업비</t>
    <phoneticPr fontId="2" type="noConversion"/>
  </si>
  <si>
    <t>직업재활사업비</t>
    <phoneticPr fontId="2" type="noConversion"/>
  </si>
  <si>
    <t>과년도지출</t>
    <phoneticPr fontId="2" type="noConversion"/>
  </si>
  <si>
    <t>과년도지출</t>
    <phoneticPr fontId="2" type="noConversion"/>
  </si>
  <si>
    <t>잡지출</t>
    <phoneticPr fontId="2" type="noConversion"/>
  </si>
  <si>
    <t>보조금반환</t>
    <phoneticPr fontId="2" type="noConversion"/>
  </si>
  <si>
    <t>보조금반환</t>
    <phoneticPr fontId="2" type="noConversion"/>
  </si>
  <si>
    <t>4종운영지원사업비</t>
    <phoneticPr fontId="2" type="noConversion"/>
  </si>
  <si>
    <t>차량운영비</t>
    <phoneticPr fontId="2" type="noConversion"/>
  </si>
  <si>
    <t>간병인비</t>
    <phoneticPr fontId="2" type="noConversion"/>
  </si>
  <si>
    <t>재활프로그램사업비</t>
    <phoneticPr fontId="2" type="noConversion"/>
  </si>
  <si>
    <t>운영비</t>
    <phoneticPr fontId="2" type="noConversion"/>
  </si>
  <si>
    <t>소계</t>
    <phoneticPr fontId="2" type="noConversion"/>
  </si>
  <si>
    <t>사회심리
재활사업비</t>
    <phoneticPr fontId="2" type="noConversion"/>
  </si>
  <si>
    <t>재산조성비</t>
    <phoneticPr fontId="2" type="noConversion"/>
  </si>
  <si>
    <t>시설비</t>
    <phoneticPr fontId="2" type="noConversion"/>
  </si>
  <si>
    <t>계</t>
  </si>
  <si>
    <t>계</t>
    <phoneticPr fontId="2" type="noConversion"/>
  </si>
  <si>
    <t xml:space="preserve"> </t>
    <phoneticPr fontId="2" type="noConversion"/>
  </si>
  <si>
    <t>여행경비등</t>
    <phoneticPr fontId="2" type="noConversion"/>
  </si>
  <si>
    <t>특별위로금</t>
    <phoneticPr fontId="2" type="noConversion"/>
  </si>
  <si>
    <t>위생재료비</t>
    <phoneticPr fontId="2" type="noConversion"/>
  </si>
  <si>
    <t>건물유지비</t>
    <phoneticPr fontId="2" type="noConversion"/>
  </si>
  <si>
    <t xml:space="preserve"> 건물 유지 관리비 </t>
    <phoneticPr fontId="2" type="noConversion"/>
  </si>
  <si>
    <t>일상용품비</t>
    <phoneticPr fontId="2" type="noConversion"/>
  </si>
  <si>
    <t>소계</t>
    <phoneticPr fontId="2" type="noConversion"/>
  </si>
  <si>
    <t>화재보험료</t>
    <phoneticPr fontId="2" type="noConversion"/>
  </si>
  <si>
    <t>상해보험료</t>
    <phoneticPr fontId="2" type="noConversion"/>
  </si>
  <si>
    <t xml:space="preserve"> 일상 생활용품 경비</t>
    <phoneticPr fontId="2" type="noConversion"/>
  </si>
  <si>
    <t xml:space="preserve"> 소멸성 보험에 가입</t>
    <phoneticPr fontId="2" type="noConversion"/>
  </si>
  <si>
    <t xml:space="preserve"> 사무용품비, 인쇄비, 수수료 등</t>
    <phoneticPr fontId="2" type="noConversion"/>
  </si>
  <si>
    <t>교통급식비</t>
    <phoneticPr fontId="2" type="noConversion"/>
  </si>
  <si>
    <t>명절휴가비</t>
    <phoneticPr fontId="2" type="noConversion"/>
  </si>
  <si>
    <t>가족수당</t>
    <phoneticPr fontId="2" type="noConversion"/>
  </si>
  <si>
    <t>소계</t>
    <phoneticPr fontId="2" type="noConversion"/>
  </si>
  <si>
    <t>기관운영비</t>
    <phoneticPr fontId="2" type="noConversion"/>
  </si>
  <si>
    <t>직책보조비</t>
    <phoneticPr fontId="2" type="noConversion"/>
  </si>
  <si>
    <t>홍보비</t>
    <phoneticPr fontId="2" type="noConversion"/>
  </si>
  <si>
    <t>회의비</t>
    <phoneticPr fontId="2" type="noConversion"/>
  </si>
  <si>
    <t>운영비</t>
    <phoneticPr fontId="2" type="noConversion"/>
  </si>
  <si>
    <t>여비</t>
    <phoneticPr fontId="2" type="noConversion"/>
  </si>
  <si>
    <t>공공요금</t>
    <phoneticPr fontId="2" type="noConversion"/>
  </si>
  <si>
    <t>제세공과금</t>
    <phoneticPr fontId="2" type="noConversion"/>
  </si>
  <si>
    <t>차량비</t>
    <phoneticPr fontId="2" type="noConversion"/>
  </si>
  <si>
    <t>계</t>
    <phoneticPr fontId="2" type="noConversion"/>
  </si>
  <si>
    <t>시설비</t>
    <phoneticPr fontId="2" type="noConversion"/>
  </si>
  <si>
    <t>자산취득비</t>
    <phoneticPr fontId="2" type="noConversion"/>
  </si>
  <si>
    <t>생계비</t>
    <phoneticPr fontId="2" type="noConversion"/>
  </si>
  <si>
    <t>예비비</t>
    <phoneticPr fontId="2" type="noConversion"/>
  </si>
  <si>
    <t>잡지출</t>
    <phoneticPr fontId="2" type="noConversion"/>
  </si>
  <si>
    <t>건강보험부담금</t>
    <phoneticPr fontId="2" type="noConversion"/>
  </si>
  <si>
    <t>국민연금부담금</t>
    <phoneticPr fontId="2" type="noConversion"/>
  </si>
  <si>
    <t>고용보험부담금</t>
    <phoneticPr fontId="2" type="noConversion"/>
  </si>
  <si>
    <t>산재보험부담금</t>
    <phoneticPr fontId="2" type="noConversion"/>
  </si>
  <si>
    <t>직업재활비</t>
    <phoneticPr fontId="2" type="noConversion"/>
  </si>
  <si>
    <t>특별급식비</t>
    <phoneticPr fontId="2" type="noConversion"/>
  </si>
  <si>
    <t>연료비</t>
    <phoneticPr fontId="2" type="noConversion"/>
  </si>
  <si>
    <t>세           입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</si>
  <si>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</si>
  <si>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</si>
  <si>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</si>
  <si>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생계비</t>
    <phoneticPr fontId="2" type="noConversion"/>
  </si>
  <si>
    <t>자본보조금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</si>
  <si>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</si>
  <si>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</si>
  <si>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</si>
  <si>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이월사업비</t>
    <phoneticPr fontId="2" type="noConversion"/>
  </si>
  <si>
    <t>전년도이월금</t>
    <phoneticPr fontId="2" type="noConversion"/>
  </si>
  <si>
    <t>잡수입</t>
    <phoneticPr fontId="2" type="noConversion"/>
  </si>
  <si>
    <t>기타잡수입</t>
    <phoneticPr fontId="2" type="noConversion"/>
  </si>
  <si>
    <t xml:space="preserve">    1) 보조금세입내역</t>
    <phoneticPr fontId="2" type="noConversion"/>
  </si>
  <si>
    <t>과                     목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</si>
  <si>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</si>
  <si>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</si>
  <si>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</si>
  <si>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</si>
  <si>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</si>
  <si>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</si>
  <si>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</si>
  <si>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기타예금이자수입</t>
    <phoneticPr fontId="2" type="noConversion"/>
  </si>
  <si>
    <t>총                            계</t>
    <phoneticPr fontId="2" type="noConversion"/>
  </si>
  <si>
    <t>(단위:원)</t>
    <phoneticPr fontId="2" type="noConversion"/>
  </si>
  <si>
    <t>총                            계</t>
    <phoneticPr fontId="2" type="noConversion"/>
  </si>
  <si>
    <t>계</t>
    <phoneticPr fontId="2" type="noConversion"/>
  </si>
  <si>
    <t>소계</t>
    <phoneticPr fontId="2" type="noConversion"/>
  </si>
  <si>
    <t>과년도수입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</si>
  <si>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</si>
  <si>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</si>
  <si>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</si>
  <si>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</si>
  <si>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</si>
  <si>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기타예금이자수입</t>
    <phoneticPr fontId="2" type="noConversion"/>
  </si>
  <si>
    <t>기타잡수입</t>
    <phoneticPr fontId="2" type="noConversion"/>
  </si>
  <si>
    <t xml:space="preserve">    2) 자부담세입내역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</si>
  <si>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</si>
  <si>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</si>
  <si>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</si>
  <si>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세                            출</t>
    <phoneticPr fontId="2" type="noConversion"/>
  </si>
  <si>
    <t xml:space="preserve">일용잡금 </t>
    <phoneticPr fontId="2" type="noConversion"/>
  </si>
  <si>
    <t>퇴직금및퇴직적립금</t>
    <phoneticPr fontId="2" type="noConversion"/>
  </si>
  <si>
    <t>사회보험부담비용</t>
    <phoneticPr fontId="2" type="noConversion"/>
  </si>
  <si>
    <t>기관운영비</t>
    <phoneticPr fontId="2" type="noConversion"/>
  </si>
  <si>
    <t>회의비</t>
    <phoneticPr fontId="2" type="noConversion"/>
  </si>
  <si>
    <t>기타운영비</t>
    <phoneticPr fontId="2" type="noConversion"/>
  </si>
  <si>
    <t>재산조성비</t>
    <phoneticPr fontId="2" type="noConversion"/>
  </si>
  <si>
    <t>장의비</t>
    <phoneticPr fontId="2" type="noConversion"/>
  </si>
  <si>
    <t>자활사업비</t>
    <phoneticPr fontId="2" type="noConversion"/>
  </si>
  <si>
    <t>특별급식비</t>
    <phoneticPr fontId="2" type="noConversion"/>
  </si>
  <si>
    <t>교육비</t>
    <phoneticPr fontId="2" type="noConversion"/>
  </si>
  <si>
    <t>과년도지출</t>
    <phoneticPr fontId="2" type="noConversion"/>
  </si>
  <si>
    <t>잡지출</t>
    <phoneticPr fontId="2" type="noConversion"/>
  </si>
  <si>
    <t>수용비및수수료</t>
    <phoneticPr fontId="2" type="noConversion"/>
  </si>
  <si>
    <t>시설장비유지비</t>
    <phoneticPr fontId="2" type="noConversion"/>
  </si>
  <si>
    <t>사회심리재활사업비</t>
    <phoneticPr fontId="2" type="noConversion"/>
  </si>
  <si>
    <t>7종운영지원사업비</t>
    <phoneticPr fontId="2" type="noConversion"/>
  </si>
  <si>
    <t>홍보비</t>
    <phoneticPr fontId="2" type="noConversion"/>
  </si>
  <si>
    <t>총    계</t>
    <phoneticPr fontId="2" type="noConversion"/>
  </si>
  <si>
    <t>이월금</t>
    <phoneticPr fontId="2" type="noConversion"/>
  </si>
  <si>
    <t>둘 다 섯 해 누 리</t>
    <phoneticPr fontId="2" type="noConversion"/>
  </si>
  <si>
    <t>천주교수원교구사회복지회</t>
    <phoneticPr fontId="2" type="noConversion"/>
  </si>
  <si>
    <t>입소자부담금</t>
    <phoneticPr fontId="2" type="noConversion"/>
  </si>
  <si>
    <t>의료보험
(장기요양보험)</t>
    <phoneticPr fontId="2" type="noConversion"/>
  </si>
  <si>
    <t>가계보조수당</t>
    <phoneticPr fontId="2" type="noConversion"/>
  </si>
  <si>
    <t>생활복지사수당</t>
    <phoneticPr fontId="2" type="noConversion"/>
  </si>
  <si>
    <t>생활지도원수당</t>
    <phoneticPr fontId="2" type="noConversion"/>
  </si>
  <si>
    <t>조리.위생수당</t>
    <phoneticPr fontId="2" type="noConversion"/>
  </si>
  <si>
    <t>특수근무수당(도)</t>
    <phoneticPr fontId="2" type="noConversion"/>
  </si>
  <si>
    <t xml:space="preserve"> 수도료,전기료,우편료,전화료,운송료 등</t>
    <phoneticPr fontId="2" type="noConversion"/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</si>
  <si>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</si>
  <si>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</si>
  <si>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</si>
  <si>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</si>
  <si>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</si>
  <si>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7" type="noConversion"/>
  </si>
  <si>
    <t>7월</t>
  </si>
  <si>
    <t>8월</t>
  </si>
  <si>
    <t>12월</t>
    <phoneticPr fontId="7" type="noConversion"/>
  </si>
  <si>
    <t>3,4</t>
    <phoneticPr fontId="2" type="noConversion"/>
  </si>
  <si>
    <t>소계</t>
    <phoneticPr fontId="7" type="noConversion"/>
  </si>
  <si>
    <t>8 월</t>
    <phoneticPr fontId="2" type="noConversion"/>
  </si>
  <si>
    <t>(단위:원)</t>
    <phoneticPr fontId="2" type="noConversion"/>
  </si>
  <si>
    <t>총                            계</t>
    <phoneticPr fontId="2" type="noConversion"/>
  </si>
  <si>
    <t>입소자부담금</t>
    <phoneticPr fontId="2" type="noConversion"/>
  </si>
  <si>
    <t>계</t>
    <phoneticPr fontId="2" type="noConversion"/>
  </si>
  <si>
    <t>입소비용수입</t>
    <phoneticPr fontId="2" type="noConversion"/>
  </si>
  <si>
    <t>소계</t>
    <phoneticPr fontId="2" type="noConversion"/>
  </si>
  <si>
    <t>과년도수입</t>
    <phoneticPr fontId="2" type="noConversion"/>
  </si>
  <si>
    <t>보조금수입</t>
    <phoneticPr fontId="2" type="noConversion"/>
  </si>
  <si>
    <t>후원금수입</t>
    <phoneticPr fontId="2" type="noConversion"/>
  </si>
  <si>
    <t>차입금</t>
    <phoneticPr fontId="2" type="noConversion"/>
  </si>
  <si>
    <t>금융기관차입</t>
    <phoneticPr fontId="2" type="noConversion"/>
  </si>
  <si>
    <t>기타차입금</t>
    <phoneticPr fontId="2" type="noConversion"/>
  </si>
  <si>
    <t>전입금</t>
    <phoneticPr fontId="2" type="noConversion"/>
  </si>
  <si>
    <t>법인전입금</t>
    <phoneticPr fontId="2" type="noConversion"/>
  </si>
  <si>
    <t>이월금</t>
    <phoneticPr fontId="2" type="noConversion"/>
  </si>
  <si>
    <t>전년도이월금</t>
    <phoneticPr fontId="2" type="noConversion"/>
  </si>
  <si>
    <t>이월사업비</t>
    <phoneticPr fontId="2" type="noConversion"/>
  </si>
  <si>
    <t>잡수입</t>
    <phoneticPr fontId="2" type="noConversion"/>
  </si>
  <si>
    <t>불용품매각대</t>
    <phoneticPr fontId="2" type="noConversion"/>
  </si>
  <si>
    <t>기타잡수입</t>
    <phoneticPr fontId="2" type="noConversion"/>
  </si>
  <si>
    <t>세목</t>
    <phoneticPr fontId="2" type="noConversion"/>
  </si>
  <si>
    <t>가계보조수당</t>
    <phoneticPr fontId="2" type="noConversion"/>
  </si>
  <si>
    <t>교통급식비</t>
    <phoneticPr fontId="2" type="noConversion"/>
  </si>
  <si>
    <t>자가운전보조금</t>
    <phoneticPr fontId="2" type="noConversion"/>
  </si>
  <si>
    <t>기타후생경비</t>
    <phoneticPr fontId="2" type="noConversion"/>
  </si>
  <si>
    <t>수용기관경비</t>
    <phoneticPr fontId="2" type="noConversion"/>
  </si>
  <si>
    <t>수업료</t>
    <phoneticPr fontId="2" type="noConversion"/>
  </si>
  <si>
    <t>학용품비</t>
    <phoneticPr fontId="2" type="noConversion"/>
  </si>
  <si>
    <t>도서구입비</t>
    <phoneticPr fontId="2" type="noConversion"/>
  </si>
  <si>
    <t>교통비</t>
    <phoneticPr fontId="2" type="noConversion"/>
  </si>
  <si>
    <t>급식비</t>
    <phoneticPr fontId="2" type="noConversion"/>
  </si>
  <si>
    <t>학습지원비</t>
    <phoneticPr fontId="2" type="noConversion"/>
  </si>
  <si>
    <t>수학여행비</t>
    <phoneticPr fontId="2" type="noConversion"/>
  </si>
  <si>
    <t>교복비</t>
    <phoneticPr fontId="2" type="noConversion"/>
  </si>
  <si>
    <t>의료재활사업비</t>
    <phoneticPr fontId="2" type="noConversion"/>
  </si>
  <si>
    <t>사회심리
재활사업비</t>
    <phoneticPr fontId="2" type="noConversion"/>
  </si>
  <si>
    <t>교육재활사업비</t>
    <phoneticPr fontId="2" type="noConversion"/>
  </si>
  <si>
    <t xml:space="preserve">    3) 후원금세입내역</t>
    <phoneticPr fontId="2" type="noConversion"/>
  </si>
  <si>
    <t xml:space="preserve"> 생활장애인의 교육 및 교양함양을 위한 교재/도서 구입비
 (미술,한글교실 등)</t>
    <phoneticPr fontId="2" type="noConversion"/>
  </si>
  <si>
    <t xml:space="preserve"> 전기안전점검료, 정화조유지비,승강기유지비 등</t>
    <phoneticPr fontId="2" type="noConversion"/>
  </si>
  <si>
    <t xml:space="preserve"> 생활장애인의 교육 및 교양함양을 위한 교재/도서 구입비</t>
    <phoneticPr fontId="2" type="noConversion"/>
  </si>
  <si>
    <t>처우개선비</t>
    <phoneticPr fontId="2" type="noConversion"/>
  </si>
  <si>
    <t xml:space="preserve"> 교육참가비 및 여비 등</t>
    <phoneticPr fontId="2" type="noConversion"/>
  </si>
  <si>
    <t xml:space="preserve">후  원  금 </t>
    <phoneticPr fontId="2" type="noConversion"/>
  </si>
  <si>
    <t>사업수입</t>
    <phoneticPr fontId="2" type="noConversion"/>
  </si>
  <si>
    <t>프로그램사업수입</t>
    <phoneticPr fontId="2" type="noConversion"/>
  </si>
  <si>
    <t>후원금수입</t>
    <phoneticPr fontId="2" type="noConversion"/>
  </si>
  <si>
    <t>후원금수입</t>
    <phoneticPr fontId="2" type="noConversion"/>
  </si>
  <si>
    <t>지정후원금</t>
    <phoneticPr fontId="2" type="noConversion"/>
  </si>
  <si>
    <t>비지정후원금</t>
    <phoneticPr fontId="2" type="noConversion"/>
  </si>
  <si>
    <t>후원금</t>
    <phoneticPr fontId="2" type="noConversion"/>
  </si>
  <si>
    <t>전입금</t>
    <phoneticPr fontId="2" type="noConversion"/>
  </si>
  <si>
    <t>사업수입</t>
    <phoneticPr fontId="2" type="noConversion"/>
  </si>
  <si>
    <t>세            출</t>
    <phoneticPr fontId="2" type="noConversion"/>
  </si>
  <si>
    <t>원</t>
  </si>
  <si>
    <t>재활승마사업비</t>
    <phoneticPr fontId="2" type="noConversion"/>
  </si>
  <si>
    <t>유료입소</t>
    <phoneticPr fontId="2" type="noConversion"/>
  </si>
  <si>
    <t>잡수입</t>
    <phoneticPr fontId="2" type="noConversion"/>
  </si>
  <si>
    <t>잡수입-식대</t>
    <phoneticPr fontId="2" type="noConversion"/>
  </si>
  <si>
    <t>법인전입</t>
    <phoneticPr fontId="2" type="noConversion"/>
  </si>
  <si>
    <t>법인전입-승마</t>
    <phoneticPr fontId="2" type="noConversion"/>
  </si>
  <si>
    <t>보전수당</t>
    <phoneticPr fontId="2" type="noConversion"/>
  </si>
  <si>
    <t>직접</t>
    <phoneticPr fontId="2" type="noConversion"/>
  </si>
  <si>
    <t>간접</t>
    <phoneticPr fontId="2" type="noConversion"/>
  </si>
  <si>
    <t>계</t>
    <phoneticPr fontId="2" type="noConversion"/>
  </si>
  <si>
    <t>프로그램수입</t>
    <phoneticPr fontId="2" type="noConversion"/>
  </si>
  <si>
    <t>공동모금회사업비</t>
    <phoneticPr fontId="2" type="noConversion"/>
  </si>
  <si>
    <t>운전원</t>
    <phoneticPr fontId="7" type="noConversion"/>
  </si>
  <si>
    <t>세       입</t>
    <phoneticPr fontId="2" type="noConversion"/>
  </si>
  <si>
    <t>세      출</t>
    <phoneticPr fontId="2" type="noConversion"/>
  </si>
  <si>
    <t>증감</t>
    <phoneticPr fontId="2" type="noConversion"/>
  </si>
  <si>
    <t>내   용</t>
    <phoneticPr fontId="2" type="noConversion"/>
  </si>
  <si>
    <t xml:space="preserve"> 음식물배상보험, 가스안전보험, 협회비 보험료 등 </t>
    <phoneticPr fontId="2" type="noConversion"/>
  </si>
  <si>
    <t>결연후원금수입</t>
    <phoneticPr fontId="2" type="noConversion"/>
  </si>
  <si>
    <t>결연후원금</t>
    <phoneticPr fontId="2" type="noConversion"/>
  </si>
  <si>
    <t>결연후원금지급</t>
    <phoneticPr fontId="2" type="noConversion"/>
  </si>
  <si>
    <t>교통급식비
(110,000원)</t>
    <phoneticPr fontId="7" type="noConversion"/>
  </si>
  <si>
    <t>처우개선비</t>
    <phoneticPr fontId="7" type="noConversion"/>
  </si>
  <si>
    <t>기관장</t>
    <phoneticPr fontId="2" type="noConversion"/>
  </si>
  <si>
    <t>사무국장</t>
    <phoneticPr fontId="2" type="noConversion"/>
  </si>
  <si>
    <t>과장(2)</t>
    <phoneticPr fontId="2" type="noConversion"/>
  </si>
  <si>
    <t>팀장(5)</t>
    <phoneticPr fontId="2" type="noConversion"/>
  </si>
  <si>
    <t>주임(3)</t>
    <phoneticPr fontId="2" type="noConversion"/>
  </si>
  <si>
    <t>9 월</t>
    <phoneticPr fontId="2" type="noConversion"/>
  </si>
  <si>
    <t>7월신설</t>
    <phoneticPr fontId="2" type="noConversion"/>
  </si>
  <si>
    <t>7월주임신설</t>
    <phoneticPr fontId="2" type="noConversion"/>
  </si>
  <si>
    <t>3월지급종료</t>
    <phoneticPr fontId="2" type="noConversion"/>
  </si>
  <si>
    <t>법인</t>
    <phoneticPr fontId="2" type="noConversion"/>
  </si>
  <si>
    <t>기타</t>
    <phoneticPr fontId="2" type="noConversion"/>
  </si>
  <si>
    <t>기타,법인</t>
    <phoneticPr fontId="2" type="noConversion"/>
  </si>
  <si>
    <t>입소,법인</t>
    <phoneticPr fontId="2" type="noConversion"/>
  </si>
  <si>
    <t>기타(식대),입소</t>
    <phoneticPr fontId="2" type="noConversion"/>
  </si>
  <si>
    <t>입소,법인,사업</t>
    <phoneticPr fontId="2" type="noConversion"/>
  </si>
  <si>
    <t>이월금 포함</t>
    <phoneticPr fontId="2" type="noConversion"/>
  </si>
  <si>
    <t>과장</t>
    <phoneticPr fontId="2" type="noConversion"/>
  </si>
  <si>
    <t>팀장</t>
    <phoneticPr fontId="2" type="noConversion"/>
  </si>
  <si>
    <t>학용품비</t>
    <phoneticPr fontId="2" type="noConversion"/>
  </si>
  <si>
    <t>200,000원</t>
    <phoneticPr fontId="2" type="noConversion"/>
  </si>
  <si>
    <t>160,000원</t>
    <phoneticPr fontId="2" type="noConversion"/>
  </si>
  <si>
    <t>100,000원</t>
    <phoneticPr fontId="2" type="noConversion"/>
  </si>
  <si>
    <t>60,000원</t>
    <phoneticPr fontId="2" type="noConversion"/>
  </si>
  <si>
    <t>40,000원</t>
    <phoneticPr fontId="2" type="noConversion"/>
  </si>
  <si>
    <t>교통급식비</t>
    <phoneticPr fontId="7" type="noConversion"/>
  </si>
  <si>
    <t>명절휴가비
연평균액</t>
    <phoneticPr fontId="2" type="noConversion"/>
  </si>
  <si>
    <t>1월</t>
  </si>
  <si>
    <t>2월</t>
  </si>
  <si>
    <t>3월</t>
  </si>
  <si>
    <t>4월</t>
  </si>
  <si>
    <t>5월</t>
  </si>
  <si>
    <t>6월</t>
  </si>
  <si>
    <t>12월</t>
  </si>
  <si>
    <t>유선주</t>
    <phoneticPr fontId="2" type="noConversion"/>
  </si>
  <si>
    <t>안가람</t>
    <phoneticPr fontId="2" type="noConversion"/>
  </si>
  <si>
    <t>변호영</t>
    <phoneticPr fontId="2" type="noConversion"/>
  </si>
  <si>
    <t>일용직</t>
    <phoneticPr fontId="2" type="noConversion"/>
  </si>
  <si>
    <t>시간당
연장근로수당</t>
    <phoneticPr fontId="2" type="noConversion"/>
  </si>
  <si>
    <t>연장근로수당
(기본급*1/
209*1.5*40/22)</t>
    <phoneticPr fontId="7" type="noConversion"/>
  </si>
  <si>
    <t xml:space="preserve"> 여행,등산,놀이 등에 소요되는 여비,기구 구입비</t>
    <phoneticPr fontId="2" type="noConversion"/>
  </si>
  <si>
    <t xml:space="preserve"> 직원 동아리지원 및 역량강화훈련비,보수교육비 등 </t>
    <phoneticPr fontId="2" type="noConversion"/>
  </si>
  <si>
    <t>(1) 후원금</t>
    <phoneticPr fontId="7" type="noConversion"/>
  </si>
  <si>
    <t>(2) 후원금</t>
    <phoneticPr fontId="7" type="noConversion"/>
  </si>
  <si>
    <t>운영비합계액</t>
    <phoneticPr fontId="2" type="noConversion"/>
  </si>
  <si>
    <t>김숙희</t>
    <phoneticPr fontId="2" type="noConversion"/>
  </si>
  <si>
    <t>여름캠프 및 가을여행등 소요경비.</t>
    <phoneticPr fontId="2" type="noConversion"/>
  </si>
  <si>
    <t>(단위 : 원)</t>
    <phoneticPr fontId="7" type="noConversion"/>
  </si>
  <si>
    <t>연
번</t>
    <phoneticPr fontId="7" type="noConversion"/>
  </si>
  <si>
    <t>직
종</t>
    <phoneticPr fontId="7" type="noConversion"/>
  </si>
  <si>
    <t>호
봉</t>
    <phoneticPr fontId="7" type="noConversion"/>
  </si>
  <si>
    <t>명
수</t>
    <phoneticPr fontId="2" type="noConversion"/>
  </si>
  <si>
    <t>구분
(월)</t>
    <phoneticPr fontId="7" type="noConversion"/>
  </si>
  <si>
    <t>기본급</t>
    <phoneticPr fontId="7" type="noConversion"/>
  </si>
  <si>
    <t>기말수당
(50%씩 연4회
-3,6,9,12월)</t>
    <phoneticPr fontId="7" type="noConversion"/>
  </si>
  <si>
    <t>정근수당
(1,7월)</t>
    <phoneticPr fontId="7" type="noConversion"/>
  </si>
  <si>
    <t>가족수당
(40,000원)
(20,000원)</t>
    <phoneticPr fontId="7" type="noConversion"/>
  </si>
  <si>
    <t>연장근로수당</t>
    <phoneticPr fontId="2" type="noConversion"/>
  </si>
  <si>
    <t>특수근무
수  당
(도비)</t>
    <phoneticPr fontId="7" type="noConversion"/>
  </si>
  <si>
    <t>소  계</t>
    <phoneticPr fontId="7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</si>
  <si>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</si>
  <si>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</si>
  <si>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</si>
  <si>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</si>
  <si>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</si>
  <si>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</si>
  <si>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7" type="noConversion"/>
  </si>
  <si>
    <t>소계</t>
    <phoneticPr fontId="7" type="noConversion"/>
  </si>
  <si>
    <t>5월</t>
    <phoneticPr fontId="2" type="noConversion"/>
  </si>
  <si>
    <t>영  양  사</t>
    <phoneticPr fontId="7" type="noConversion"/>
  </si>
  <si>
    <t>간  호  사</t>
    <phoneticPr fontId="7" type="noConversion"/>
  </si>
  <si>
    <t>전광숙</t>
    <phoneticPr fontId="2" type="noConversion"/>
  </si>
  <si>
    <t>7,8</t>
    <phoneticPr fontId="2" type="noConversion"/>
  </si>
  <si>
    <t>최숙렬</t>
    <phoneticPr fontId="2" type="noConversion"/>
  </si>
  <si>
    <t>정수미</t>
    <phoneticPr fontId="2" type="noConversion"/>
  </si>
  <si>
    <t>한순규</t>
    <phoneticPr fontId="2" type="noConversion"/>
  </si>
  <si>
    <t>이성수</t>
    <phoneticPr fontId="2" type="noConversion"/>
  </si>
  <si>
    <t>1월</t>
    <phoneticPr fontId="2" type="noConversion"/>
  </si>
  <si>
    <t>2월</t>
    <phoneticPr fontId="2" type="noConversion"/>
  </si>
  <si>
    <t>4월</t>
    <phoneticPr fontId="2" type="noConversion"/>
  </si>
  <si>
    <t>심영은</t>
    <phoneticPr fontId="2" type="noConversion"/>
  </si>
  <si>
    <t>이선이</t>
    <phoneticPr fontId="2" type="noConversion"/>
  </si>
  <si>
    <t>신희철</t>
    <phoneticPr fontId="2" type="noConversion"/>
  </si>
  <si>
    <t>이도란</t>
    <phoneticPr fontId="2" type="noConversion"/>
  </si>
  <si>
    <t>민병선</t>
    <phoneticPr fontId="2" type="noConversion"/>
  </si>
  <si>
    <t>조  리  원</t>
    <phoneticPr fontId="7" type="noConversion"/>
  </si>
  <si>
    <t>이순옥</t>
    <phoneticPr fontId="2" type="noConversion"/>
  </si>
  <si>
    <t>(2) 도시비지원</t>
    <phoneticPr fontId="7" type="noConversion"/>
  </si>
  <si>
    <t>(단위 : 원)</t>
    <phoneticPr fontId="7" type="noConversion"/>
  </si>
  <si>
    <t>연
번</t>
    <phoneticPr fontId="7" type="noConversion"/>
  </si>
  <si>
    <t>직
종</t>
    <phoneticPr fontId="7" type="noConversion"/>
  </si>
  <si>
    <t>호
봉</t>
    <phoneticPr fontId="7" type="noConversion"/>
  </si>
  <si>
    <t>명
수</t>
    <phoneticPr fontId="2" type="noConversion"/>
  </si>
  <si>
    <t>구분
(월)</t>
    <phoneticPr fontId="7" type="noConversion"/>
  </si>
  <si>
    <t>기본급</t>
    <phoneticPr fontId="7" type="noConversion"/>
  </si>
  <si>
    <t>기말수당
(50%씩 연4회
-3,6,9,12월)</t>
    <phoneticPr fontId="7" type="noConversion"/>
  </si>
  <si>
    <t>정근수당
(1,7월)</t>
    <phoneticPr fontId="7" type="noConversion"/>
  </si>
  <si>
    <t>명절휴가비
(50%씩
연2회)</t>
    <phoneticPr fontId="7" type="noConversion"/>
  </si>
  <si>
    <t>특수근무
수   당
(국비)</t>
    <phoneticPr fontId="7" type="noConversion"/>
  </si>
  <si>
    <t>연장근로수당
(보수월액*1/
209*1.5*40/56)</t>
    <phoneticPr fontId="7" type="noConversion"/>
  </si>
  <si>
    <t>특수근무
수  당
(도비)</t>
    <phoneticPr fontId="7" type="noConversion"/>
  </si>
  <si>
    <t>소  계</t>
    <phoneticPr fontId="7" type="noConversion"/>
  </si>
  <si>
    <t>비    고</t>
    <phoneticPr fontId="2" type="noConversion"/>
  </si>
  <si>
    <t>퇴직적립금</t>
    <phoneticPr fontId="2" type="noConversion"/>
  </si>
  <si>
    <t>국민연금</t>
    <phoneticPr fontId="2" type="noConversion"/>
  </si>
  <si>
    <t>의료보험</t>
    <phoneticPr fontId="2" type="noConversion"/>
  </si>
  <si>
    <t>의료보험
(장기요양보험)</t>
    <phoneticPr fontId="2" type="noConversion"/>
  </si>
  <si>
    <t>고용보험</t>
    <phoneticPr fontId="2" type="noConversion"/>
  </si>
  <si>
    <t>산재보험</t>
    <phoneticPr fontId="7" type="noConversion"/>
  </si>
  <si>
    <t>신언영</t>
    <phoneticPr fontId="2" type="noConversion"/>
  </si>
  <si>
    <t>(3) 도시비지원</t>
    <phoneticPr fontId="7" type="noConversion"/>
  </si>
  <si>
    <t>오애자</t>
    <phoneticPr fontId="2" type="noConversion"/>
  </si>
  <si>
    <t>한상수</t>
    <phoneticPr fontId="2" type="noConversion"/>
  </si>
  <si>
    <t>(단위:원)</t>
    <phoneticPr fontId="2" type="noConversion"/>
  </si>
  <si>
    <t>월</t>
    <phoneticPr fontId="2" type="noConversion"/>
  </si>
  <si>
    <t>12회</t>
    <phoneticPr fontId="2" type="noConversion"/>
  </si>
  <si>
    <t>1회</t>
    <phoneticPr fontId="2" type="noConversion"/>
  </si>
  <si>
    <t>피복비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</si>
  <si>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</si>
  <si>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</si>
  <si>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</si>
  <si>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</si>
  <si>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</si>
  <si>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개월</t>
    <phoneticPr fontId="2" type="noConversion"/>
  </si>
  <si>
    <t>회</t>
    <phoneticPr fontId="2" type="noConversion"/>
  </si>
  <si>
    <t xml:space="preserve"> 설지급</t>
    <phoneticPr fontId="2" type="noConversion"/>
  </si>
  <si>
    <t>12월</t>
    <phoneticPr fontId="2" type="noConversion"/>
  </si>
  <si>
    <t>관</t>
    <phoneticPr fontId="2" type="noConversion"/>
  </si>
  <si>
    <t>항</t>
    <phoneticPr fontId="2" type="noConversion"/>
  </si>
  <si>
    <t>목</t>
    <phoneticPr fontId="2" type="noConversion"/>
  </si>
  <si>
    <t>산     출     내     역</t>
    <phoneticPr fontId="2" type="noConversion"/>
  </si>
  <si>
    <t>금   액</t>
    <phoneticPr fontId="2" type="noConversion"/>
  </si>
  <si>
    <t>비   고</t>
    <phoneticPr fontId="2" type="noConversion"/>
  </si>
  <si>
    <t>소                                                  계</t>
    <phoneticPr fontId="2" type="noConversion"/>
  </si>
  <si>
    <t>입소자부식비</t>
    <phoneticPr fontId="2" type="noConversion"/>
  </si>
  <si>
    <t>계</t>
    <phoneticPr fontId="2" type="noConversion"/>
  </si>
  <si>
    <t>1 월</t>
    <phoneticPr fontId="2" type="noConversion"/>
  </si>
  <si>
    <t>2 월</t>
    <phoneticPr fontId="2" type="noConversion"/>
  </si>
  <si>
    <t>3 월</t>
    <phoneticPr fontId="2" type="noConversion"/>
  </si>
  <si>
    <t>4 월</t>
    <phoneticPr fontId="2" type="noConversion"/>
  </si>
  <si>
    <t>5 월</t>
    <phoneticPr fontId="2" type="noConversion"/>
  </si>
  <si>
    <t>6 월</t>
    <phoneticPr fontId="2" type="noConversion"/>
  </si>
  <si>
    <t>7 월</t>
    <phoneticPr fontId="2" type="noConversion"/>
  </si>
  <si>
    <t>10 월</t>
    <phoneticPr fontId="2" type="noConversion"/>
  </si>
  <si>
    <t>11 월</t>
    <phoneticPr fontId="2" type="noConversion"/>
  </si>
  <si>
    <t>12 월</t>
    <phoneticPr fontId="2" type="noConversion"/>
  </si>
  <si>
    <t>입소자간식비</t>
    <phoneticPr fontId="2" type="noConversion"/>
  </si>
  <si>
    <t>8 월</t>
    <phoneticPr fontId="2" type="noConversion"/>
  </si>
  <si>
    <t>9 월</t>
    <phoneticPr fontId="2" type="noConversion"/>
  </si>
  <si>
    <t>입소자피복비
및 특별급식비</t>
    <phoneticPr fontId="2" type="noConversion"/>
  </si>
  <si>
    <t>특별
급식비</t>
    <phoneticPr fontId="2" type="noConversion"/>
  </si>
  <si>
    <t>설날</t>
    <phoneticPr fontId="2" type="noConversion"/>
  </si>
  <si>
    <t>장애인
의날</t>
    <phoneticPr fontId="2" type="noConversion"/>
  </si>
  <si>
    <t>추석</t>
    <phoneticPr fontId="2" type="noConversion"/>
  </si>
  <si>
    <t>연말</t>
    <phoneticPr fontId="2" type="noConversion"/>
  </si>
  <si>
    <t>입소자
건강진단비</t>
    <phoneticPr fontId="2" type="noConversion"/>
  </si>
  <si>
    <t>년1회</t>
    <phoneticPr fontId="2" type="noConversion"/>
  </si>
  <si>
    <t>인권지킴이, 운영위원회등 경비</t>
    <phoneticPr fontId="2" type="noConversion"/>
  </si>
  <si>
    <t>일용직</t>
    <phoneticPr fontId="7" type="noConversion"/>
  </si>
  <si>
    <t>명절휴가비
(60%씩
연2회)</t>
    <phoneticPr fontId="7" type="noConversion"/>
  </si>
  <si>
    <t>8,9</t>
    <phoneticPr fontId="2" type="noConversion"/>
  </si>
  <si>
    <t>9,10</t>
    <phoneticPr fontId="2" type="noConversion"/>
  </si>
  <si>
    <t>5,6</t>
    <phoneticPr fontId="2" type="noConversion"/>
  </si>
  <si>
    <t>4,5</t>
    <phoneticPr fontId="2" type="noConversion"/>
  </si>
  <si>
    <t>※ '국민기초 생활보장 급여'월별 산출내역표</t>
    <phoneticPr fontId="2" type="noConversion"/>
  </si>
  <si>
    <t>(단위:원)</t>
    <phoneticPr fontId="2" type="noConversion"/>
  </si>
  <si>
    <t>월</t>
    <phoneticPr fontId="2" type="noConversion"/>
  </si>
  <si>
    <t>구            분</t>
    <phoneticPr fontId="2" type="noConversion"/>
  </si>
  <si>
    <t>금    액</t>
    <phoneticPr fontId="2" type="noConversion"/>
  </si>
  <si>
    <t>비           고</t>
    <phoneticPr fontId="2" type="noConversion"/>
  </si>
  <si>
    <t>총                  계</t>
    <phoneticPr fontId="2" type="noConversion"/>
  </si>
  <si>
    <t>총계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</si>
  <si>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</si>
  <si>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</si>
  <si>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</si>
  <si>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2회</t>
    <phoneticPr fontId="2" type="noConversion"/>
  </si>
  <si>
    <t>1월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</si>
  <si>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</si>
  <si>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</si>
  <si>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</si>
  <si>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</si>
  <si>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</si>
  <si>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</si>
  <si>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월동대책비</t>
    <phoneticPr fontId="2" type="noConversion"/>
  </si>
  <si>
    <t>개월</t>
    <phoneticPr fontId="2" type="noConversion"/>
  </si>
  <si>
    <t>동내의</t>
    <phoneticPr fontId="2" type="noConversion"/>
  </si>
  <si>
    <t>피복비</t>
    <phoneticPr fontId="2" type="noConversion"/>
  </si>
  <si>
    <t>회</t>
    <phoneticPr fontId="2" type="noConversion"/>
  </si>
  <si>
    <t>3월</t>
    <phoneticPr fontId="2" type="noConversion"/>
  </si>
  <si>
    <t>4월</t>
    <phoneticPr fontId="2" type="noConversion"/>
  </si>
  <si>
    <t>5월</t>
    <phoneticPr fontId="2" type="noConversion"/>
  </si>
  <si>
    <t>6월</t>
    <phoneticPr fontId="2" type="noConversion"/>
  </si>
  <si>
    <t>7월</t>
    <phoneticPr fontId="2" type="noConversion"/>
  </si>
  <si>
    <t>8월</t>
    <phoneticPr fontId="2" type="noConversion"/>
  </si>
  <si>
    <t>9월</t>
    <phoneticPr fontId="2" type="noConversion"/>
  </si>
  <si>
    <t xml:space="preserve"> 추석지급</t>
    <phoneticPr fontId="2" type="noConversion"/>
  </si>
  <si>
    <t>10월</t>
    <phoneticPr fontId="2" type="noConversion"/>
  </si>
  <si>
    <t xml:space="preserve"> 10월 지급 </t>
    <phoneticPr fontId="2" type="noConversion"/>
  </si>
  <si>
    <t xml:space="preserve"> 10월 지급</t>
    <phoneticPr fontId="2" type="noConversion"/>
  </si>
  <si>
    <t>11월</t>
    <phoneticPr fontId="2" type="noConversion"/>
  </si>
  <si>
    <t>소계</t>
    <phoneticPr fontId="2" type="noConversion"/>
  </si>
  <si>
    <t>위로금</t>
    <phoneticPr fontId="2" type="noConversion"/>
  </si>
  <si>
    <t>특별위로금</t>
    <phoneticPr fontId="2" type="noConversion"/>
  </si>
  <si>
    <t>원</t>
    <phoneticPr fontId="2" type="noConversion"/>
  </si>
  <si>
    <t>×</t>
    <phoneticPr fontId="2" type="noConversion"/>
  </si>
  <si>
    <t>명</t>
    <phoneticPr fontId="2" type="noConversion"/>
  </si>
  <si>
    <t>일</t>
    <phoneticPr fontId="2" type="noConversion"/>
  </si>
  <si>
    <t>=</t>
    <phoneticPr fontId="2" type="noConversion"/>
  </si>
  <si>
    <t>주부식비</t>
    <phoneticPr fontId="2" type="noConversion"/>
  </si>
  <si>
    <t>월</t>
    <phoneticPr fontId="2" type="noConversion"/>
  </si>
  <si>
    <t>월동대책비</t>
    <phoneticPr fontId="2" type="noConversion"/>
  </si>
  <si>
    <t>회</t>
    <phoneticPr fontId="2" type="noConversion"/>
  </si>
  <si>
    <t>피복비</t>
    <phoneticPr fontId="2" type="noConversion"/>
  </si>
  <si>
    <t>개월</t>
    <phoneticPr fontId="2" type="noConversion"/>
  </si>
  <si>
    <t>동내의</t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</si>
  <si>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</si>
  <si>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</si>
  <si>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</si>
  <si>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예비비및기타</t>
    <phoneticPr fontId="2" type="noConversion"/>
  </si>
  <si>
    <t xml:space="preserve"> 수도료,전기료,우편료,전화료,운송료 등</t>
    <phoneticPr fontId="2" type="noConversion"/>
  </si>
  <si>
    <t>실지출대비 예산 증액</t>
    <phoneticPr fontId="2" type="noConversion"/>
  </si>
  <si>
    <t>실지출대비 예산 감액</t>
    <phoneticPr fontId="2" type="noConversion"/>
  </si>
  <si>
    <t>실수입반영 잡지출 예산증액</t>
    <phoneticPr fontId="2" type="noConversion"/>
  </si>
  <si>
    <t>실수입대비 예산증액</t>
    <phoneticPr fontId="2" type="noConversion"/>
  </si>
  <si>
    <t>인건비 호봉승급에 따른 예산증액</t>
    <phoneticPr fontId="2" type="noConversion"/>
  </si>
  <si>
    <t>인건비 호봉 승급에 따른 예산 증액</t>
    <phoneticPr fontId="2" type="noConversion"/>
  </si>
  <si>
    <t>주부식비
피복비</t>
    <phoneticPr fontId="2" type="noConversion"/>
  </si>
  <si>
    <t>입소자
특별급식비</t>
    <phoneticPr fontId="2" type="noConversion"/>
  </si>
  <si>
    <t xml:space="preserve"> 전기,전화,수도요금.DM발송,우편물발송요금 등 </t>
    <phoneticPr fontId="2" type="noConversion"/>
  </si>
  <si>
    <t xml:space="preserve"> 화재, 음식물, 영업배상책임, 자동차보험료 등</t>
    <phoneticPr fontId="2" type="noConversion"/>
  </si>
  <si>
    <t>보조금 반환금 예상액 산출 반영</t>
    <phoneticPr fontId="2" type="noConversion"/>
  </si>
  <si>
    <t xml:space="preserve"> ※ '장애인복지시설 입소자지원(4종)'산출내역표</t>
  </si>
  <si>
    <t>실지출반영 예산 감액</t>
    <phoneticPr fontId="2" type="noConversion"/>
  </si>
  <si>
    <t>공제액합계</t>
    <phoneticPr fontId="7" type="noConversion"/>
  </si>
  <si>
    <t>연장근로수당
(보수월액*1/
209*1.5*20or40)</t>
    <phoneticPr fontId="7" type="noConversion"/>
  </si>
  <si>
    <t>2015년도
당초예산
( A )</t>
    <phoneticPr fontId="2" type="noConversion"/>
  </si>
  <si>
    <t>2015년도
1차추경
( B )</t>
    <phoneticPr fontId="2" type="noConversion"/>
  </si>
  <si>
    <t>선임팀장</t>
    <phoneticPr fontId="2" type="noConversion"/>
  </si>
  <si>
    <t>2015년 재활프로그램 사업</t>
    <phoneticPr fontId="2" type="noConversion"/>
  </si>
  <si>
    <t>공동모금회 지정후원금 실수입 대비 예산 감액</t>
    <phoneticPr fontId="2" type="noConversion"/>
  </si>
  <si>
    <t>실제 이월금 발생액</t>
    <phoneticPr fontId="2" type="noConversion"/>
  </si>
  <si>
    <t>기초생활보장급여 증액에 따른 예산 증액</t>
    <phoneticPr fontId="2" type="noConversion"/>
  </si>
  <si>
    <t>신입 조리보조원 호봉에 따른 예산감액</t>
    <phoneticPr fontId="2" type="noConversion"/>
  </si>
  <si>
    <t>2015년 재활프로그램 예산반영 (도보트래킹)</t>
    <phoneticPr fontId="2" type="noConversion"/>
  </si>
  <si>
    <t>2015년 공동모금회 사업선정 예산반영(난타)</t>
    <phoneticPr fontId="2" type="noConversion"/>
  </si>
  <si>
    <t>작업치료사</t>
    <phoneticPr fontId="7" type="noConversion"/>
  </si>
  <si>
    <t>(1) 국도시비</t>
    <phoneticPr fontId="7" type="noConversion"/>
  </si>
  <si>
    <t>11,12</t>
    <phoneticPr fontId="2" type="noConversion"/>
  </si>
  <si>
    <t>실수입대비 예산 감액</t>
    <phoneticPr fontId="2" type="noConversion"/>
  </si>
  <si>
    <t>보조금수입</t>
    <phoneticPr fontId="2" type="noConversion"/>
  </si>
  <si>
    <t>추가지원수당
(보수월액*1/
209*1.5*5</t>
    <phoneticPr fontId="7" type="noConversion"/>
  </si>
  <si>
    <t>박영규</t>
    <phoneticPr fontId="2" type="noConversion"/>
  </si>
  <si>
    <t>(4) 도시비지원</t>
  </si>
  <si>
    <t>(단위 : 원)</t>
  </si>
  <si>
    <t>연
번</t>
  </si>
  <si>
    <t>직
종</t>
  </si>
  <si>
    <t>호
봉</t>
  </si>
  <si>
    <t>명
수</t>
  </si>
  <si>
    <t>구분
(월)</t>
  </si>
  <si>
    <t>기본급</t>
  </si>
  <si>
    <t>기말수당
(50%씩 연4회
-3,6,9,12월)</t>
  </si>
  <si>
    <t>정근수당
(1,7월)</t>
  </si>
  <si>
    <t>명절휴가비
(50%씩
연2회)</t>
  </si>
  <si>
    <t>특수근무
수   당
(국비)</t>
  </si>
  <si>
    <t>가족수당
(40,000원)
(20,000원)</t>
  </si>
  <si>
    <t>연장근로수당
(보수월액*1/
209*1.5*40/56)</t>
  </si>
  <si>
    <t>특수근무
수  당
(도비)</t>
  </si>
  <si>
    <t>소  계</t>
  </si>
  <si>
    <t>비    고</t>
  </si>
  <si>
    <t>퇴직적립금</t>
  </si>
  <si>
    <t>국민연금</t>
  </si>
  <si>
    <t>의료보험</t>
  </si>
  <si>
    <t>의료보험
(장기요양보험)</t>
  </si>
  <si>
    <t>고용보험</t>
  </si>
  <si>
    <t>산재보험</t>
  </si>
  <si>
    <t>합계</t>
  </si>
  <si>
    <t>합     계</t>
  </si>
  <si>
    <t>생활재활교사</t>
  </si>
  <si>
    <t>소계</t>
  </si>
  <si>
    <t xml:space="preserve"> 300,000원 X 12개월 = 3,600,000원</t>
    <phoneticPr fontId="2" type="noConversion"/>
  </si>
  <si>
    <t>(1) 자부담</t>
    <phoneticPr fontId="7" type="noConversion"/>
  </si>
  <si>
    <t>지급액합계</t>
    <phoneticPr fontId="7" type="noConversion"/>
  </si>
  <si>
    <t>상여금</t>
    <phoneticPr fontId="2" type="noConversion"/>
  </si>
  <si>
    <t>소  계</t>
    <phoneticPr fontId="2" type="noConversion"/>
  </si>
  <si>
    <t>다. 세   입</t>
    <phoneticPr fontId="2" type="noConversion"/>
  </si>
  <si>
    <t>운영비</t>
    <phoneticPr fontId="2" type="noConversion"/>
  </si>
  <si>
    <t>재활프로그램사업비</t>
    <phoneticPr fontId="2" type="noConversion"/>
  </si>
  <si>
    <t>생계비</t>
    <phoneticPr fontId="2" type="noConversion"/>
  </si>
  <si>
    <t>둘다섯해누리 2015년 2차추가경정 예산(안) 증감 내역</t>
    <phoneticPr fontId="2" type="noConversion"/>
  </si>
  <si>
    <t>가. 예   산  총  칙</t>
    <phoneticPr fontId="7" type="noConversion"/>
  </si>
  <si>
    <t xml:space="preserve">   세입세출 예산총액은 </t>
    <phoneticPr fontId="2" type="noConversion"/>
  </si>
  <si>
    <t>1. 세입의 주요재원은 다음과 같다. (관 기준)</t>
  </si>
  <si>
    <t>1)</t>
    <phoneticPr fontId="2" type="noConversion"/>
  </si>
  <si>
    <t>2)</t>
    <phoneticPr fontId="2" type="noConversion"/>
  </si>
  <si>
    <t>3)</t>
  </si>
  <si>
    <t>3)</t>
    <phoneticPr fontId="2" type="noConversion"/>
  </si>
  <si>
    <t>4)</t>
  </si>
  <si>
    <t>5)</t>
  </si>
  <si>
    <t>6)</t>
  </si>
  <si>
    <t>7)</t>
  </si>
  <si>
    <t>8)</t>
  </si>
  <si>
    <t>2. 세출의 내용은 다음과 같다. (관 또는 항기준)</t>
  </si>
  <si>
    <t>1)</t>
    <phoneticPr fontId="2" type="noConversion"/>
  </si>
  <si>
    <t>2)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</si>
  <si>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</si>
  <si>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</si>
  <si>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</si>
  <si>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</si>
  <si>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과년도지출</t>
    <phoneticPr fontId="2" type="noConversion"/>
  </si>
  <si>
    <t>예비비 및 기타</t>
    <phoneticPr fontId="2" type="noConversion"/>
  </si>
  <si>
    <t>제3조</t>
  </si>
  <si>
    <t>제4조</t>
  </si>
  <si>
    <t>법인이사회의 예산승인을 받기 전에 일반경비 및 긴급을 요하는 예산집행은 직전예산에 준하여</t>
  </si>
  <si>
    <t>지출할 수 있으며,  그 집행된 예산은 당해 연도의 확정예산에 의하여 집행된 것으로 간주한다.</t>
  </si>
  <si>
    <t>제5조</t>
  </si>
  <si>
    <t>각 계정과목 내의 항목의 예산집행은 당해 계정과목의 승인예산의 범위 내에서 항목간 예산을</t>
  </si>
  <si>
    <t>일부 조정하여 사용할 수 있다.</t>
  </si>
  <si>
    <t>제6조</t>
  </si>
  <si>
    <t xml:space="preserve">세출경비의 조정이 필요한 경우 「사회복지법인 및 사회복지시설 재무회계규칙」 제16조에 </t>
  </si>
  <si>
    <t>의거하여 예산을 전용할 수 있다.</t>
  </si>
  <si>
    <t>제7조</t>
  </si>
  <si>
    <t>국가 또는 지방자치단체로부터 교부된 보조금 및 지정후원금, 수익자부담 경비 등은</t>
  </si>
  <si>
    <t>추가경정예산의 성립 이전이라도  보조 및 후원 목적에 적절한 경우  먼저 사용할 수 있으며,</t>
  </si>
  <si>
    <t>이는 반드시 차기 추가경정예산에 반영하여야 한다.</t>
  </si>
  <si>
    <t>제8조</t>
  </si>
  <si>
    <t xml:space="preserve">인건비 집행을 위한 사무비 내 항간 전용사항은 승인받은 것으로 간주하고, 이는 반드시 차기 </t>
  </si>
  <si>
    <t>추가경정예산에 반영하여야 한다.</t>
  </si>
  <si>
    <t>기타 회계 관련 규정의 개정으로 예산과목이 변경된 경우에는 당해연도 변경된 과목으로 승인</t>
  </si>
  <si>
    <t>된 것으로 하며,  그 외의  예산총칙에 명시되지 아니한 사항은 「사회복지법인</t>
  </si>
  <si>
    <t>및 사회복지시설  재무회계규칙」에 따라 집행한다.</t>
  </si>
  <si>
    <t xml:space="preserve">3. 명시이월사업은 </t>
    <phoneticPr fontId="2" type="noConversion"/>
  </si>
  <si>
    <t>원이다.</t>
    <phoneticPr fontId="2" type="noConversion"/>
  </si>
  <si>
    <t xml:space="preserve">4. 신설사업은 </t>
    <phoneticPr fontId="2" type="noConversion"/>
  </si>
  <si>
    <t>마. 세입·세출 개요</t>
    <phoneticPr fontId="2" type="noConversion"/>
  </si>
  <si>
    <t>이월금</t>
    <phoneticPr fontId="2" type="noConversion"/>
  </si>
  <si>
    <t>지정후원금수입</t>
    <phoneticPr fontId="2" type="noConversion"/>
  </si>
  <si>
    <t>비지정후원금수입</t>
    <phoneticPr fontId="2" type="noConversion"/>
  </si>
  <si>
    <t>전년도후원금이월금</t>
    <phoneticPr fontId="2" type="noConversion"/>
  </si>
  <si>
    <t>바. 증감사유</t>
    <phoneticPr fontId="2" type="noConversion"/>
  </si>
  <si>
    <t>증감 (B-A)</t>
  </si>
  <si>
    <t>증감사유</t>
    <phoneticPr fontId="2" type="noConversion"/>
  </si>
  <si>
    <t>증감
 (B-A)</t>
    <phoneticPr fontId="2" type="noConversion"/>
  </si>
  <si>
    <t>세                            입</t>
    <phoneticPr fontId="2" type="noConversion"/>
  </si>
  <si>
    <t>직책수당</t>
    <phoneticPr fontId="2" type="noConversion"/>
  </si>
  <si>
    <t>해당없으며</t>
    <phoneticPr fontId="2" type="noConversion"/>
  </si>
  <si>
    <t>의한다.</t>
    <phoneticPr fontId="2" type="noConversion"/>
  </si>
  <si>
    <t>나. 세입·세출 총괄</t>
    <phoneticPr fontId="2" type="noConversion"/>
  </si>
  <si>
    <t>다. 세   입</t>
    <phoneticPr fontId="2" type="noConversion"/>
  </si>
  <si>
    <t>라. 세   출</t>
    <phoneticPr fontId="2" type="noConversion"/>
  </si>
  <si>
    <t>선임팀장</t>
    <phoneticPr fontId="7" type="noConversion"/>
  </si>
  <si>
    <t>종사자 단체복 구입등</t>
    <phoneticPr fontId="2" type="noConversion"/>
  </si>
  <si>
    <t>직책수당</t>
    <phoneticPr fontId="7" type="noConversion"/>
  </si>
  <si>
    <t>12,13</t>
    <phoneticPr fontId="2" type="noConversion"/>
  </si>
  <si>
    <t>최민성</t>
    <phoneticPr fontId="2" type="noConversion"/>
  </si>
  <si>
    <t>강예원</t>
    <phoneticPr fontId="2" type="noConversion"/>
  </si>
  <si>
    <t>인건비(70%)</t>
    <phoneticPr fontId="2" type="noConversion"/>
  </si>
  <si>
    <t>관리운영비(70%)</t>
    <phoneticPr fontId="2" type="noConversion"/>
  </si>
  <si>
    <t>생계비(70%)</t>
    <phoneticPr fontId="2" type="noConversion"/>
  </si>
  <si>
    <t>인건비(30%)</t>
    <phoneticPr fontId="2" type="noConversion"/>
  </si>
  <si>
    <t>관리운영비(30%)</t>
    <phoneticPr fontId="2" type="noConversion"/>
  </si>
  <si>
    <t>4종(100%)</t>
    <phoneticPr fontId="2" type="noConversion"/>
  </si>
  <si>
    <t xml:space="preserve"> 추경예산(안)은 법인 이사회의 승인을 얻어 확정한다.</t>
    <phoneticPr fontId="2" type="noConversion"/>
  </si>
  <si>
    <t xml:space="preserve"> 세입ㆍ세출 예산서(안)</t>
  </si>
  <si>
    <t>홍보비</t>
    <phoneticPr fontId="2" type="noConversion"/>
  </si>
  <si>
    <t>소계</t>
    <phoneticPr fontId="2" type="noConversion"/>
  </si>
  <si>
    <t>위생재료비</t>
    <phoneticPr fontId="2" type="noConversion"/>
  </si>
  <si>
    <t>수용기관경비</t>
    <phoneticPr fontId="2" type="noConversion"/>
  </si>
  <si>
    <t>일상용품비</t>
    <phoneticPr fontId="2" type="noConversion"/>
  </si>
  <si>
    <t xml:space="preserve"> 500원 X 80명 X 365일  </t>
    <phoneticPr fontId="2" type="noConversion"/>
  </si>
  <si>
    <t xml:space="preserve"> 5,000원 X 80명 X 12개월</t>
    <phoneticPr fontId="2" type="noConversion"/>
  </si>
  <si>
    <t xml:space="preserve"> 20,000원 X 80명 X 4회</t>
    <phoneticPr fontId="2" type="noConversion"/>
  </si>
  <si>
    <t xml:space="preserve"> 12,000원 X 80명 X 4회</t>
    <phoneticPr fontId="2" type="noConversion"/>
  </si>
  <si>
    <t xml:space="preserve"> 40,000원 X 80명 X 1회</t>
    <phoneticPr fontId="2" type="noConversion"/>
  </si>
  <si>
    <t xml:space="preserve"> 인권지킴이단 회의비</t>
    <phoneticPr fontId="2" type="noConversion"/>
  </si>
  <si>
    <t xml:space="preserve"> 자동차보험료, 화재보험료등</t>
    <phoneticPr fontId="2" type="noConversion"/>
  </si>
  <si>
    <t xml:space="preserve"> 기관홍보물제작,소식지 제작</t>
    <phoneticPr fontId="2" type="noConversion"/>
  </si>
  <si>
    <t>기관보유차량 유류비용 및 점검등 유지비용</t>
    <phoneticPr fontId="2" type="noConversion"/>
  </si>
  <si>
    <t>7종운영
지원사업비</t>
    <phoneticPr fontId="2" type="noConversion"/>
  </si>
  <si>
    <t xml:space="preserve"> CMS관리/소모품구입</t>
    <phoneticPr fontId="2" type="noConversion"/>
  </si>
  <si>
    <t>퇴직금및
퇴직적립금</t>
    <phoneticPr fontId="2" type="noConversion"/>
  </si>
  <si>
    <t>사회보험
부담비용</t>
    <phoneticPr fontId="2" type="noConversion"/>
  </si>
  <si>
    <t>200,000원*15회=3,000,000원</t>
    <phoneticPr fontId="2" type="noConversion"/>
  </si>
  <si>
    <t>제세공과금</t>
    <phoneticPr fontId="2" type="noConversion"/>
  </si>
  <si>
    <t>직원근무복, 기타행사비(부활,성탄)</t>
    <phoneticPr fontId="2" type="noConversion"/>
  </si>
  <si>
    <t>시설공사비</t>
    <phoneticPr fontId="2" type="noConversion"/>
  </si>
  <si>
    <t>거주인 생계비 : 5,833,330원*12월=70,000,000원</t>
    <phoneticPr fontId="2" type="noConversion"/>
  </si>
  <si>
    <t>국고보조금</t>
    <phoneticPr fontId="2" type="noConversion"/>
  </si>
  <si>
    <t>세                           입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</si>
  <si>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</si>
  <si>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</si>
  <si>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</si>
  <si>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 (B-A)</t>
    <phoneticPr fontId="2" type="noConversion"/>
  </si>
  <si>
    <t>증감 (B-A)</t>
    <phoneticPr fontId="2" type="noConversion"/>
  </si>
  <si>
    <t>금액</t>
    <phoneticPr fontId="2" type="noConversion"/>
  </si>
  <si>
    <t>비율(%)</t>
    <phoneticPr fontId="2" type="noConversion"/>
  </si>
  <si>
    <t>증감(B-A)</t>
    <phoneticPr fontId="2" type="noConversion"/>
  </si>
  <si>
    <t>비율(%)</t>
    <phoneticPr fontId="2" type="noConversion"/>
  </si>
  <si>
    <t>금액</t>
    <phoneticPr fontId="2" type="noConversion"/>
  </si>
  <si>
    <t>비율(%)</t>
    <phoneticPr fontId="2" type="noConversion"/>
  </si>
  <si>
    <t>국고보조금(70%)</t>
    <phoneticPr fontId="2" type="noConversion"/>
  </si>
  <si>
    <t>반환금</t>
    <phoneticPr fontId="2" type="noConversion"/>
  </si>
  <si>
    <t>공동모금회   사업비반환</t>
    <phoneticPr fontId="2" type="noConversion"/>
  </si>
  <si>
    <t>공동모금회반환금</t>
    <phoneticPr fontId="2" type="noConversion"/>
  </si>
  <si>
    <t>건강보험     부담금</t>
    <phoneticPr fontId="2" type="noConversion"/>
  </si>
  <si>
    <t>국민연금    부담금</t>
    <phoneticPr fontId="2" type="noConversion"/>
  </si>
  <si>
    <t>고용보험     부담금</t>
    <phoneticPr fontId="2" type="noConversion"/>
  </si>
  <si>
    <t>산재보험     부담금</t>
    <phoneticPr fontId="2" type="noConversion"/>
  </si>
  <si>
    <t>업무        추진비</t>
    <phoneticPr fontId="2" type="noConversion"/>
  </si>
  <si>
    <t>시설장비           유지비</t>
    <phoneticPr fontId="2" type="noConversion"/>
  </si>
  <si>
    <t>입소자              부식비</t>
    <phoneticPr fontId="2" type="noConversion"/>
  </si>
  <si>
    <t>입소자           간식비</t>
    <phoneticPr fontId="2" type="noConversion"/>
  </si>
  <si>
    <t>입소자              피복비</t>
    <phoneticPr fontId="2" type="noConversion"/>
  </si>
  <si>
    <t>환경개선사업</t>
    <phoneticPr fontId="2" type="noConversion"/>
  </si>
  <si>
    <t>수용비및
수수료</t>
    <phoneticPr fontId="2" type="noConversion"/>
  </si>
  <si>
    <t>사무비
(업무추진비,운영비)</t>
    <phoneticPr fontId="2" type="noConversion"/>
  </si>
  <si>
    <t>사무비 
(인건비)</t>
    <phoneticPr fontId="2" type="noConversion"/>
  </si>
  <si>
    <t>재활프로그램
사업비</t>
    <phoneticPr fontId="2" type="noConversion"/>
  </si>
  <si>
    <t>직업재활
사업비</t>
    <phoneticPr fontId="2" type="noConversion"/>
  </si>
  <si>
    <t>수용비및
수수료</t>
    <phoneticPr fontId="2" type="noConversion"/>
  </si>
  <si>
    <t>시설장비
유지비</t>
    <phoneticPr fontId="2" type="noConversion"/>
  </si>
  <si>
    <t>결연
사업비</t>
    <phoneticPr fontId="2" type="noConversion"/>
  </si>
  <si>
    <t>예비비
및기타</t>
    <phoneticPr fontId="2" type="noConversion"/>
  </si>
  <si>
    <t>시  설  장</t>
    <phoneticPr fontId="7" type="noConversion"/>
  </si>
  <si>
    <t>10,11</t>
    <phoneticPr fontId="2" type="noConversion"/>
  </si>
  <si>
    <t>이기수</t>
    <phoneticPr fontId="2" type="noConversion"/>
  </si>
  <si>
    <t>1월</t>
    <phoneticPr fontId="2" type="noConversion"/>
  </si>
  <si>
    <t>-</t>
    <phoneticPr fontId="2" type="noConversion"/>
  </si>
  <si>
    <t>2월</t>
    <phoneticPr fontId="2" type="noConversion"/>
  </si>
  <si>
    <t>5월</t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</si>
  <si>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</si>
  <si>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</si>
  <si>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</si>
  <si>
    <t>사무국장</t>
    <phoneticPr fontId="7" type="noConversion"/>
  </si>
  <si>
    <t>15,16</t>
    <phoneticPr fontId="2" type="noConversion"/>
  </si>
  <si>
    <t>금형민</t>
    <phoneticPr fontId="2" type="noConversion"/>
  </si>
  <si>
    <t>3월</t>
    <phoneticPr fontId="2" type="noConversion"/>
  </si>
  <si>
    <t>6월</t>
    <phoneticPr fontId="7" type="noConversion"/>
  </si>
  <si>
    <t>사회재활교사</t>
    <phoneticPr fontId="7" type="noConversion"/>
  </si>
  <si>
    <t>13,14</t>
    <phoneticPr fontId="2" type="noConversion"/>
  </si>
  <si>
    <t>소계</t>
    <phoneticPr fontId="7" type="noConversion"/>
  </si>
  <si>
    <t>김정윤</t>
    <phoneticPr fontId="2" type="noConversion"/>
  </si>
  <si>
    <t>4월</t>
    <phoneticPr fontId="2" type="noConversion"/>
  </si>
  <si>
    <t>20,21</t>
    <phoneticPr fontId="2" type="noConversion"/>
  </si>
  <si>
    <t>김혜영</t>
    <phoneticPr fontId="2" type="noConversion"/>
  </si>
  <si>
    <t>1월</t>
    <phoneticPr fontId="2" type="noConversion"/>
  </si>
  <si>
    <t>5월</t>
    <phoneticPr fontId="2" type="noConversion"/>
  </si>
  <si>
    <t>6월</t>
    <phoneticPr fontId="7" type="noConversion"/>
  </si>
  <si>
    <t>5월</t>
    <phoneticPr fontId="2" type="noConversion"/>
  </si>
  <si>
    <t>물리치료사</t>
    <phoneticPr fontId="7" type="noConversion"/>
  </si>
  <si>
    <t>최두영</t>
    <phoneticPr fontId="2" type="noConversion"/>
  </si>
  <si>
    <t>사무원</t>
    <phoneticPr fontId="7" type="noConversion"/>
  </si>
  <si>
    <t>송의용</t>
    <phoneticPr fontId="2" type="noConversion"/>
  </si>
  <si>
    <t>유준</t>
    <phoneticPr fontId="2" type="noConversion"/>
  </si>
  <si>
    <t>이슬</t>
    <phoneticPr fontId="2" type="noConversion"/>
  </si>
  <si>
    <t>홍은향</t>
    <phoneticPr fontId="2" type="noConversion"/>
  </si>
  <si>
    <t>윤용진</t>
    <phoneticPr fontId="2" type="noConversion"/>
  </si>
  <si>
    <t>김지영</t>
    <phoneticPr fontId="2" type="noConversion"/>
  </si>
  <si>
    <t>김종민</t>
    <phoneticPr fontId="2" type="noConversion"/>
  </si>
  <si>
    <t>권구철</t>
    <phoneticPr fontId="2" type="noConversion"/>
  </si>
  <si>
    <t>6,7</t>
    <phoneticPr fontId="2" type="noConversion"/>
  </si>
  <si>
    <t>조연주</t>
    <phoneticPr fontId="2" type="noConversion"/>
  </si>
  <si>
    <t>김유경</t>
    <phoneticPr fontId="2" type="noConversion"/>
  </si>
  <si>
    <t>문슬기</t>
    <phoneticPr fontId="2" type="noConversion"/>
  </si>
  <si>
    <t>조원일</t>
    <phoneticPr fontId="2" type="noConversion"/>
  </si>
  <si>
    <t>한형석</t>
    <phoneticPr fontId="2" type="noConversion"/>
  </si>
  <si>
    <t>심종환</t>
    <phoneticPr fontId="2" type="noConversion"/>
  </si>
  <si>
    <t>조재옥</t>
    <phoneticPr fontId="2" type="noConversion"/>
  </si>
  <si>
    <t>김민수</t>
    <phoneticPr fontId="2" type="noConversion"/>
  </si>
  <si>
    <t>위  생  원</t>
    <phoneticPr fontId="7" type="noConversion"/>
  </si>
  <si>
    <t>정순정</t>
    <phoneticPr fontId="2" type="noConversion"/>
  </si>
  <si>
    <t>2,3</t>
    <phoneticPr fontId="2" type="noConversion"/>
  </si>
  <si>
    <t>오혜은</t>
    <phoneticPr fontId="2" type="noConversion"/>
  </si>
  <si>
    <t>3월</t>
    <phoneticPr fontId="2" type="noConversion"/>
  </si>
  <si>
    <t>6월</t>
    <phoneticPr fontId="7" type="noConversion"/>
  </si>
  <si>
    <t>12월</t>
    <phoneticPr fontId="7" type="noConversion"/>
  </si>
  <si>
    <t>언어치료사</t>
    <phoneticPr fontId="7" type="noConversion"/>
  </si>
  <si>
    <t>촉 탁 의</t>
    <phoneticPr fontId="7" type="noConversion"/>
  </si>
  <si>
    <t>박제석</t>
    <phoneticPr fontId="2" type="noConversion"/>
  </si>
  <si>
    <t>운 전 원</t>
    <phoneticPr fontId="7" type="noConversion"/>
  </si>
  <si>
    <t>윤인자</t>
    <phoneticPr fontId="2" type="noConversion"/>
  </si>
  <si>
    <t>유동식</t>
    <phoneticPr fontId="2" type="noConversion"/>
  </si>
  <si>
    <t>처우개선비
(50,000원)</t>
    <phoneticPr fontId="2" type="noConversion"/>
  </si>
  <si>
    <t>처우개선비
포함연장수당</t>
    <phoneticPr fontId="2" type="noConversion"/>
  </si>
  <si>
    <t>이상헌</t>
    <phoneticPr fontId="2" type="noConversion"/>
  </si>
  <si>
    <t>권하은</t>
    <phoneticPr fontId="2" type="noConversion"/>
  </si>
  <si>
    <t>윤  민</t>
    <phoneticPr fontId="2" type="noConversion"/>
  </si>
  <si>
    <t>1,2</t>
    <phoneticPr fontId="2" type="noConversion"/>
  </si>
  <si>
    <t>박민정</t>
    <phoneticPr fontId="2" type="noConversion"/>
  </si>
  <si>
    <t>서용욱</t>
    <phoneticPr fontId="2" type="noConversion"/>
  </si>
  <si>
    <t>이유진</t>
    <phoneticPr fontId="2" type="noConversion"/>
  </si>
  <si>
    <t>안소애</t>
    <phoneticPr fontId="2" type="noConversion"/>
  </si>
  <si>
    <t>처우개선비
자부담연장수당</t>
    <phoneticPr fontId="2" type="noConversion"/>
  </si>
  <si>
    <t>4,5</t>
    <phoneticPr fontId="2" type="noConversion"/>
  </si>
  <si>
    <t>운영비 보조금
시간외 
시간당수강</t>
    <phoneticPr fontId="2" type="noConversion"/>
  </si>
  <si>
    <t>보조금+자부담
시간외 수당</t>
    <phoneticPr fontId="2" type="noConversion"/>
  </si>
  <si>
    <t>보조금+자부담
시간외 
시간강 수당</t>
    <phoneticPr fontId="2" type="noConversion"/>
  </si>
  <si>
    <t>처우개선비</t>
    <phoneticPr fontId="2" type="noConversion"/>
  </si>
  <si>
    <t>기 능 보 강   사업비</t>
    <phoneticPr fontId="2" type="noConversion"/>
  </si>
  <si>
    <t>기능보강사업비(50%)</t>
    <phoneticPr fontId="2" type="noConversion"/>
  </si>
  <si>
    <t>소계</t>
    <phoneticPr fontId="2" type="noConversion"/>
  </si>
  <si>
    <t>기능보강사업비</t>
    <phoneticPr fontId="2" type="noConversion"/>
  </si>
  <si>
    <t>기능보강사업비</t>
    <phoneticPr fontId="2" type="noConversion"/>
  </si>
  <si>
    <t>건강보험</t>
    <phoneticPr fontId="2" type="noConversion"/>
  </si>
  <si>
    <t>건강보험
(장기요양보험)</t>
    <phoneticPr fontId="2" type="noConversion"/>
  </si>
  <si>
    <t>(1) 후원금(연장, 사용자 부담금)</t>
    <phoneticPr fontId="7" type="noConversion"/>
  </si>
  <si>
    <t>건강보험</t>
    <phoneticPr fontId="2" type="noConversion"/>
  </si>
  <si>
    <t>결연후원금</t>
    <phoneticPr fontId="2" type="noConversion"/>
  </si>
  <si>
    <t>직업재활사업비</t>
  </si>
  <si>
    <t>4종운영지원사업비</t>
  </si>
  <si>
    <t>7종운영지원사업비</t>
  </si>
  <si>
    <t>기 능 보 강   사업비</t>
  </si>
  <si>
    <t>월평균 29,167,000원*12월=350,000,000원</t>
    <phoneticPr fontId="2" type="noConversion"/>
  </si>
  <si>
    <t>직원 처우개선비에 따른 연장근로수당</t>
    <phoneticPr fontId="2" type="noConversion"/>
  </si>
  <si>
    <t>거주인 피복구입비 : 2,000,000원*2회=4,000,000원</t>
    <phoneticPr fontId="2" type="noConversion"/>
  </si>
  <si>
    <t>처우개선비</t>
    <phoneticPr fontId="2" type="noConversion"/>
  </si>
  <si>
    <t>4)</t>
    <phoneticPr fontId="2" type="noConversion"/>
  </si>
  <si>
    <t>5)</t>
    <phoneticPr fontId="2" type="noConversion"/>
  </si>
  <si>
    <t>6)</t>
    <phoneticPr fontId="2" type="noConversion"/>
  </si>
  <si>
    <t>결연사업비</t>
    <phoneticPr fontId="2" type="noConversion"/>
  </si>
  <si>
    <t>운영비</t>
    <phoneticPr fontId="2" type="noConversion"/>
  </si>
  <si>
    <t>예비비및기타</t>
    <phoneticPr fontId="2" type="noConversion"/>
  </si>
  <si>
    <t>예비비및기타</t>
    <phoneticPr fontId="2" type="noConversion"/>
  </si>
  <si>
    <t>보조금반환금</t>
    <phoneticPr fontId="2" type="noConversion"/>
  </si>
  <si>
    <t>소계</t>
    <phoneticPr fontId="2" type="noConversion"/>
  </si>
  <si>
    <t xml:space="preserve">  ▣  2018년  종사자  인건비 총계표</t>
    <phoneticPr fontId="7" type="noConversion"/>
  </si>
  <si>
    <t>11,12</t>
    <phoneticPr fontId="2" type="noConversion"/>
  </si>
  <si>
    <t>가족수당
(40,000원)
(2만,6만,10만)</t>
    <phoneticPr fontId="7" type="noConversion"/>
  </si>
  <si>
    <t>이민지</t>
    <phoneticPr fontId="2" type="noConversion"/>
  </si>
  <si>
    <t>-</t>
    <phoneticPr fontId="2" type="noConversion"/>
  </si>
  <si>
    <t xml:space="preserve"> 기능보강사업 직업재활프로그램실 증축공사종료</t>
    <phoneticPr fontId="2" type="noConversion"/>
  </si>
  <si>
    <t>식당보조원 1명(1일 100,000 X 월8일) X 12개월</t>
    <phoneticPr fontId="2" type="noConversion"/>
  </si>
  <si>
    <t>이성수</t>
    <phoneticPr fontId="2" type="noConversion"/>
  </si>
  <si>
    <t>김형권</t>
    <phoneticPr fontId="2" type="noConversion"/>
  </si>
  <si>
    <t>이재훈</t>
    <phoneticPr fontId="2" type="noConversion"/>
  </si>
  <si>
    <t>17,18</t>
    <phoneticPr fontId="2" type="noConversion"/>
  </si>
  <si>
    <t>15,16</t>
    <phoneticPr fontId="2" type="noConversion"/>
  </si>
  <si>
    <t>22,23</t>
    <phoneticPr fontId="2" type="noConversion"/>
  </si>
  <si>
    <t>14,15</t>
    <phoneticPr fontId="2" type="noConversion"/>
  </si>
  <si>
    <t>김형배</t>
    <phoneticPr fontId="2" type="noConversion"/>
  </si>
  <si>
    <t>임지혜</t>
    <phoneticPr fontId="2" type="noConversion"/>
  </si>
  <si>
    <t>전상돈</t>
    <phoneticPr fontId="2" type="noConversion"/>
  </si>
  <si>
    <t>김효선</t>
    <phoneticPr fontId="2" type="noConversion"/>
  </si>
  <si>
    <t>한찬혁</t>
    <phoneticPr fontId="2" type="noConversion"/>
  </si>
  <si>
    <t>선희범</t>
    <phoneticPr fontId="2" type="noConversion"/>
  </si>
  <si>
    <t>차민영</t>
    <phoneticPr fontId="2" type="noConversion"/>
  </si>
  <si>
    <t>한승희</t>
    <phoneticPr fontId="2" type="noConversion"/>
  </si>
  <si>
    <t>박민들</t>
    <phoneticPr fontId="2" type="noConversion"/>
  </si>
  <si>
    <t>우리가 모여 해누리 카페2</t>
    <phoneticPr fontId="2" type="noConversion"/>
  </si>
  <si>
    <t>실비인원 32명*350,000원*12개월=134,400,000원</t>
    <phoneticPr fontId="2" type="noConversion"/>
  </si>
  <si>
    <t xml:space="preserve"> 종사자급식비30,000,000/ 임대료(SK,LG) 6,050,000/
 기타 9,000,000</t>
    <phoneticPr fontId="2" type="noConversion"/>
  </si>
  <si>
    <t xml:space="preserve">    예산은                        0</t>
    <phoneticPr fontId="2" type="noConversion"/>
  </si>
  <si>
    <t>제9조</t>
    <phoneticPr fontId="2" type="noConversion"/>
  </si>
  <si>
    <t>과년도지출</t>
    <phoneticPr fontId="2" type="noConversion"/>
  </si>
  <si>
    <t>차량 주유비 및 정비료</t>
    <phoneticPr fontId="2" type="noConversion"/>
  </si>
  <si>
    <t xml:space="preserve">건강보험보험료 : 10,000,000원*3.12% = 312,000원
장기요양보험료 :     312,000원*7.38% =  23,030원                                             </t>
    <phoneticPr fontId="2" type="noConversion"/>
  </si>
  <si>
    <t>고용보험료 : 10,000,000원*0.9% = 90,000원</t>
    <phoneticPr fontId="2" type="noConversion"/>
  </si>
  <si>
    <t>산재보험료 : 10,000,000원*0.8% = 80,000원</t>
    <phoneticPr fontId="2" type="noConversion"/>
  </si>
  <si>
    <t>상담평가원</t>
    <phoneticPr fontId="7" type="noConversion"/>
  </si>
  <si>
    <t>선임지도원</t>
    <phoneticPr fontId="7" type="noConversion"/>
  </si>
  <si>
    <t>사 무 원</t>
    <phoneticPr fontId="7" type="noConversion"/>
  </si>
  <si>
    <t xml:space="preserve"> * 시설당기본지원      : 2,264,000원*30명 = 67,920,000원
 * 생활장애인가중지원 :  635,000원*50명 = 31,750,000원</t>
    <phoneticPr fontId="2" type="noConversion"/>
  </si>
  <si>
    <t>박지웅</t>
    <phoneticPr fontId="2" type="noConversion"/>
  </si>
  <si>
    <t>송혜인</t>
    <phoneticPr fontId="2" type="noConversion"/>
  </si>
  <si>
    <t xml:space="preserve"> ※생활보장급여입소현인원 47명</t>
    <phoneticPr fontId="2" type="noConversion"/>
  </si>
  <si>
    <t xml:space="preserve"> ※생활보장급여 입소 현인원 </t>
    <phoneticPr fontId="2" type="noConversion"/>
  </si>
  <si>
    <t xml:space="preserve">건강보험보험료 : 1,819,575,080원*3.23% = 58,772,280원
장기요양보험료 :     58,772,280*8.51% =  5,001,530원                                             </t>
    <phoneticPr fontId="2" type="noConversion"/>
  </si>
  <si>
    <t>국민연금보험료 : 1,819,575,080원*4.5% = 81,880,880원</t>
    <phoneticPr fontId="2" type="noConversion"/>
  </si>
  <si>
    <t>산재보험료 : 1,763,741,030원*0.8%=</t>
    <phoneticPr fontId="2" type="noConversion"/>
  </si>
  <si>
    <t>14,109,930원</t>
    <phoneticPr fontId="2" type="noConversion"/>
  </si>
  <si>
    <t>고용보험료 : 1,763,741,030원*0.9% = 15,873,670원</t>
    <phoneticPr fontId="2" type="noConversion"/>
  </si>
  <si>
    <t>기타보조금</t>
    <phoneticPr fontId="2" type="noConversion"/>
  </si>
  <si>
    <t>* 25인승 버스구입 지정후원 : 12,000,000원
* 재활프로그램 지정후원 :       700,000원
* 결연후원금 :                1,500,000원</t>
    <phoneticPr fontId="2" type="noConversion"/>
  </si>
  <si>
    <t>-</t>
    <phoneticPr fontId="2" type="noConversion"/>
  </si>
  <si>
    <t xml:space="preserve"> 229,504원 X 47명 X 3회 / 229,504원 X 48명 X 9회</t>
    <phoneticPr fontId="2" type="noConversion"/>
  </si>
  <si>
    <t xml:space="preserve"> 32,131원 X 48명 X 1회</t>
    <phoneticPr fontId="2" type="noConversion"/>
  </si>
  <si>
    <t xml:space="preserve"> 36,300원 X 47명 X 1회 / 36,300원 X 48명 X 1회 (설,추석)지급</t>
    <phoneticPr fontId="2" type="noConversion"/>
  </si>
  <si>
    <t>일상용품구입비 666,667원*12월=8,000,000원</t>
    <phoneticPr fontId="2" type="noConversion"/>
  </si>
  <si>
    <t>수용기관경비 250,000원*12월=3,000,000원</t>
    <phoneticPr fontId="2" type="noConversion"/>
  </si>
  <si>
    <t>③기능보강사업 2 : 기관 LED 교체사업으로 예산은</t>
    <phoneticPr fontId="2" type="noConversion"/>
  </si>
  <si>
    <t xml:space="preserve"> 종사자체육대회,기타상해보험,해외연수등복리후생비 등</t>
    <phoneticPr fontId="2" type="noConversion"/>
  </si>
  <si>
    <t>과장</t>
    <phoneticPr fontId="2" type="noConversion"/>
  </si>
  <si>
    <t xml:space="preserve">기관장(300,000원),사무국장(200,000원),
과장(150,000원,2명),팀장(100,000원, 8명) </t>
    <phoneticPr fontId="2" type="noConversion"/>
  </si>
  <si>
    <t>산재보험료 : 15,400,000원*0.8% = 123,200원</t>
    <phoneticPr fontId="2" type="noConversion"/>
  </si>
  <si>
    <t>고용보험료 : 15,400,000원*0.9% = 138,600원</t>
    <phoneticPr fontId="2" type="noConversion"/>
  </si>
  <si>
    <t xml:space="preserve">건강보험보험료 : 19,000,000원*3.23% = 613,700원
장기요양보험료 :     581,400원*8.51% =  52,,230원                                             </t>
    <phoneticPr fontId="2" type="noConversion"/>
  </si>
  <si>
    <t>연장추가
지원수당</t>
    <phoneticPr fontId="2" type="noConversion"/>
  </si>
  <si>
    <t>소계</t>
    <phoneticPr fontId="2" type="noConversion"/>
  </si>
  <si>
    <t xml:space="preserve">    2) 보조금 세출내역  </t>
    <phoneticPr fontId="2" type="noConversion"/>
  </si>
  <si>
    <t>7종</t>
    <phoneticPr fontId="2" type="noConversion"/>
  </si>
  <si>
    <t xml:space="preserve">    3) 자부담 세출내역  </t>
    <phoneticPr fontId="2" type="noConversion"/>
  </si>
  <si>
    <t xml:space="preserve">    4) 후원금 세출내역  </t>
    <phoneticPr fontId="2" type="noConversion"/>
  </si>
  <si>
    <t>인건비</t>
    <phoneticPr fontId="2" type="noConversion"/>
  </si>
  <si>
    <t>재활프로그램사업비</t>
    <phoneticPr fontId="2" type="noConversion"/>
  </si>
  <si>
    <t xml:space="preserve"> 2018년 결산에 의한 보조금 반환액</t>
    <phoneticPr fontId="2" type="noConversion"/>
  </si>
  <si>
    <t xml:space="preserve"> 종사자인건비 총계표 참조</t>
    <phoneticPr fontId="2" type="noConversion"/>
  </si>
  <si>
    <t>종사자인건비 총계표 참조</t>
    <phoneticPr fontId="2" type="noConversion"/>
  </si>
  <si>
    <t>사무비</t>
    <phoneticPr fontId="2" type="noConversion"/>
  </si>
  <si>
    <t>실제 운행중인 업무용 차량 연료 및 소모품 교체등</t>
    <phoneticPr fontId="2" type="noConversion"/>
  </si>
  <si>
    <t>추가지원사업비</t>
    <phoneticPr fontId="2" type="noConversion"/>
  </si>
  <si>
    <t>시도보조금</t>
    <phoneticPr fontId="2" type="noConversion"/>
  </si>
  <si>
    <t>다-1. 세   입</t>
    <phoneticPr fontId="2" type="noConversion"/>
  </si>
  <si>
    <t>라-1. 세   출</t>
    <phoneticPr fontId="2" type="noConversion"/>
  </si>
  <si>
    <t>4종운영
지원사업비</t>
    <phoneticPr fontId="2" type="noConversion"/>
  </si>
  <si>
    <t>교통급식비</t>
    <phoneticPr fontId="7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</si>
  <si>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2" type="noConversion"/>
  </si>
  <si>
    <r>
      <t xml:space="preserve">본 예산은 사회복지법인 천주교 수원교구 사회복지회 소속 장애인거주시설 </t>
    </r>
    <r>
      <rPr>
        <b/>
        <sz val="11"/>
        <rFont val="바탕"/>
        <family val="1"/>
        <charset val="129"/>
      </rPr>
      <t>"둘다섯해누리"</t>
    </r>
    <r>
      <rPr>
        <sz val="11"/>
        <rFont val="바탕"/>
        <family val="1"/>
        <charset val="129"/>
      </rPr>
      <t xml:space="preserve">의 </t>
    </r>
    <phoneticPr fontId="2" type="noConversion"/>
  </si>
  <si>
    <r>
      <t xml:space="preserve">원으로 하며「세입 </t>
    </r>
    <r>
      <rPr>
        <b/>
        <sz val="11"/>
        <rFont val="바탕"/>
        <family val="1"/>
        <charset val="129"/>
      </rPr>
      <t>·</t>
    </r>
    <r>
      <rPr>
        <sz val="11"/>
        <rFont val="바탕"/>
        <family val="1"/>
        <charset val="129"/>
      </rPr>
      <t xml:space="preserve"> 세출예산서」와 같다.</t>
    </r>
    <phoneticPr fontId="2" type="noConversion"/>
  </si>
  <si>
    <t>재활프로그램
사업비</t>
    <phoneticPr fontId="2" type="noConversion"/>
  </si>
  <si>
    <t>시설장비
유지비</t>
    <phoneticPr fontId="2" type="noConversion"/>
  </si>
  <si>
    <t>수용비및
수수료</t>
    <phoneticPr fontId="2" type="noConversion"/>
  </si>
  <si>
    <t>기능보강
사업비</t>
    <phoneticPr fontId="2" type="noConversion"/>
  </si>
  <si>
    <t>수용비및
수수료</t>
    <phoneticPr fontId="2" type="noConversion"/>
  </si>
  <si>
    <t>퇴직금및
적립금</t>
    <phoneticPr fontId="2" type="noConversion"/>
  </si>
  <si>
    <t>업무
추진비</t>
    <phoneticPr fontId="2" type="noConversion"/>
  </si>
  <si>
    <t>직업재활
사업비</t>
    <phoneticPr fontId="2" type="noConversion"/>
  </si>
  <si>
    <t>건강보험
부담금</t>
    <phoneticPr fontId="2" type="noConversion"/>
  </si>
  <si>
    <t>고용보험
부담금</t>
    <phoneticPr fontId="2" type="noConversion"/>
  </si>
  <si>
    <t>산재보험
부담금</t>
    <phoneticPr fontId="2" type="noConversion"/>
  </si>
  <si>
    <t>퇴직금및
적립금</t>
    <phoneticPr fontId="2" type="noConversion"/>
  </si>
  <si>
    <t>사회보험
부담비용</t>
    <phoneticPr fontId="2" type="noConversion"/>
  </si>
  <si>
    <t>결연후원금
지급</t>
    <phoneticPr fontId="2" type="noConversion"/>
  </si>
  <si>
    <t>과년도
지출</t>
    <phoneticPr fontId="2" type="noConversion"/>
  </si>
  <si>
    <t>재산
조성비</t>
    <phoneticPr fontId="2" type="noConversion"/>
  </si>
  <si>
    <t>수용기관
경비</t>
    <phoneticPr fontId="2" type="noConversion"/>
  </si>
  <si>
    <t>* 7종 보조금  : 128,735,500원
* 연장추가지원수당 :  26,375,800원</t>
    <phoneticPr fontId="2" type="noConversion"/>
  </si>
  <si>
    <t>국도보조금</t>
    <phoneticPr fontId="2" type="noConversion"/>
  </si>
  <si>
    <t>직 업 재 활   사 업 비</t>
    <phoneticPr fontId="2" type="noConversion"/>
  </si>
  <si>
    <t xml:space="preserve">2020년 </t>
    <phoneticPr fontId="2" type="noConversion"/>
  </si>
  <si>
    <t>* 입소비용수입 이월금( 5,000,000원)
* 법인전입금 이월금   (   500,000원)
* 종사자식대 이월금   (   100,000원)
* 기타 잡수입 이월금  (   500,000원)
* 예금이자 이월금      (   200,000원)</t>
    <phoneticPr fontId="2" type="noConversion"/>
  </si>
  <si>
    <t xml:space="preserve"> * 비지정후원금 이월금    (13,00,000원), 
 * 지정후원금 이월금       (  2,00.000원),
 * 후원금예금이자 이월금 (   900,000원).</t>
    <phoneticPr fontId="2" type="noConversion"/>
  </si>
  <si>
    <t>* 인    건    비(70%) :   1,507,611,707원
* 관 리 운 영 비(70%) :     69,769,000원
* 생    계    비(70%) :        95,547,599원
* 기능보강사업비(50%) :    1,050,000원</t>
    <phoneticPr fontId="2" type="noConversion"/>
  </si>
  <si>
    <t>* 인  건  비 (30%)  : 646,119,303원
* 관리운영비 (30%) : 29,901,000원
* 생  계  비 (30%)  :   40,948,971원
* 기능보강사업(50%) : 1,050,000원</t>
    <phoneticPr fontId="2" type="noConversion"/>
  </si>
  <si>
    <t xml:space="preserve">* 운영비 이월금 :            25,000,000원
* 운영비 예금이자 이월금 :      200,000원
* 생계비 예금이자 이월금 :        5,000원
</t>
    <phoneticPr fontId="2" type="noConversion"/>
  </si>
  <si>
    <t>LED 지원사업종료</t>
    <phoneticPr fontId="2" type="noConversion"/>
  </si>
  <si>
    <t>공기청정기 지원사업선정에 따른 차액발생</t>
    <phoneticPr fontId="2" type="noConversion"/>
  </si>
  <si>
    <t>지열시스템 압축기및 판형 열환기 교체사업 종료</t>
    <phoneticPr fontId="2" type="noConversion"/>
  </si>
  <si>
    <t>일용직인건비등 2019년 미지급분정산</t>
    <phoneticPr fontId="2" type="noConversion"/>
  </si>
  <si>
    <t xml:space="preserve">음식물처리기,식기세척기,전기오븐,CCTV설치등 
10년이상 사용된 노후설비기구 교체비용 </t>
    <phoneticPr fontId="2" type="noConversion"/>
  </si>
  <si>
    <t xml:space="preserve">음식물처리기,식기세척기,전기오븐,CCTV설치등 
10년이상 사용된 노후설비기구 교체비용및25인승버스구입할부금 </t>
    <phoneticPr fontId="2" type="noConversion"/>
  </si>
  <si>
    <t>2020년 재활프로그램 중증장애인의 직업능력개발을 위한 목공프로그램 “우드잡 woodjob” 선정</t>
  </si>
  <si>
    <t>2020년 재활프로그램 중증장애인의 직업능력개발을 위한 목공프로그램 “우드잡 woodjob” 선정</t>
    <phoneticPr fontId="2" type="noConversion"/>
  </si>
  <si>
    <t>2020년 재활프로그램 중증장애인의 
직업능력개발을 위한 목공프로그램
 “우드잡 woodjob” 선정</t>
    <phoneticPr fontId="2" type="noConversion"/>
  </si>
  <si>
    <t>2019년 기능보강사업 종료 및
공기청정기렌탈지원사업선정에 따른 예산편성 (렌탈료 매월 175,000원)</t>
    <phoneticPr fontId="2" type="noConversion"/>
  </si>
  <si>
    <t>2019년 미지급분 예상액</t>
    <phoneticPr fontId="2" type="noConversion"/>
  </si>
  <si>
    <t>2019년 보조금반환 예상액</t>
    <phoneticPr fontId="2" type="noConversion"/>
  </si>
  <si>
    <t>자산취득비 부족분 충당 시설장비유지비 예산감액</t>
    <phoneticPr fontId="2" type="noConversion"/>
  </si>
  <si>
    <t>전년도 지출대비 예산편성</t>
    <phoneticPr fontId="2" type="noConversion"/>
  </si>
  <si>
    <t>거주인 개별화 서비스 및 문화체험등
 실지출 반영 예산편성</t>
    <phoneticPr fontId="2" type="noConversion"/>
  </si>
  <si>
    <t>- 음식물처리기(18,700,000),
- 식기세척기(13,000,000),
- 컨벤션오븐(20,000,000),
- CCTV설치(28,000,000)등 예산반영 
- 25인승 버스할부금(매월 1,047,100원)</t>
    <phoneticPr fontId="2" type="noConversion"/>
  </si>
  <si>
    <t>①중증장애인의 직업능력개발을 위한 목공프로그램 “우드잡 woodjob”이며 예산은</t>
    <phoneticPr fontId="2" type="noConversion"/>
  </si>
  <si>
    <t xml:space="preserve">④기능보강사업 3 : 거주시설 공기청정기렌탈지원 사업으로 예산은 </t>
    <phoneticPr fontId="2" type="noConversion"/>
  </si>
  <si>
    <t xml:space="preserve">②기능보강사업 1 : 거주시설 공기청정기렌탈지원 사업으로 예산은 </t>
    <phoneticPr fontId="2" type="noConversion"/>
  </si>
  <si>
    <t>2020년(2020.01.01 ~ 2020.12.31) 기간의 예산으로 사회복지 법인 재무회계규칙 제9조 1항에</t>
    <phoneticPr fontId="2" type="noConversion"/>
  </si>
  <si>
    <t xml:space="preserve">  ▣  2020년  종사자  인건비 총계표</t>
    <phoneticPr fontId="7" type="noConversion"/>
  </si>
  <si>
    <t xml:space="preserve">  ▣  2020년  종사자  인건비 총계표</t>
    <phoneticPr fontId="7" type="noConversion"/>
  </si>
  <si>
    <t>7종운영지원사업비</t>
    <phoneticPr fontId="2" type="noConversion"/>
  </si>
  <si>
    <t>2019년 기능보강사업 종료에 
따른 차액발생</t>
    <phoneticPr fontId="2" type="noConversion"/>
  </si>
  <si>
    <t>2019년 기능보강사업 종료에 
따른 차액발생/ 수급자변동에의한 생계비 차액발생</t>
    <phoneticPr fontId="2" type="noConversion"/>
  </si>
  <si>
    <t>수급자 변동에 따른 예산 편성</t>
    <phoneticPr fontId="2" type="noConversion"/>
  </si>
  <si>
    <t>입소자
부담금</t>
    <phoneticPr fontId="2" type="noConversion"/>
  </si>
  <si>
    <t>전년도예산
( A )</t>
    <phoneticPr fontId="2" type="noConversion"/>
  </si>
  <si>
    <t>2020년예산
( B )</t>
    <phoneticPr fontId="2" type="noConversion"/>
  </si>
  <si>
    <t>음식물처리기,식기세척기,전기오븐,CCTV설치등 10년이상 사용된 노후설비기구 교체비용및직책보조비, 기타운영비등</t>
    <phoneticPr fontId="2" type="noConversion"/>
  </si>
  <si>
    <t>2020년도</t>
    <phoneticPr fontId="2" type="noConversion"/>
  </si>
  <si>
    <t xml:space="preserve">
* 7종 보조금 이월금 :   5,000,000원
* 7종 예금이자 이월금 :    38,000원
* 4종 예금이자 이월금 :          12,000원
* 재활프로그램 예금이자 이월금:  12,000원
* 추가지원 보조금 이월금 :    1,000,000원
* 추가지원 예금이자 이월금 :     15,000원
* 기능보강 예금이자 이월금 :       5,000원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</si>
</sst>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1" formatCode="_-* #,##0_-;\-* #,##0_-;_-* &quot;-&quot;_-;_-@_-"/>
    <numFmt numFmtId="176" formatCode="0.00;[Red]0.00"/>
    <numFmt numFmtId="177" formatCode="#,##0_ "/>
    <numFmt numFmtId="178" formatCode="#,##0;[Red]#,##0"/>
    <numFmt numFmtId="179" formatCode="mm&quot;월&quot;\ dd&quot;일&quot;"/>
    <numFmt numFmtId="180" formatCode="#,##0.00_ "/>
    <numFmt numFmtId="181" formatCode="0.00_ "/>
    <numFmt numFmtId="182" formatCode="_-* #,##0_-;\-* #,##0_-;_-* &quot;-&quot;??_-;_-@_-"/>
    <numFmt numFmtId="183" formatCode="0.00_ ;[Red]\-0.00\ "/>
    <numFmt numFmtId="184" formatCode="0.0_ ;[Red]\-0.0\ "/>
    <numFmt numFmtId="185" formatCode="#,##0.0_ "/>
  </numFmts>
  <fonts count="5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b/>
      <sz val="10"/>
      <name val="굴림"/>
      <family val="3"/>
      <charset val="129"/>
    </font>
    <font>
      <sz val="8"/>
      <name val="HY그래픽"/>
      <family val="1"/>
      <charset val="129"/>
    </font>
    <font>
      <b/>
      <sz val="10"/>
      <name val="HY그래픽"/>
      <family val="1"/>
      <charset val="129"/>
    </font>
    <font>
      <b/>
      <sz val="9"/>
      <name val="HY그래픽"/>
      <family val="1"/>
      <charset val="129"/>
    </font>
    <font>
      <b/>
      <sz val="8"/>
      <name val="HY그래픽"/>
      <family val="1"/>
      <charset val="129"/>
    </font>
    <font>
      <sz val="11"/>
      <name val="HY그래픽"/>
      <family val="1"/>
      <charset val="129"/>
    </font>
    <font>
      <b/>
      <sz val="11"/>
      <name val="HY그래픽"/>
      <family val="1"/>
      <charset val="129"/>
    </font>
    <font>
      <b/>
      <sz val="12"/>
      <name val="HY그래픽"/>
      <family val="1"/>
      <charset val="129"/>
    </font>
    <font>
      <sz val="10"/>
      <name val="HY그래픽"/>
      <family val="1"/>
      <charset val="129"/>
    </font>
    <font>
      <sz val="9"/>
      <name val="HY그래픽"/>
      <family val="1"/>
      <charset val="129"/>
    </font>
    <font>
      <b/>
      <sz val="20"/>
      <name val="HY그래픽"/>
      <family val="1"/>
      <charset val="129"/>
    </font>
    <font>
      <sz val="20"/>
      <name val="HY그래픽"/>
      <family val="1"/>
      <charset val="129"/>
    </font>
    <font>
      <b/>
      <sz val="12"/>
      <name val="Arial"/>
      <family val="2"/>
    </font>
    <font>
      <sz val="12"/>
      <name val="바탕체"/>
      <family val="1"/>
      <charset val="129"/>
    </font>
    <font>
      <sz val="9"/>
      <name val="HY그래픽M"/>
      <family val="1"/>
      <charset val="129"/>
    </font>
    <font>
      <sz val="8"/>
      <name val="HY그래픽M"/>
      <family val="1"/>
      <charset val="129"/>
    </font>
    <font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20"/>
      <name val="바탕"/>
      <family val="1"/>
      <charset val="129"/>
    </font>
    <font>
      <sz val="20"/>
      <name val="바탕"/>
      <family val="1"/>
      <charset val="129"/>
    </font>
    <font>
      <sz val="10"/>
      <name val="바탕"/>
      <family val="1"/>
      <charset val="129"/>
    </font>
    <font>
      <b/>
      <sz val="11"/>
      <name val="바탕"/>
      <family val="1"/>
      <charset val="129"/>
    </font>
    <font>
      <b/>
      <sz val="12"/>
      <name val="바탕"/>
      <family val="1"/>
      <charset val="129"/>
    </font>
    <font>
      <sz val="11"/>
      <name val="바탕"/>
      <family val="1"/>
      <charset val="129"/>
    </font>
    <font>
      <b/>
      <sz val="10"/>
      <name val="바탕"/>
      <family val="1"/>
      <charset val="129"/>
    </font>
    <font>
      <b/>
      <sz val="9"/>
      <name val="바탕"/>
      <family val="1"/>
      <charset val="129"/>
    </font>
    <font>
      <sz val="9"/>
      <name val="바탕"/>
      <family val="1"/>
      <charset val="129"/>
    </font>
    <font>
      <b/>
      <sz val="8"/>
      <name val="바탕"/>
      <family val="1"/>
      <charset val="129"/>
    </font>
    <font>
      <sz val="8"/>
      <name val="바탕"/>
      <family val="1"/>
      <charset val="129"/>
    </font>
    <font>
      <sz val="6"/>
      <name val="바탕"/>
      <family val="1"/>
      <charset val="129"/>
    </font>
    <font>
      <b/>
      <sz val="14"/>
      <name val="바탕"/>
      <family val="1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b/>
      <sz val="18"/>
      <color indexed="8"/>
      <name val="바탕"/>
      <family val="1"/>
      <charset val="129"/>
    </font>
    <font>
      <sz val="18"/>
      <name val="바탕"/>
      <family val="1"/>
      <charset val="129"/>
    </font>
    <font>
      <b/>
      <sz val="20"/>
      <color indexed="8"/>
      <name val="바탕"/>
      <family val="1"/>
      <charset val="129"/>
    </font>
    <font>
      <b/>
      <sz val="11"/>
      <color indexed="8"/>
      <name val="바탕"/>
      <family val="1"/>
      <charset val="129"/>
    </font>
    <font>
      <sz val="11"/>
      <color indexed="8"/>
      <name val="바탕"/>
      <family val="1"/>
      <charset val="129"/>
    </font>
    <font>
      <sz val="7"/>
      <name val="바탕"/>
      <family val="1"/>
      <charset val="129"/>
    </font>
    <font>
      <b/>
      <sz val="6"/>
      <name val="바탕"/>
      <family val="1"/>
      <charset val="129"/>
    </font>
    <font>
      <b/>
      <sz val="18"/>
      <name val="바탕"/>
      <family val="1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</fonts>
  <fills count="1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41" fontId="1" fillId="0" borderId="0" applyFont="0" applyFill="0" applyBorder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6" fillId="0" borderId="0"/>
    <xf numFmtId="0" fontId="3" fillId="0" borderId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" fillId="0" borderId="0"/>
    <xf numFmtId="0" fontId="6" fillId="0" borderId="0"/>
    <xf numFmtId="0" fontId="1" fillId="0" borderId="0"/>
    <xf numFmtId="0" fontId="24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6" fillId="0" borderId="0"/>
    <xf numFmtId="0" fontId="1" fillId="0" borderId="0"/>
    <xf numFmtId="0" fontId="3" fillId="0" borderId="0"/>
    <xf numFmtId="0" fontId="6" fillId="0" borderId="0"/>
    <xf numFmtId="0" fontId="1" fillId="0" borderId="0"/>
    <xf numFmtId="0" fontId="3" fillId="0" borderId="0"/>
    <xf numFmtId="41" fontId="3" fillId="0" borderId="0" applyFont="0" applyFill="0" applyBorder="0" applyAlignment="0" applyProtection="0"/>
    <xf numFmtId="0" fontId="6" fillId="0" borderId="0"/>
    <xf numFmtId="0" fontId="1" fillId="0" borderId="0"/>
  </cellStyleXfs>
  <cellXfs count="13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7" fillId="0" borderId="0" xfId="0" applyFont="1">
      <alignment vertical="center"/>
    </xf>
    <xf numFmtId="0" fontId="16" fillId="0" borderId="40" xfId="6" applyFont="1" applyBorder="1" applyAlignment="1">
      <alignment horizontal="center" vertical="center"/>
    </xf>
    <xf numFmtId="41" fontId="16" fillId="0" borderId="40" xfId="3" applyFont="1" applyBorder="1" applyAlignment="1">
      <alignment vertical="center"/>
    </xf>
    <xf numFmtId="3" fontId="16" fillId="0" borderId="40" xfId="6" applyNumberFormat="1" applyFont="1" applyBorder="1" applyAlignment="1">
      <alignment horizontal="right" vertical="center" indent="1"/>
    </xf>
    <xf numFmtId="41" fontId="16" fillId="0" borderId="40" xfId="3" applyFont="1" applyBorder="1" applyAlignment="1">
      <alignment horizontal="right" vertical="center" indent="1"/>
    </xf>
    <xf numFmtId="0" fontId="16" fillId="0" borderId="40" xfId="6" applyFont="1" applyBorder="1" applyAlignment="1">
      <alignment vertical="center"/>
    </xf>
    <xf numFmtId="41" fontId="16" fillId="0" borderId="40" xfId="3" applyFont="1" applyBorder="1" applyAlignment="1">
      <alignment horizontal="center" vertical="center"/>
    </xf>
    <xf numFmtId="0" fontId="11" fillId="0" borderId="40" xfId="6" applyFont="1" applyBorder="1" applyAlignment="1">
      <alignment horizontal="right" vertical="center"/>
    </xf>
    <xf numFmtId="0" fontId="17" fillId="0" borderId="4" xfId="0" applyFont="1" applyBorder="1" applyAlignment="1">
      <alignment horizontal="center" vertical="center" shrinkToFit="1"/>
    </xf>
    <xf numFmtId="41" fontId="16" fillId="2" borderId="18" xfId="3" applyFont="1" applyFill="1" applyBorder="1" applyAlignment="1">
      <alignment horizontal="center" vertical="center"/>
    </xf>
    <xf numFmtId="1" fontId="16" fillId="0" borderId="4" xfId="6" applyNumberFormat="1" applyFont="1" applyFill="1" applyBorder="1" applyAlignment="1">
      <alignment horizontal="center" vertical="center" wrapText="1" shrinkToFit="1"/>
    </xf>
    <xf numFmtId="41" fontId="16" fillId="5" borderId="3" xfId="3" applyFont="1" applyFill="1" applyBorder="1" applyAlignment="1">
      <alignment horizontal="right" vertical="center"/>
    </xf>
    <xf numFmtId="41" fontId="10" fillId="2" borderId="42" xfId="3" applyFont="1" applyFill="1" applyBorder="1" applyAlignment="1">
      <alignment horizontal="center" vertical="center"/>
    </xf>
    <xf numFmtId="41" fontId="10" fillId="3" borderId="16" xfId="3" applyFont="1" applyFill="1" applyBorder="1" applyAlignment="1">
      <alignment horizontal="right" vertical="center"/>
    </xf>
    <xf numFmtId="41" fontId="16" fillId="5" borderId="44" xfId="3" applyFont="1" applyFill="1" applyBorder="1" applyAlignment="1">
      <alignment horizontal="right" vertical="center"/>
    </xf>
    <xf numFmtId="0" fontId="9" fillId="0" borderId="0" xfId="0" applyFont="1" applyAlignment="1">
      <alignment vertical="center" shrinkToFit="1"/>
    </xf>
    <xf numFmtId="0" fontId="9" fillId="0" borderId="4" xfId="0" applyFont="1" applyBorder="1" applyAlignment="1">
      <alignment horizontal="center" vertical="center" shrinkToFit="1"/>
    </xf>
    <xf numFmtId="0" fontId="17" fillId="0" borderId="3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5" xfId="0" applyFont="1" applyBorder="1" applyAlignment="1">
      <alignment horizontal="center" vertical="center" shrinkToFit="1"/>
    </xf>
    <xf numFmtId="177" fontId="9" fillId="0" borderId="4" xfId="0" applyNumberFormat="1" applyFont="1" applyBorder="1" applyAlignment="1">
      <alignment horizontal="right" vertical="center" shrinkToFit="1"/>
    </xf>
    <xf numFmtId="0" fontId="17" fillId="0" borderId="62" xfId="0" applyFont="1" applyBorder="1" applyAlignment="1">
      <alignment horizontal="center" vertical="center" shrinkToFit="1"/>
    </xf>
    <xf numFmtId="0" fontId="17" fillId="0" borderId="25" xfId="0" applyFont="1" applyBorder="1" applyAlignment="1">
      <alignment horizontal="center" vertical="center" shrinkToFit="1"/>
    </xf>
    <xf numFmtId="3" fontId="12" fillId="0" borderId="0" xfId="0" applyNumberFormat="1" applyFont="1">
      <alignment vertical="center"/>
    </xf>
    <xf numFmtId="3" fontId="10" fillId="0" borderId="0" xfId="0" applyNumberFormat="1" applyFont="1" applyAlignment="1">
      <alignment horizontal="left" vertical="center"/>
    </xf>
    <xf numFmtId="3" fontId="10" fillId="0" borderId="31" xfId="0" applyNumberFormat="1" applyFont="1" applyBorder="1" applyAlignment="1">
      <alignment horizontal="right" vertical="center" wrapText="1"/>
    </xf>
    <xf numFmtId="3" fontId="17" fillId="0" borderId="25" xfId="0" applyNumberFormat="1" applyFont="1" applyBorder="1">
      <alignment vertical="center"/>
    </xf>
    <xf numFmtId="3" fontId="17" fillId="0" borderId="4" xfId="0" applyNumberFormat="1" applyFont="1" applyBorder="1" applyAlignment="1">
      <alignment horizontal="right" vertical="center"/>
    </xf>
    <xf numFmtId="3" fontId="17" fillId="0" borderId="4" xfId="0" applyNumberFormat="1" applyFont="1" applyBorder="1">
      <alignment vertical="center"/>
    </xf>
    <xf numFmtId="3" fontId="17" fillId="0" borderId="5" xfId="0" applyNumberFormat="1" applyFont="1" applyBorder="1">
      <alignment vertical="center"/>
    </xf>
    <xf numFmtId="3" fontId="17" fillId="0" borderId="0" xfId="0" applyNumberFormat="1" applyFont="1">
      <alignment vertical="center"/>
    </xf>
    <xf numFmtId="3" fontId="9" fillId="0" borderId="0" xfId="0" applyNumberFormat="1" applyFont="1">
      <alignment vertical="center"/>
    </xf>
    <xf numFmtId="0" fontId="16" fillId="0" borderId="8" xfId="6" applyFont="1" applyFill="1" applyBorder="1" applyAlignment="1">
      <alignment horizontal="center" vertical="center" wrapText="1" shrinkToFit="1"/>
    </xf>
    <xf numFmtId="0" fontId="16" fillId="0" borderId="8" xfId="6" applyFont="1" applyFill="1" applyBorder="1" applyAlignment="1">
      <alignment horizontal="center" vertical="center" shrinkToFit="1"/>
    </xf>
    <xf numFmtId="41" fontId="16" fillId="0" borderId="8" xfId="3" applyFont="1" applyFill="1" applyBorder="1" applyAlignment="1">
      <alignment horizontal="right" vertical="center"/>
    </xf>
    <xf numFmtId="41" fontId="16" fillId="5" borderId="8" xfId="3" applyFont="1" applyFill="1" applyBorder="1" applyAlignment="1">
      <alignment horizontal="right" vertical="center"/>
    </xf>
    <xf numFmtId="41" fontId="16" fillId="5" borderId="63" xfId="3" applyFont="1" applyFill="1" applyBorder="1" applyAlignment="1">
      <alignment horizontal="center" vertical="center"/>
    </xf>
    <xf numFmtId="41" fontId="10" fillId="3" borderId="64" xfId="3" applyFont="1" applyFill="1" applyBorder="1" applyAlignment="1">
      <alignment horizontal="right" vertical="center"/>
    </xf>
    <xf numFmtId="41" fontId="10" fillId="3" borderId="63" xfId="3" applyFont="1" applyFill="1" applyBorder="1" applyAlignment="1">
      <alignment horizontal="right" vertical="center"/>
    </xf>
    <xf numFmtId="41" fontId="10" fillId="2" borderId="62" xfId="3" applyFont="1" applyFill="1" applyBorder="1" applyAlignment="1">
      <alignment horizontal="center" vertical="center"/>
    </xf>
    <xf numFmtId="41" fontId="10" fillId="2" borderId="25" xfId="3" applyFont="1" applyFill="1" applyBorder="1" applyAlignment="1">
      <alignment horizontal="center" vertical="center"/>
    </xf>
    <xf numFmtId="41" fontId="16" fillId="5" borderId="35" xfId="3" applyFont="1" applyFill="1" applyBorder="1" applyAlignment="1">
      <alignment horizontal="right" vertical="center"/>
    </xf>
    <xf numFmtId="41" fontId="10" fillId="3" borderId="65" xfId="3" applyFont="1" applyFill="1" applyBorder="1" applyAlignment="1">
      <alignment horizontal="right" vertical="center"/>
    </xf>
    <xf numFmtId="0" fontId="17" fillId="0" borderId="33" xfId="0" applyFont="1" applyBorder="1" applyAlignment="1">
      <alignment horizontal="center" vertical="center" shrinkToFit="1"/>
    </xf>
    <xf numFmtId="3" fontId="17" fillId="0" borderId="33" xfId="0" applyNumberFormat="1" applyFont="1" applyBorder="1">
      <alignment vertical="center"/>
    </xf>
    <xf numFmtId="0" fontId="15" fillId="0" borderId="0" xfId="0" applyFont="1" applyAlignment="1">
      <alignment vertical="center" shrinkToFit="1"/>
    </xf>
    <xf numFmtId="0" fontId="10" fillId="0" borderId="69" xfId="0" applyFont="1" applyBorder="1" applyAlignment="1">
      <alignment horizontal="center" vertical="center" shrinkToFit="1"/>
    </xf>
    <xf numFmtId="0" fontId="9" fillId="0" borderId="13" xfId="0" applyFont="1" applyBorder="1" applyAlignment="1">
      <alignment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10" fillId="0" borderId="70" xfId="0" applyFont="1" applyBorder="1" applyAlignment="1">
      <alignment horizontal="center" vertical="center" shrinkToFit="1"/>
    </xf>
    <xf numFmtId="3" fontId="17" fillId="0" borderId="25" xfId="0" applyNumberFormat="1" applyFont="1" applyBorder="1" applyAlignment="1">
      <alignment horizontal="right" vertical="center" shrinkToFit="1"/>
    </xf>
    <xf numFmtId="3" fontId="17" fillId="0" borderId="4" xfId="0" applyNumberFormat="1" applyFont="1" applyBorder="1" applyAlignment="1">
      <alignment horizontal="right" vertical="center" shrinkToFit="1"/>
    </xf>
    <xf numFmtId="3" fontId="17" fillId="0" borderId="25" xfId="0" applyNumberFormat="1" applyFont="1" applyBorder="1" applyAlignment="1">
      <alignment vertical="center" shrinkToFit="1"/>
    </xf>
    <xf numFmtId="3" fontId="17" fillId="0" borderId="4" xfId="0" applyNumberFormat="1" applyFont="1" applyBorder="1" applyAlignment="1">
      <alignment vertical="center" shrinkToFit="1"/>
    </xf>
    <xf numFmtId="3" fontId="17" fillId="0" borderId="5" xfId="0" applyNumberFormat="1" applyFont="1" applyBorder="1" applyAlignment="1">
      <alignment vertical="center" shrinkToFit="1"/>
    </xf>
    <xf numFmtId="3" fontId="17" fillId="0" borderId="33" xfId="0" applyNumberFormat="1" applyFont="1" applyBorder="1" applyAlignment="1">
      <alignment horizontal="right" vertical="center" shrinkToFit="1"/>
    </xf>
    <xf numFmtId="41" fontId="16" fillId="5" borderId="33" xfId="3" applyFont="1" applyFill="1" applyBorder="1" applyAlignment="1">
      <alignment horizontal="right" vertical="center"/>
    </xf>
    <xf numFmtId="41" fontId="16" fillId="5" borderId="71" xfId="3" applyFont="1" applyFill="1" applyBorder="1" applyAlignment="1">
      <alignment horizontal="right" vertical="center"/>
    </xf>
    <xf numFmtId="179" fontId="16" fillId="0" borderId="4" xfId="6" applyNumberFormat="1" applyFont="1" applyFill="1" applyBorder="1" applyAlignment="1">
      <alignment horizontal="center" vertical="center" wrapText="1" shrinkToFit="1"/>
    </xf>
    <xf numFmtId="0" fontId="22" fillId="0" borderId="13" xfId="0" applyFont="1" applyBorder="1" applyAlignment="1">
      <alignment vertical="center" shrinkToFit="1"/>
    </xf>
    <xf numFmtId="0" fontId="23" fillId="0" borderId="13" xfId="0" applyFont="1" applyBorder="1" applyAlignment="1">
      <alignment vertical="center" wrapText="1"/>
    </xf>
    <xf numFmtId="0" fontId="23" fillId="0" borderId="13" xfId="0" applyFont="1" applyBorder="1" applyAlignment="1">
      <alignment horizontal="left" vertical="center" wrapText="1"/>
    </xf>
    <xf numFmtId="0" fontId="17" fillId="0" borderId="13" xfId="0" applyFont="1" applyBorder="1" applyAlignment="1">
      <alignment vertical="center" shrinkToFit="1"/>
    </xf>
    <xf numFmtId="0" fontId="17" fillId="0" borderId="13" xfId="0" applyFont="1" applyBorder="1" applyAlignment="1">
      <alignment horizontal="left" vertical="center" shrinkToFit="1"/>
    </xf>
    <xf numFmtId="41" fontId="16" fillId="13" borderId="4" xfId="3" applyFont="1" applyFill="1" applyBorder="1" applyAlignment="1">
      <alignment horizontal="right" vertical="center"/>
    </xf>
    <xf numFmtId="0" fontId="23" fillId="0" borderId="14" xfId="0" applyFont="1" applyBorder="1" applyAlignment="1">
      <alignment vertical="center" wrapText="1"/>
    </xf>
    <xf numFmtId="3" fontId="9" fillId="0" borderId="0" xfId="0" applyNumberFormat="1" applyFont="1" applyFill="1">
      <alignment vertical="center"/>
    </xf>
    <xf numFmtId="0" fontId="10" fillId="0" borderId="4" xfId="6" applyFont="1" applyFill="1" applyBorder="1" applyAlignment="1">
      <alignment horizontal="center" vertical="center" wrapText="1" shrinkToFit="1"/>
    </xf>
    <xf numFmtId="41" fontId="10" fillId="5" borderId="13" xfId="3" applyFont="1" applyFill="1" applyBorder="1" applyAlignment="1">
      <alignment horizontal="center" vertical="center"/>
    </xf>
    <xf numFmtId="41" fontId="10" fillId="5" borderId="4" xfId="3" applyFont="1" applyFill="1" applyBorder="1" applyAlignment="1">
      <alignment horizontal="right" vertical="center"/>
    </xf>
    <xf numFmtId="0" fontId="0" fillId="0" borderId="0" xfId="0">
      <alignment vertical="center"/>
    </xf>
    <xf numFmtId="0" fontId="6" fillId="0" borderId="0" xfId="6" applyFont="1" applyAlignment="1">
      <alignment horizontal="center" vertical="center"/>
    </xf>
    <xf numFmtId="0" fontId="8" fillId="0" borderId="0" xfId="6" applyFont="1" applyAlignment="1">
      <alignment horizontal="center" vertical="center"/>
    </xf>
    <xf numFmtId="0" fontId="6" fillId="0" borderId="0" xfId="6" applyAlignment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8" fillId="0" borderId="0" xfId="6" applyFont="1" applyAlignment="1">
      <alignment horizontal="left" vertical="center"/>
    </xf>
    <xf numFmtId="0" fontId="19" fillId="0" borderId="0" xfId="6" applyFont="1" applyAlignment="1">
      <alignment horizontal="center" vertical="center"/>
    </xf>
    <xf numFmtId="0" fontId="16" fillId="0" borderId="0" xfId="6" applyFont="1" applyAlignment="1">
      <alignment horizontal="center" vertical="center"/>
    </xf>
    <xf numFmtId="41" fontId="16" fillId="0" borderId="0" xfId="3" applyFont="1" applyAlignment="1">
      <alignment vertical="center"/>
    </xf>
    <xf numFmtId="3" fontId="16" fillId="0" borderId="0" xfId="6" applyNumberFormat="1" applyFont="1" applyAlignment="1">
      <alignment horizontal="right" vertical="center" indent="1"/>
    </xf>
    <xf numFmtId="41" fontId="16" fillId="0" borderId="0" xfId="3" applyFont="1" applyAlignment="1">
      <alignment horizontal="right" vertical="center" indent="1"/>
    </xf>
    <xf numFmtId="41" fontId="15" fillId="0" borderId="0" xfId="3" applyFont="1" applyBorder="1" applyAlignment="1">
      <alignment horizontal="right" vertical="center"/>
    </xf>
    <xf numFmtId="41" fontId="16" fillId="0" borderId="0" xfId="3" applyFont="1" applyAlignment="1">
      <alignment horizontal="center" vertical="center"/>
    </xf>
    <xf numFmtId="41" fontId="13" fillId="0" borderId="0" xfId="3" applyFont="1" applyBorder="1" applyAlignment="1">
      <alignment horizontal="right" vertical="center"/>
    </xf>
    <xf numFmtId="41" fontId="10" fillId="2" borderId="9" xfId="3" applyFont="1" applyFill="1" applyBorder="1" applyAlignment="1">
      <alignment horizontal="center" vertical="center"/>
    </xf>
    <xf numFmtId="0" fontId="16" fillId="0" borderId="4" xfId="6" applyFont="1" applyBorder="1" applyAlignment="1">
      <alignment horizontal="center" vertical="center" wrapText="1" shrinkToFit="1"/>
    </xf>
    <xf numFmtId="0" fontId="16" fillId="0" borderId="4" xfId="6" applyFont="1" applyFill="1" applyBorder="1" applyAlignment="1">
      <alignment horizontal="center" vertical="center" wrapText="1" shrinkToFit="1"/>
    </xf>
    <xf numFmtId="0" fontId="10" fillId="0" borderId="4" xfId="6" applyFont="1" applyBorder="1" applyAlignment="1">
      <alignment horizontal="center" vertical="center"/>
    </xf>
    <xf numFmtId="41" fontId="10" fillId="3" borderId="4" xfId="3" applyFont="1" applyFill="1" applyBorder="1" applyAlignment="1">
      <alignment horizontal="right" vertical="center"/>
    </xf>
    <xf numFmtId="41" fontId="10" fillId="3" borderId="13" xfId="3" applyFont="1" applyFill="1" applyBorder="1" applyAlignment="1">
      <alignment horizontal="right" vertical="center"/>
    </xf>
    <xf numFmtId="0" fontId="16" fillId="0" borderId="4" xfId="6" applyFont="1" applyFill="1" applyBorder="1" applyAlignment="1">
      <alignment horizontal="center" vertical="center" shrinkToFit="1"/>
    </xf>
    <xf numFmtId="41" fontId="16" fillId="4" borderId="4" xfId="3" applyFont="1" applyFill="1" applyBorder="1" applyAlignment="1">
      <alignment horizontal="right" vertical="center"/>
    </xf>
    <xf numFmtId="41" fontId="16" fillId="0" borderId="4" xfId="3" applyFont="1" applyBorder="1" applyAlignment="1">
      <alignment horizontal="right" vertical="center"/>
    </xf>
    <xf numFmtId="41" fontId="16" fillId="0" borderId="4" xfId="3" applyFont="1" applyFill="1" applyBorder="1" applyAlignment="1">
      <alignment horizontal="right" vertical="center"/>
    </xf>
    <xf numFmtId="41" fontId="16" fillId="5" borderId="4" xfId="3" applyFont="1" applyFill="1" applyBorder="1" applyAlignment="1">
      <alignment horizontal="right" vertical="center"/>
    </xf>
    <xf numFmtId="41" fontId="10" fillId="0" borderId="13" xfId="3" applyNumberFormat="1" applyFont="1" applyBorder="1" applyAlignment="1">
      <alignment horizontal="center" vertical="center" wrapText="1"/>
    </xf>
    <xf numFmtId="0" fontId="16" fillId="0" borderId="5" xfId="6" applyFont="1" applyBorder="1" applyAlignment="1">
      <alignment horizontal="center" vertical="center" wrapText="1" shrinkToFit="1"/>
    </xf>
    <xf numFmtId="0" fontId="16" fillId="0" borderId="5" xfId="6" applyFont="1" applyFill="1" applyBorder="1" applyAlignment="1">
      <alignment horizontal="center" vertical="center" wrapText="1" shrinkToFit="1"/>
    </xf>
    <xf numFmtId="0" fontId="10" fillId="0" borderId="5" xfId="6" applyFont="1" applyBorder="1" applyAlignment="1">
      <alignment horizontal="center" vertical="center"/>
    </xf>
    <xf numFmtId="41" fontId="10" fillId="3" borderId="5" xfId="3" applyFont="1" applyFill="1" applyBorder="1" applyAlignment="1">
      <alignment horizontal="right" vertical="center"/>
    </xf>
    <xf numFmtId="41" fontId="10" fillId="3" borderId="14" xfId="3" applyFont="1" applyFill="1" applyBorder="1" applyAlignment="1">
      <alignment horizontal="right" vertical="center"/>
    </xf>
    <xf numFmtId="0" fontId="16" fillId="0" borderId="0" xfId="6" applyFont="1" applyAlignment="1">
      <alignment vertical="center"/>
    </xf>
    <xf numFmtId="0" fontId="16" fillId="6" borderId="22" xfId="6" applyFont="1" applyFill="1" applyBorder="1" applyAlignment="1">
      <alignment horizontal="center" vertical="center" wrapText="1"/>
    </xf>
    <xf numFmtId="0" fontId="16" fillId="6" borderId="23" xfId="6" applyFont="1" applyFill="1" applyBorder="1" applyAlignment="1">
      <alignment horizontal="center" vertical="center" wrapText="1"/>
    </xf>
    <xf numFmtId="41" fontId="16" fillId="6" borderId="23" xfId="3" applyFont="1" applyFill="1" applyBorder="1" applyAlignment="1">
      <alignment horizontal="center" vertical="center"/>
    </xf>
    <xf numFmtId="41" fontId="16" fillId="6" borderId="23" xfId="3" applyFont="1" applyFill="1" applyBorder="1" applyAlignment="1">
      <alignment horizontal="center" vertical="center" wrapText="1"/>
    </xf>
    <xf numFmtId="3" fontId="16" fillId="6" borderId="23" xfId="6" applyNumberFormat="1" applyFont="1" applyFill="1" applyBorder="1" applyAlignment="1">
      <alignment horizontal="center" vertical="center" wrapText="1"/>
    </xf>
    <xf numFmtId="41" fontId="10" fillId="6" borderId="23" xfId="3" applyFont="1" applyFill="1" applyBorder="1" applyAlignment="1">
      <alignment horizontal="center" vertical="center" wrapText="1"/>
    </xf>
    <xf numFmtId="41" fontId="10" fillId="6" borderId="23" xfId="3" applyFont="1" applyFill="1" applyBorder="1" applyAlignment="1">
      <alignment horizontal="center" vertical="center"/>
    </xf>
    <xf numFmtId="0" fontId="10" fillId="6" borderId="24" xfId="6" applyFont="1" applyFill="1" applyBorder="1" applyAlignment="1">
      <alignment horizontal="center" vertical="center"/>
    </xf>
    <xf numFmtId="0" fontId="16" fillId="0" borderId="9" xfId="6" applyFont="1" applyBorder="1" applyAlignment="1">
      <alignment horizontal="center" vertical="center" wrapText="1" shrinkToFit="1"/>
    </xf>
    <xf numFmtId="0" fontId="16" fillId="0" borderId="9" xfId="6" applyFont="1" applyFill="1" applyBorder="1" applyAlignment="1">
      <alignment horizontal="center" vertical="center" wrapText="1" shrinkToFit="1"/>
    </xf>
    <xf numFmtId="41" fontId="16" fillId="4" borderId="9" xfId="3" applyFont="1" applyFill="1" applyBorder="1" applyAlignment="1">
      <alignment horizontal="right" vertical="center"/>
    </xf>
    <xf numFmtId="41" fontId="16" fillId="0" borderId="9" xfId="3" applyFont="1" applyBorder="1" applyAlignment="1">
      <alignment horizontal="right" vertical="center"/>
    </xf>
    <xf numFmtId="41" fontId="16" fillId="0" borderId="9" xfId="3" applyFont="1" applyFill="1" applyBorder="1" applyAlignment="1">
      <alignment horizontal="right" vertical="center"/>
    </xf>
    <xf numFmtId="41" fontId="10" fillId="3" borderId="9" xfId="3" applyFont="1" applyFill="1" applyBorder="1" applyAlignment="1">
      <alignment horizontal="right" vertical="center"/>
    </xf>
    <xf numFmtId="41" fontId="10" fillId="0" borderId="18" xfId="3" applyNumberFormat="1" applyFont="1" applyBorder="1" applyAlignment="1">
      <alignment horizontal="center" vertical="center" wrapText="1"/>
    </xf>
    <xf numFmtId="41" fontId="10" fillId="6" borderId="24" xfId="3" applyFont="1" applyFill="1" applyBorder="1" applyAlignment="1">
      <alignment horizontal="center" vertical="center"/>
    </xf>
    <xf numFmtId="41" fontId="16" fillId="5" borderId="13" xfId="3" applyFont="1" applyFill="1" applyBorder="1" applyAlignment="1">
      <alignment horizontal="center" vertical="center"/>
    </xf>
    <xf numFmtId="41" fontId="16" fillId="5" borderId="14" xfId="3" applyFont="1" applyFill="1" applyBorder="1" applyAlignment="1">
      <alignment horizontal="center" vertical="center"/>
    </xf>
    <xf numFmtId="0" fontId="16" fillId="0" borderId="9" xfId="6" applyFont="1" applyFill="1" applyBorder="1" applyAlignment="1">
      <alignment horizontal="center" vertical="center" shrinkToFit="1"/>
    </xf>
    <xf numFmtId="41" fontId="16" fillId="5" borderId="18" xfId="3" applyFont="1" applyFill="1" applyBorder="1" applyAlignment="1">
      <alignment horizontal="center" vertical="center"/>
    </xf>
    <xf numFmtId="41" fontId="16" fillId="5" borderId="6" xfId="3" applyFont="1" applyFill="1" applyBorder="1" applyAlignment="1">
      <alignment horizontal="right" vertical="center"/>
    </xf>
    <xf numFmtId="41" fontId="10" fillId="6" borderId="41" xfId="3" applyFont="1" applyFill="1" applyBorder="1" applyAlignment="1">
      <alignment horizontal="center" vertical="center"/>
    </xf>
    <xf numFmtId="0" fontId="16" fillId="0" borderId="5" xfId="6" applyFont="1" applyFill="1" applyBorder="1" applyAlignment="1">
      <alignment horizontal="center" vertical="center" shrinkToFit="1"/>
    </xf>
    <xf numFmtId="41" fontId="16" fillId="0" borderId="5" xfId="3" applyFont="1" applyBorder="1" applyAlignment="1">
      <alignment horizontal="right" vertical="center"/>
    </xf>
    <xf numFmtId="41" fontId="16" fillId="0" borderId="5" xfId="3" applyFont="1" applyFill="1" applyBorder="1" applyAlignment="1">
      <alignment horizontal="right" vertical="center"/>
    </xf>
    <xf numFmtId="41" fontId="16" fillId="5" borderId="16" xfId="3" applyFont="1" applyFill="1" applyBorder="1" applyAlignment="1">
      <alignment horizontal="right" vertical="center"/>
    </xf>
    <xf numFmtId="41" fontId="16" fillId="5" borderId="5" xfId="3" applyFont="1" applyFill="1" applyBorder="1" applyAlignment="1">
      <alignment horizontal="right" vertical="center"/>
    </xf>
    <xf numFmtId="41" fontId="10" fillId="0" borderId="14" xfId="3" applyNumberFormat="1" applyFont="1" applyBorder="1" applyAlignment="1">
      <alignment horizontal="center" vertical="center" wrapText="1"/>
    </xf>
    <xf numFmtId="41" fontId="10" fillId="2" borderId="18" xfId="3" applyFont="1" applyFill="1" applyBorder="1" applyAlignment="1">
      <alignment horizontal="center" vertical="center"/>
    </xf>
    <xf numFmtId="41" fontId="10" fillId="3" borderId="6" xfId="3" applyFont="1" applyFill="1" applyBorder="1" applyAlignment="1">
      <alignment horizontal="right" vertical="center"/>
    </xf>
    <xf numFmtId="0" fontId="16" fillId="0" borderId="8" xfId="6" applyFont="1" applyBorder="1" applyAlignment="1">
      <alignment horizontal="center" vertical="center" wrapText="1" shrinkToFit="1"/>
    </xf>
    <xf numFmtId="41" fontId="16" fillId="0" borderId="8" xfId="3" applyFont="1" applyBorder="1" applyAlignment="1">
      <alignment horizontal="right" vertical="center"/>
    </xf>
    <xf numFmtId="41" fontId="16" fillId="4" borderId="8" xfId="3" applyFont="1" applyFill="1" applyBorder="1" applyAlignment="1">
      <alignment horizontal="right" vertical="center"/>
    </xf>
    <xf numFmtId="41" fontId="16" fillId="5" borderId="55" xfId="3" applyFont="1" applyFill="1" applyBorder="1" applyAlignment="1">
      <alignment horizontal="center" vertical="center"/>
    </xf>
    <xf numFmtId="41" fontId="10" fillId="0" borderId="55" xfId="3" applyNumberFormat="1" applyFont="1" applyBorder="1" applyAlignment="1">
      <alignment horizontal="center" vertical="center" wrapText="1"/>
    </xf>
    <xf numFmtId="0" fontId="16" fillId="0" borderId="33" xfId="6" applyFont="1" applyBorder="1" applyAlignment="1">
      <alignment horizontal="center" vertical="center" wrapText="1" shrinkToFit="1"/>
    </xf>
    <xf numFmtId="0" fontId="16" fillId="0" borderId="33" xfId="6" applyFont="1" applyFill="1" applyBorder="1" applyAlignment="1">
      <alignment horizontal="center" vertical="center" wrapText="1" shrinkToFit="1"/>
    </xf>
    <xf numFmtId="0" fontId="10" fillId="0" borderId="33" xfId="6" applyFont="1" applyBorder="1" applyAlignment="1">
      <alignment horizontal="center" vertical="center"/>
    </xf>
    <xf numFmtId="41" fontId="10" fillId="3" borderId="33" xfId="3" applyFont="1" applyFill="1" applyBorder="1" applyAlignment="1">
      <alignment horizontal="right" vertical="center"/>
    </xf>
    <xf numFmtId="0" fontId="18" fillId="0" borderId="0" xfId="6" applyFont="1" applyAlignment="1">
      <alignment vertical="center"/>
    </xf>
    <xf numFmtId="41" fontId="16" fillId="0" borderId="0" xfId="3" applyFont="1" applyBorder="1" applyAlignment="1">
      <alignment vertical="center"/>
    </xf>
    <xf numFmtId="3" fontId="16" fillId="0" borderId="0" xfId="6" applyNumberFormat="1" applyFont="1" applyBorder="1" applyAlignment="1">
      <alignment horizontal="right" vertical="center" indent="1"/>
    </xf>
    <xf numFmtId="41" fontId="16" fillId="0" borderId="0" xfId="3" applyFont="1" applyBorder="1" applyAlignment="1">
      <alignment horizontal="right" vertical="center" indent="1"/>
    </xf>
    <xf numFmtId="0" fontId="16" fillId="0" borderId="0" xfId="6" applyFont="1" applyBorder="1" applyAlignment="1">
      <alignment horizontal="center" vertical="center"/>
    </xf>
    <xf numFmtId="0" fontId="16" fillId="0" borderId="0" xfId="6" applyFont="1" applyBorder="1" applyAlignment="1">
      <alignment vertical="center"/>
    </xf>
    <xf numFmtId="41" fontId="16" fillId="0" borderId="0" xfId="3" applyFont="1" applyBorder="1" applyAlignment="1">
      <alignment horizontal="center" vertical="center"/>
    </xf>
    <xf numFmtId="0" fontId="11" fillId="0" borderId="0" xfId="6" applyFont="1" applyBorder="1" applyAlignment="1">
      <alignment horizontal="right" vertical="center"/>
    </xf>
    <xf numFmtId="0" fontId="16" fillId="0" borderId="0" xfId="6" applyFont="1" applyFill="1" applyBorder="1" applyAlignment="1">
      <alignment horizontal="center" vertical="center" wrapText="1" shrinkToFit="1"/>
    </xf>
    <xf numFmtId="0" fontId="16" fillId="0" borderId="0" xfId="6" applyFont="1" applyFill="1" applyBorder="1" applyAlignment="1">
      <alignment horizontal="center" vertical="center" shrinkToFit="1"/>
    </xf>
    <xf numFmtId="41" fontId="16" fillId="0" borderId="0" xfId="3" applyFont="1" applyBorder="1" applyAlignment="1">
      <alignment horizontal="right" vertical="center"/>
    </xf>
    <xf numFmtId="41" fontId="16" fillId="0" borderId="0" xfId="3" applyFont="1" applyFill="1" applyBorder="1" applyAlignment="1">
      <alignment horizontal="right" vertical="center"/>
    </xf>
    <xf numFmtId="41" fontId="10" fillId="3" borderId="0" xfId="3" applyFont="1" applyFill="1" applyBorder="1" applyAlignment="1">
      <alignment horizontal="right" vertical="center"/>
    </xf>
    <xf numFmtId="41" fontId="16" fillId="5" borderId="0" xfId="3" applyFont="1" applyFill="1" applyBorder="1" applyAlignment="1">
      <alignment horizontal="center" vertical="center"/>
    </xf>
    <xf numFmtId="41" fontId="16" fillId="5" borderId="0" xfId="3" applyFont="1" applyFill="1" applyBorder="1" applyAlignment="1">
      <alignment horizontal="right" vertical="center"/>
    </xf>
    <xf numFmtId="41" fontId="10" fillId="0" borderId="0" xfId="3" applyNumberFormat="1" applyFont="1" applyBorder="1" applyAlignment="1">
      <alignment horizontal="center" vertical="center" wrapText="1"/>
    </xf>
    <xf numFmtId="0" fontId="16" fillId="0" borderId="40" xfId="6" applyFont="1" applyBorder="1" applyAlignment="1">
      <alignment horizontal="center" vertical="center" wrapText="1" shrinkToFit="1"/>
    </xf>
    <xf numFmtId="0" fontId="16" fillId="0" borderId="40" xfId="6" applyFont="1" applyFill="1" applyBorder="1" applyAlignment="1">
      <alignment horizontal="center" vertical="center" wrapText="1" shrinkToFit="1"/>
    </xf>
    <xf numFmtId="0" fontId="16" fillId="15" borderId="4" xfId="6" applyFont="1" applyFill="1" applyBorder="1" applyAlignment="1">
      <alignment horizontal="center" vertical="center" wrapText="1" shrinkToFit="1"/>
    </xf>
    <xf numFmtId="0" fontId="16" fillId="15" borderId="4" xfId="6" applyFont="1" applyFill="1" applyBorder="1" applyAlignment="1">
      <alignment horizontal="center" vertical="center" shrinkToFit="1"/>
    </xf>
    <xf numFmtId="41" fontId="16" fillId="15" borderId="4" xfId="3" applyFont="1" applyFill="1" applyBorder="1" applyAlignment="1">
      <alignment horizontal="right" vertical="center"/>
    </xf>
    <xf numFmtId="0" fontId="10" fillId="15" borderId="4" xfId="6" applyFont="1" applyFill="1" applyBorder="1" applyAlignment="1">
      <alignment horizontal="center" vertical="center" wrapText="1" shrinkToFit="1"/>
    </xf>
    <xf numFmtId="0" fontId="16" fillId="15" borderId="9" xfId="6" applyFont="1" applyFill="1" applyBorder="1" applyAlignment="1">
      <alignment horizontal="center" vertical="center" wrapText="1" shrinkToFit="1"/>
    </xf>
    <xf numFmtId="0" fontId="16" fillId="15" borderId="9" xfId="6" applyFont="1" applyFill="1" applyBorder="1" applyAlignment="1">
      <alignment horizontal="center" vertical="center" shrinkToFit="1"/>
    </xf>
    <xf numFmtId="0" fontId="16" fillId="15" borderId="8" xfId="6" applyFont="1" applyFill="1" applyBorder="1" applyAlignment="1">
      <alignment horizontal="center" vertical="center" wrapText="1" shrinkToFit="1"/>
    </xf>
    <xf numFmtId="0" fontId="16" fillId="15" borderId="8" xfId="6" applyFont="1" applyFill="1" applyBorder="1" applyAlignment="1">
      <alignment horizontal="center" vertical="center" shrinkToFit="1"/>
    </xf>
    <xf numFmtId="41" fontId="16" fillId="15" borderId="8" xfId="3" applyFont="1" applyFill="1" applyBorder="1" applyAlignment="1">
      <alignment horizontal="right" vertical="center"/>
    </xf>
    <xf numFmtId="0" fontId="16" fillId="0" borderId="0" xfId="6" applyFont="1" applyBorder="1" applyAlignment="1">
      <alignment horizontal="center" vertical="center" wrapText="1" shrinkToFit="1"/>
    </xf>
    <xf numFmtId="41" fontId="16" fillId="15" borderId="9" xfId="3" applyFont="1" applyFill="1" applyBorder="1" applyAlignment="1">
      <alignment horizontal="right" vertical="center"/>
    </xf>
    <xf numFmtId="41" fontId="9" fillId="6" borderId="23" xfId="3" applyFont="1" applyFill="1" applyBorder="1" applyAlignment="1">
      <alignment horizontal="center" vertical="center" wrapText="1"/>
    </xf>
    <xf numFmtId="0" fontId="14" fillId="0" borderId="0" xfId="6" applyFont="1" applyBorder="1" applyAlignment="1">
      <alignment vertical="center"/>
    </xf>
    <xf numFmtId="0" fontId="29" fillId="0" borderId="0" xfId="6" applyFont="1" applyAlignment="1">
      <alignment vertical="center"/>
    </xf>
    <xf numFmtId="0" fontId="29" fillId="0" borderId="0" xfId="6" applyFont="1" applyAlignment="1">
      <alignment horizontal="left" vertical="center"/>
    </xf>
    <xf numFmtId="0" fontId="30" fillId="0" borderId="0" xfId="6" applyFont="1" applyAlignment="1">
      <alignment horizontal="center" vertical="center"/>
    </xf>
    <xf numFmtId="0" fontId="31" fillId="0" borderId="0" xfId="6" applyFont="1" applyAlignment="1">
      <alignment vertical="center"/>
    </xf>
    <xf numFmtId="41" fontId="31" fillId="0" borderId="0" xfId="3" applyFont="1" applyAlignment="1">
      <alignment vertical="center"/>
    </xf>
    <xf numFmtId="3" fontId="31" fillId="0" borderId="0" xfId="6" applyNumberFormat="1" applyFont="1" applyAlignment="1">
      <alignment horizontal="right" vertical="center" indent="1"/>
    </xf>
    <xf numFmtId="41" fontId="31" fillId="0" borderId="0" xfId="3" applyFont="1" applyAlignment="1">
      <alignment horizontal="right" vertical="center" indent="1"/>
    </xf>
    <xf numFmtId="41" fontId="33" fillId="0" borderId="0" xfId="3" applyFont="1" applyBorder="1" applyAlignment="1">
      <alignment horizontal="right" vertical="center"/>
    </xf>
    <xf numFmtId="41" fontId="31" fillId="0" borderId="0" xfId="3" applyFont="1" applyAlignment="1">
      <alignment horizontal="center" vertical="center"/>
    </xf>
    <xf numFmtId="41" fontId="34" fillId="0" borderId="0" xfId="3" applyFont="1" applyBorder="1" applyAlignment="1">
      <alignment horizontal="right" vertical="center"/>
    </xf>
    <xf numFmtId="0" fontId="31" fillId="6" borderId="72" xfId="6" applyFont="1" applyFill="1" applyBorder="1" applyAlignment="1">
      <alignment horizontal="center" vertical="center" wrapText="1"/>
    </xf>
    <xf numFmtId="0" fontId="31" fillId="6" borderId="73" xfId="6" applyFont="1" applyFill="1" applyBorder="1" applyAlignment="1">
      <alignment horizontal="center" vertical="center" wrapText="1"/>
    </xf>
    <xf numFmtId="41" fontId="31" fillId="6" borderId="73" xfId="3" applyFont="1" applyFill="1" applyBorder="1" applyAlignment="1">
      <alignment horizontal="center" vertical="center"/>
    </xf>
    <xf numFmtId="41" fontId="31" fillId="6" borderId="73" xfId="3" applyFont="1" applyFill="1" applyBorder="1" applyAlignment="1">
      <alignment horizontal="center" vertical="center" wrapText="1"/>
    </xf>
    <xf numFmtId="41" fontId="35" fillId="6" borderId="73" xfId="3" applyFont="1" applyFill="1" applyBorder="1" applyAlignment="1">
      <alignment horizontal="center" vertical="center"/>
    </xf>
    <xf numFmtId="41" fontId="35" fillId="6" borderId="94" xfId="3" applyFont="1" applyFill="1" applyBorder="1" applyAlignment="1">
      <alignment horizontal="center" vertical="center"/>
    </xf>
    <xf numFmtId="41" fontId="35" fillId="6" borderId="152" xfId="3" applyFont="1" applyFill="1" applyBorder="1" applyAlignment="1">
      <alignment horizontal="center" vertical="center"/>
    </xf>
    <xf numFmtId="41" fontId="35" fillId="6" borderId="134" xfId="3" applyFont="1" applyFill="1" applyBorder="1" applyAlignment="1">
      <alignment horizontal="center" vertical="center"/>
    </xf>
    <xf numFmtId="41" fontId="35" fillId="6" borderId="73" xfId="3" applyFont="1" applyFill="1" applyBorder="1" applyAlignment="1">
      <alignment horizontal="center" vertical="center" wrapText="1"/>
    </xf>
    <xf numFmtId="0" fontId="35" fillId="6" borderId="94" xfId="6" applyFont="1" applyFill="1" applyBorder="1" applyAlignment="1">
      <alignment horizontal="center" vertical="center"/>
    </xf>
    <xf numFmtId="0" fontId="31" fillId="0" borderId="0" xfId="6" applyFont="1" applyAlignment="1">
      <alignment horizontal="center" vertical="center"/>
    </xf>
    <xf numFmtId="41" fontId="35" fillId="2" borderId="9" xfId="3" applyFont="1" applyFill="1" applyBorder="1" applyAlignment="1">
      <alignment horizontal="center" vertical="center"/>
    </xf>
    <xf numFmtId="41" fontId="35" fillId="2" borderId="76" xfId="3" applyFont="1" applyFill="1" applyBorder="1" applyAlignment="1">
      <alignment horizontal="center" vertical="center"/>
    </xf>
    <xf numFmtId="41" fontId="35" fillId="2" borderId="153" xfId="3" applyFont="1" applyFill="1" applyBorder="1" applyAlignment="1">
      <alignment horizontal="center" vertical="center"/>
    </xf>
    <xf numFmtId="41" fontId="35" fillId="2" borderId="43" xfId="3" applyFont="1" applyFill="1" applyBorder="1" applyAlignment="1">
      <alignment horizontal="center" vertical="center"/>
    </xf>
    <xf numFmtId="41" fontId="35" fillId="2" borderId="95" xfId="3" applyFont="1" applyFill="1" applyBorder="1" applyAlignment="1">
      <alignment horizontal="center" vertical="center"/>
    </xf>
    <xf numFmtId="0" fontId="35" fillId="0" borderId="0" xfId="6" applyFont="1" applyAlignment="1">
      <alignment horizontal="center" vertical="center"/>
    </xf>
    <xf numFmtId="0" fontId="31" fillId="0" borderId="4" xfId="6" applyFont="1" applyBorder="1" applyAlignment="1">
      <alignment horizontal="center" vertical="center" wrapText="1" shrinkToFit="1"/>
    </xf>
    <xf numFmtId="0" fontId="31" fillId="0" borderId="4" xfId="6" applyFont="1" applyFill="1" applyBorder="1" applyAlignment="1">
      <alignment horizontal="center" vertical="center" wrapText="1" shrinkToFit="1"/>
    </xf>
    <xf numFmtId="0" fontId="35" fillId="0" borderId="4" xfId="6" applyFont="1" applyBorder="1" applyAlignment="1">
      <alignment horizontal="center" vertical="center"/>
    </xf>
    <xf numFmtId="41" fontId="35" fillId="3" borderId="4" xfId="3" applyFont="1" applyFill="1" applyBorder="1" applyAlignment="1">
      <alignment horizontal="right" vertical="center"/>
    </xf>
    <xf numFmtId="41" fontId="31" fillId="5" borderId="96" xfId="3" applyFont="1" applyFill="1" applyBorder="1" applyAlignment="1">
      <alignment horizontal="center" vertical="center"/>
    </xf>
    <xf numFmtId="41" fontId="35" fillId="3" borderId="154" xfId="3" applyFont="1" applyFill="1" applyBorder="1" applyAlignment="1">
      <alignment horizontal="right" vertical="center"/>
    </xf>
    <xf numFmtId="41" fontId="35" fillId="3" borderId="6" xfId="3" applyFont="1" applyFill="1" applyBorder="1" applyAlignment="1">
      <alignment horizontal="right" vertical="center"/>
    </xf>
    <xf numFmtId="41" fontId="35" fillId="3" borderId="96" xfId="3" applyFont="1" applyFill="1" applyBorder="1" applyAlignment="1">
      <alignment horizontal="right" vertical="center"/>
    </xf>
    <xf numFmtId="0" fontId="31" fillId="0" borderId="4" xfId="6" applyFont="1" applyFill="1" applyBorder="1" applyAlignment="1">
      <alignment horizontal="center" vertical="center" shrinkToFit="1"/>
    </xf>
    <xf numFmtId="41" fontId="31" fillId="4" borderId="4" xfId="3" applyFont="1" applyFill="1" applyBorder="1" applyAlignment="1">
      <alignment horizontal="right" vertical="center"/>
    </xf>
    <xf numFmtId="41" fontId="31" fillId="0" borderId="4" xfId="3" applyFont="1" applyBorder="1" applyAlignment="1">
      <alignment horizontal="right" vertical="center"/>
    </xf>
    <xf numFmtId="41" fontId="31" fillId="0" borderId="4" xfId="3" applyFont="1" applyFill="1" applyBorder="1" applyAlignment="1">
      <alignment horizontal="right" vertical="center"/>
    </xf>
    <xf numFmtId="41" fontId="31" fillId="5" borderId="154" xfId="3" applyFont="1" applyFill="1" applyBorder="1" applyAlignment="1">
      <alignment horizontal="right" vertical="center"/>
    </xf>
    <xf numFmtId="41" fontId="31" fillId="5" borderId="6" xfId="3" applyFont="1" applyFill="1" applyBorder="1" applyAlignment="1">
      <alignment horizontal="right" vertical="center"/>
    </xf>
    <xf numFmtId="41" fontId="31" fillId="5" borderId="4" xfId="3" applyFont="1" applyFill="1" applyBorder="1" applyAlignment="1">
      <alignment horizontal="right" vertical="center"/>
    </xf>
    <xf numFmtId="41" fontId="35" fillId="0" borderId="96" xfId="3" applyNumberFormat="1" applyFont="1" applyBorder="1" applyAlignment="1">
      <alignment horizontal="center" vertical="center" wrapText="1"/>
    </xf>
    <xf numFmtId="0" fontId="31" fillId="0" borderId="91" xfId="6" applyFont="1" applyBorder="1" applyAlignment="1">
      <alignment horizontal="center" vertical="center" wrapText="1" shrinkToFit="1"/>
    </xf>
    <xf numFmtId="0" fontId="31" fillId="0" borderId="91" xfId="6" applyFont="1" applyFill="1" applyBorder="1" applyAlignment="1">
      <alignment horizontal="center" vertical="center" wrapText="1" shrinkToFit="1"/>
    </xf>
    <xf numFmtId="0" fontId="31" fillId="0" borderId="91" xfId="6" applyFont="1" applyFill="1" applyBorder="1" applyAlignment="1">
      <alignment horizontal="center" vertical="center" shrinkToFit="1"/>
    </xf>
    <xf numFmtId="41" fontId="31" fillId="0" borderId="91" xfId="3" applyFont="1" applyBorder="1" applyAlignment="1">
      <alignment horizontal="right" vertical="center"/>
    </xf>
    <xf numFmtId="41" fontId="31" fillId="0" borderId="91" xfId="3" applyFont="1" applyFill="1" applyBorder="1" applyAlignment="1">
      <alignment horizontal="right" vertical="center"/>
    </xf>
    <xf numFmtId="41" fontId="35" fillId="3" borderId="91" xfId="3" applyFont="1" applyFill="1" applyBorder="1" applyAlignment="1">
      <alignment horizontal="right" vertical="center"/>
    </xf>
    <xf numFmtId="41" fontId="31" fillId="5" borderId="99" xfId="3" applyFont="1" applyFill="1" applyBorder="1" applyAlignment="1">
      <alignment horizontal="center" vertical="center"/>
    </xf>
    <xf numFmtId="41" fontId="31" fillId="5" borderId="155" xfId="3" applyFont="1" applyFill="1" applyBorder="1" applyAlignment="1">
      <alignment horizontal="right" vertical="center"/>
    </xf>
    <xf numFmtId="41" fontId="31" fillId="5" borderId="90" xfId="3" applyFont="1" applyFill="1" applyBorder="1" applyAlignment="1">
      <alignment horizontal="right" vertical="center"/>
    </xf>
    <xf numFmtId="41" fontId="31" fillId="5" borderId="91" xfId="3" applyFont="1" applyFill="1" applyBorder="1" applyAlignment="1">
      <alignment horizontal="right" vertical="center"/>
    </xf>
    <xf numFmtId="41" fontId="35" fillId="0" borderId="99" xfId="3" applyNumberFormat="1" applyFont="1" applyBorder="1" applyAlignment="1">
      <alignment horizontal="center" vertical="center" wrapText="1"/>
    </xf>
    <xf numFmtId="0" fontId="34" fillId="0" borderId="78" xfId="0" applyFont="1" applyBorder="1" applyAlignment="1">
      <alignment vertical="center"/>
    </xf>
    <xf numFmtId="0" fontId="31" fillId="0" borderId="9" xfId="6" applyFont="1" applyBorder="1" applyAlignment="1">
      <alignment horizontal="center" vertical="center" wrapText="1" shrinkToFit="1"/>
    </xf>
    <xf numFmtId="0" fontId="31" fillId="0" borderId="9" xfId="6" applyFont="1" applyFill="1" applyBorder="1" applyAlignment="1">
      <alignment horizontal="center" vertical="center" wrapText="1" shrinkToFit="1"/>
    </xf>
    <xf numFmtId="0" fontId="31" fillId="0" borderId="9" xfId="6" applyFont="1" applyFill="1" applyBorder="1" applyAlignment="1">
      <alignment horizontal="center" vertical="center" shrinkToFit="1"/>
    </xf>
    <xf numFmtId="41" fontId="31" fillId="0" borderId="9" xfId="3" applyFont="1" applyBorder="1" applyAlignment="1">
      <alignment horizontal="right" vertical="center"/>
    </xf>
    <xf numFmtId="41" fontId="31" fillId="0" borderId="9" xfId="3" applyFont="1" applyFill="1" applyBorder="1" applyAlignment="1">
      <alignment horizontal="right" vertical="center"/>
    </xf>
    <xf numFmtId="41" fontId="35" fillId="3" borderId="9" xfId="3" applyFont="1" applyFill="1" applyBorder="1" applyAlignment="1">
      <alignment horizontal="right" vertical="center"/>
    </xf>
    <xf numFmtId="41" fontId="31" fillId="5" borderId="18" xfId="3" applyFont="1" applyFill="1" applyBorder="1" applyAlignment="1">
      <alignment horizontal="center" vertical="center"/>
    </xf>
    <xf numFmtId="41" fontId="31" fillId="5" borderId="139" xfId="3" applyFont="1" applyFill="1" applyBorder="1" applyAlignment="1">
      <alignment horizontal="right" vertical="center"/>
    </xf>
    <xf numFmtId="41" fontId="31" fillId="5" borderId="43" xfId="3" applyFont="1" applyFill="1" applyBorder="1" applyAlignment="1">
      <alignment horizontal="right" vertical="center"/>
    </xf>
    <xf numFmtId="41" fontId="31" fillId="5" borderId="9" xfId="3" applyFont="1" applyFill="1" applyBorder="1" applyAlignment="1">
      <alignment horizontal="right" vertical="center"/>
    </xf>
    <xf numFmtId="41" fontId="35" fillId="0" borderId="18" xfId="3" applyNumberFormat="1" applyFont="1" applyBorder="1" applyAlignment="1">
      <alignment horizontal="center" vertical="center" wrapText="1"/>
    </xf>
    <xf numFmtId="41" fontId="31" fillId="5" borderId="13" xfId="3" applyFont="1" applyFill="1" applyBorder="1" applyAlignment="1">
      <alignment horizontal="center" vertical="center"/>
    </xf>
    <xf numFmtId="41" fontId="31" fillId="5" borderId="77" xfId="3" applyFont="1" applyFill="1" applyBorder="1" applyAlignment="1">
      <alignment horizontal="right" vertical="center"/>
    </xf>
    <xf numFmtId="41" fontId="35" fillId="0" borderId="13" xfId="3" applyNumberFormat="1" applyFont="1" applyBorder="1" applyAlignment="1">
      <alignment horizontal="center" vertical="center" wrapText="1"/>
    </xf>
    <xf numFmtId="0" fontId="34" fillId="0" borderId="79" xfId="0" applyFont="1" applyBorder="1" applyAlignment="1">
      <alignment vertical="center"/>
    </xf>
    <xf numFmtId="0" fontId="31" fillId="0" borderId="5" xfId="6" applyFont="1" applyBorder="1" applyAlignment="1">
      <alignment horizontal="center" vertical="center" wrapText="1" shrinkToFit="1"/>
    </xf>
    <xf numFmtId="0" fontId="31" fillId="0" borderId="5" xfId="6" applyFont="1" applyFill="1" applyBorder="1" applyAlignment="1">
      <alignment horizontal="center" vertical="center" wrapText="1" shrinkToFit="1"/>
    </xf>
    <xf numFmtId="0" fontId="31" fillId="0" borderId="5" xfId="6" applyFont="1" applyFill="1" applyBorder="1" applyAlignment="1">
      <alignment horizontal="center" vertical="center" shrinkToFit="1"/>
    </xf>
    <xf numFmtId="41" fontId="31" fillId="0" borderId="5" xfId="3" applyFont="1" applyBorder="1" applyAlignment="1">
      <alignment horizontal="right" vertical="center"/>
    </xf>
    <xf numFmtId="41" fontId="31" fillId="0" borderId="5" xfId="3" applyFont="1" applyFill="1" applyBorder="1" applyAlignment="1">
      <alignment horizontal="right" vertical="center"/>
    </xf>
    <xf numFmtId="41" fontId="35" fillId="3" borderId="5" xfId="3" applyFont="1" applyFill="1" applyBorder="1" applyAlignment="1">
      <alignment horizontal="right" vertical="center"/>
    </xf>
    <xf numFmtId="41" fontId="31" fillId="5" borderId="14" xfId="3" applyFont="1" applyFill="1" applyBorder="1" applyAlignment="1">
      <alignment horizontal="center" vertical="center"/>
    </xf>
    <xf numFmtId="41" fontId="31" fillId="5" borderId="80" xfId="3" applyFont="1" applyFill="1" applyBorder="1" applyAlignment="1">
      <alignment horizontal="right" vertical="center"/>
    </xf>
    <xf numFmtId="41" fontId="31" fillId="5" borderId="16" xfId="3" applyFont="1" applyFill="1" applyBorder="1" applyAlignment="1">
      <alignment horizontal="right" vertical="center"/>
    </xf>
    <xf numFmtId="41" fontId="31" fillId="5" borderId="5" xfId="3" applyFont="1" applyFill="1" applyBorder="1" applyAlignment="1">
      <alignment horizontal="right" vertical="center"/>
    </xf>
    <xf numFmtId="41" fontId="35" fillId="0" borderId="14" xfId="3" applyNumberFormat="1" applyFont="1" applyBorder="1" applyAlignment="1">
      <alignment horizontal="center" vertical="center" wrapText="1"/>
    </xf>
    <xf numFmtId="41" fontId="35" fillId="3" borderId="77" xfId="3" applyFont="1" applyFill="1" applyBorder="1" applyAlignment="1">
      <alignment horizontal="right" vertical="center"/>
    </xf>
    <xf numFmtId="41" fontId="35" fillId="3" borderId="13" xfId="3" applyFont="1" applyFill="1" applyBorder="1" applyAlignment="1">
      <alignment horizontal="right" vertical="center"/>
    </xf>
    <xf numFmtId="0" fontId="34" fillId="0" borderId="81" xfId="0" applyFont="1" applyBorder="1">
      <alignment vertical="center"/>
    </xf>
    <xf numFmtId="0" fontId="34" fillId="0" borderId="40" xfId="0" applyFont="1" applyBorder="1">
      <alignment vertical="center"/>
    </xf>
    <xf numFmtId="0" fontId="34" fillId="0" borderId="40" xfId="0" applyFont="1" applyBorder="1" applyAlignment="1">
      <alignment horizontal="center" vertical="center"/>
    </xf>
    <xf numFmtId="0" fontId="34" fillId="0" borderId="82" xfId="0" applyFont="1" applyBorder="1">
      <alignment vertical="center"/>
    </xf>
    <xf numFmtId="0" fontId="34" fillId="0" borderId="0" xfId="0" applyFont="1">
      <alignment vertical="center"/>
    </xf>
    <xf numFmtId="0" fontId="34" fillId="0" borderId="83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0" xfId="0" applyFont="1" applyBorder="1" applyAlignment="1">
      <alignment horizontal="center" vertical="center"/>
    </xf>
    <xf numFmtId="0" fontId="34" fillId="0" borderId="84" xfId="0" applyFont="1" applyBorder="1">
      <alignment vertical="center"/>
    </xf>
    <xf numFmtId="41" fontId="31" fillId="0" borderId="0" xfId="3" applyFont="1" applyBorder="1" applyAlignment="1">
      <alignment vertical="center"/>
    </xf>
    <xf numFmtId="3" fontId="31" fillId="0" borderId="0" xfId="6" applyNumberFormat="1" applyFont="1" applyBorder="1" applyAlignment="1">
      <alignment horizontal="right" vertical="center" indent="1"/>
    </xf>
    <xf numFmtId="41" fontId="31" fillId="0" borderId="0" xfId="3" applyFont="1" applyBorder="1" applyAlignment="1">
      <alignment horizontal="right" vertical="center" indent="1"/>
    </xf>
    <xf numFmtId="41" fontId="31" fillId="0" borderId="84" xfId="3" applyFont="1" applyBorder="1" applyAlignment="1">
      <alignment horizontal="center" vertical="center"/>
    </xf>
    <xf numFmtId="0" fontId="31" fillId="6" borderId="85" xfId="6" applyFont="1" applyFill="1" applyBorder="1" applyAlignment="1">
      <alignment horizontal="center" vertical="center" wrapText="1"/>
    </xf>
    <xf numFmtId="0" fontId="31" fillId="6" borderId="23" xfId="6" applyFont="1" applyFill="1" applyBorder="1" applyAlignment="1">
      <alignment horizontal="center" vertical="center" wrapText="1"/>
    </xf>
    <xf numFmtId="41" fontId="31" fillId="6" borderId="23" xfId="3" applyFont="1" applyFill="1" applyBorder="1" applyAlignment="1">
      <alignment horizontal="center" vertical="center"/>
    </xf>
    <xf numFmtId="41" fontId="31" fillId="6" borderId="23" xfId="3" applyFont="1" applyFill="1" applyBorder="1" applyAlignment="1">
      <alignment horizontal="center" vertical="center" wrapText="1"/>
    </xf>
    <xf numFmtId="41" fontId="35" fillId="6" borderId="24" xfId="3" applyFont="1" applyFill="1" applyBorder="1" applyAlignment="1">
      <alignment horizontal="center" vertical="center"/>
    </xf>
    <xf numFmtId="41" fontId="35" fillId="6" borderId="86" xfId="3" applyFont="1" applyFill="1" applyBorder="1" applyAlignment="1">
      <alignment horizontal="center" vertical="center"/>
    </xf>
    <xf numFmtId="41" fontId="35" fillId="6" borderId="41" xfId="3" applyFont="1" applyFill="1" applyBorder="1" applyAlignment="1">
      <alignment horizontal="center" vertical="center"/>
    </xf>
    <xf numFmtId="41" fontId="35" fillId="6" borderId="23" xfId="3" applyFont="1" applyFill="1" applyBorder="1" applyAlignment="1">
      <alignment horizontal="center" vertical="center" wrapText="1"/>
    </xf>
    <xf numFmtId="41" fontId="35" fillId="6" borderId="23" xfId="3" applyFont="1" applyFill="1" applyBorder="1" applyAlignment="1">
      <alignment horizontal="center" vertical="center"/>
    </xf>
    <xf numFmtId="0" fontId="35" fillId="6" borderId="24" xfId="6" applyFont="1" applyFill="1" applyBorder="1" applyAlignment="1">
      <alignment horizontal="center" vertical="center"/>
    </xf>
    <xf numFmtId="41" fontId="35" fillId="2" borderId="87" xfId="3" applyFont="1" applyFill="1" applyBorder="1" applyAlignment="1">
      <alignment horizontal="center" vertical="center"/>
    </xf>
    <xf numFmtId="0" fontId="35" fillId="0" borderId="5" xfId="6" applyFont="1" applyBorder="1" applyAlignment="1">
      <alignment horizontal="center" vertical="center"/>
    </xf>
    <xf numFmtId="41" fontId="35" fillId="3" borderId="14" xfId="3" applyFont="1" applyFill="1" applyBorder="1" applyAlignment="1">
      <alignment horizontal="right" vertical="center"/>
    </xf>
    <xf numFmtId="41" fontId="31" fillId="5" borderId="88" xfId="3" applyFont="1" applyFill="1" applyBorder="1" applyAlignment="1">
      <alignment horizontal="center" vertical="center"/>
    </xf>
    <xf numFmtId="41" fontId="31" fillId="4" borderId="9" xfId="3" applyFont="1" applyFill="1" applyBorder="1" applyAlignment="1">
      <alignment horizontal="right" vertical="center"/>
    </xf>
    <xf numFmtId="41" fontId="35" fillId="3" borderId="18" xfId="3" applyFont="1" applyFill="1" applyBorder="1" applyAlignment="1">
      <alignment horizontal="right" vertical="center"/>
    </xf>
    <xf numFmtId="41" fontId="31" fillId="5" borderId="87" xfId="3" applyFont="1" applyFill="1" applyBorder="1" applyAlignment="1">
      <alignment horizontal="center" vertical="center"/>
    </xf>
    <xf numFmtId="41" fontId="31" fillId="5" borderId="89" xfId="3" applyFont="1" applyFill="1" applyBorder="1" applyAlignment="1">
      <alignment horizontal="center" vertical="center"/>
    </xf>
    <xf numFmtId="0" fontId="31" fillId="0" borderId="16" xfId="6" applyFont="1" applyBorder="1" applyAlignment="1">
      <alignment horizontal="center" vertical="center" wrapText="1" shrinkToFit="1"/>
    </xf>
    <xf numFmtId="0" fontId="31" fillId="0" borderId="43" xfId="6" applyFont="1" applyBorder="1" applyAlignment="1">
      <alignment horizontal="center" vertical="center" wrapText="1" shrinkToFit="1"/>
    </xf>
    <xf numFmtId="0" fontId="31" fillId="0" borderId="6" xfId="6" applyFont="1" applyBorder="1" applyAlignment="1">
      <alignment horizontal="center" vertical="center" wrapText="1" shrinkToFit="1"/>
    </xf>
    <xf numFmtId="0" fontId="31" fillId="0" borderId="90" xfId="6" applyFont="1" applyBorder="1" applyAlignment="1">
      <alignment horizontal="center" vertical="center" wrapText="1" shrinkToFit="1"/>
    </xf>
    <xf numFmtId="41" fontId="35" fillId="3" borderId="92" xfId="3" applyFont="1" applyFill="1" applyBorder="1" applyAlignment="1">
      <alignment horizontal="right" vertical="center"/>
    </xf>
    <xf numFmtId="41" fontId="31" fillId="5" borderId="93" xfId="3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41" fontId="29" fillId="0" borderId="0" xfId="6" applyNumberFormat="1" applyFont="1" applyAlignment="1">
      <alignment horizontal="left" vertical="center"/>
    </xf>
    <xf numFmtId="0" fontId="31" fillId="6" borderId="22" xfId="6" applyFont="1" applyFill="1" applyBorder="1" applyAlignment="1">
      <alignment horizontal="center" vertical="center" wrapText="1"/>
    </xf>
    <xf numFmtId="3" fontId="31" fillId="6" borderId="23" xfId="6" applyNumberFormat="1" applyFont="1" applyFill="1" applyBorder="1" applyAlignment="1">
      <alignment horizontal="center" vertical="center" wrapText="1"/>
    </xf>
    <xf numFmtId="41" fontId="35" fillId="2" borderId="18" xfId="3" applyFont="1" applyFill="1" applyBorder="1" applyAlignment="1">
      <alignment horizontal="center" vertical="center"/>
    </xf>
    <xf numFmtId="1" fontId="31" fillId="0" borderId="4" xfId="6" applyNumberFormat="1" applyFont="1" applyFill="1" applyBorder="1" applyAlignment="1">
      <alignment horizontal="center" vertical="center" wrapText="1" shrinkToFit="1"/>
    </xf>
    <xf numFmtId="0" fontId="31" fillId="15" borderId="4" xfId="6" applyFont="1" applyFill="1" applyBorder="1" applyAlignment="1">
      <alignment horizontal="center" vertical="center" wrapText="1" shrinkToFit="1"/>
    </xf>
    <xf numFmtId="0" fontId="31" fillId="15" borderId="4" xfId="6" applyFont="1" applyFill="1" applyBorder="1" applyAlignment="1">
      <alignment horizontal="center" vertical="center" shrinkToFit="1"/>
    </xf>
    <xf numFmtId="41" fontId="31" fillId="15" borderId="4" xfId="3" applyFont="1" applyFill="1" applyBorder="1" applyAlignment="1">
      <alignment horizontal="right" vertical="center"/>
    </xf>
    <xf numFmtId="0" fontId="35" fillId="0" borderId="4" xfId="6" applyFont="1" applyFill="1" applyBorder="1" applyAlignment="1">
      <alignment horizontal="center" vertical="center" wrapText="1" shrinkToFit="1"/>
    </xf>
    <xf numFmtId="41" fontId="35" fillId="5" borderId="13" xfId="3" applyFont="1" applyFill="1" applyBorder="1" applyAlignment="1">
      <alignment horizontal="center" vertical="center"/>
    </xf>
    <xf numFmtId="0" fontId="35" fillId="15" borderId="4" xfId="6" applyFont="1" applyFill="1" applyBorder="1" applyAlignment="1">
      <alignment horizontal="center" vertical="center" wrapText="1" shrinkToFit="1"/>
    </xf>
    <xf numFmtId="41" fontId="31" fillId="13" borderId="4" xfId="3" applyFont="1" applyFill="1" applyBorder="1" applyAlignment="1">
      <alignment horizontal="right" vertical="center"/>
    </xf>
    <xf numFmtId="179" fontId="31" fillId="0" borderId="4" xfId="6" applyNumberFormat="1" applyFont="1" applyFill="1" applyBorder="1" applyAlignment="1">
      <alignment horizontal="center" vertical="center" wrapText="1" shrinkToFit="1"/>
    </xf>
    <xf numFmtId="41" fontId="31" fillId="12" borderId="4" xfId="3" applyFont="1" applyFill="1" applyBorder="1" applyAlignment="1">
      <alignment horizontal="right" vertical="center"/>
    </xf>
    <xf numFmtId="0" fontId="31" fillId="0" borderId="3" xfId="6" applyFont="1" applyBorder="1" applyAlignment="1">
      <alignment horizontal="center" vertical="center"/>
    </xf>
    <xf numFmtId="41" fontId="35" fillId="16" borderId="4" xfId="3" applyFont="1" applyFill="1" applyBorder="1" applyAlignment="1">
      <alignment horizontal="right" vertical="center"/>
    </xf>
    <xf numFmtId="41" fontId="31" fillId="0" borderId="13" xfId="3" applyFont="1" applyFill="1" applyBorder="1" applyAlignment="1">
      <alignment horizontal="center" vertical="center"/>
    </xf>
    <xf numFmtId="41" fontId="31" fillId="0" borderId="6" xfId="3" applyFont="1" applyFill="1" applyBorder="1" applyAlignment="1">
      <alignment horizontal="right" vertical="center"/>
    </xf>
    <xf numFmtId="41" fontId="35" fillId="0" borderId="13" xfId="3" applyNumberFormat="1" applyFont="1" applyFill="1" applyBorder="1" applyAlignment="1">
      <alignment horizontal="center" vertical="center" wrapText="1"/>
    </xf>
    <xf numFmtId="0" fontId="31" fillId="0" borderId="0" xfId="6" applyFont="1" applyFill="1" applyAlignment="1">
      <alignment horizontal="center" vertical="center"/>
    </xf>
    <xf numFmtId="0" fontId="31" fillId="15" borderId="9" xfId="6" applyFont="1" applyFill="1" applyBorder="1" applyAlignment="1">
      <alignment horizontal="center" vertical="center" wrapText="1" shrinkToFit="1"/>
    </xf>
    <xf numFmtId="0" fontId="31" fillId="15" borderId="9" xfId="6" applyFont="1" applyFill="1" applyBorder="1" applyAlignment="1">
      <alignment horizontal="center" vertical="center" shrinkToFit="1"/>
    </xf>
    <xf numFmtId="0" fontId="31" fillId="0" borderId="0" xfId="6" applyFont="1" applyBorder="1" applyAlignment="1">
      <alignment horizontal="center" vertical="center"/>
    </xf>
    <xf numFmtId="0" fontId="31" fillId="0" borderId="0" xfId="6" applyFont="1" applyBorder="1" applyAlignment="1">
      <alignment vertical="center"/>
    </xf>
    <xf numFmtId="41" fontId="31" fillId="0" borderId="0" xfId="3" applyFont="1" applyBorder="1" applyAlignment="1">
      <alignment horizontal="center" vertical="center"/>
    </xf>
    <xf numFmtId="0" fontId="36" fillId="0" borderId="0" xfId="6" applyFont="1" applyBorder="1" applyAlignment="1">
      <alignment horizontal="right" vertical="center"/>
    </xf>
    <xf numFmtId="0" fontId="31" fillId="0" borderId="33" xfId="6" applyFont="1" applyBorder="1" applyAlignment="1">
      <alignment horizontal="center" vertical="center" wrapText="1" shrinkToFit="1"/>
    </xf>
    <xf numFmtId="0" fontId="31" fillId="0" borderId="33" xfId="6" applyFont="1" applyFill="1" applyBorder="1" applyAlignment="1">
      <alignment horizontal="center" vertical="center" wrapText="1" shrinkToFit="1"/>
    </xf>
    <xf numFmtId="0" fontId="35" fillId="0" borderId="33" xfId="6" applyFont="1" applyBorder="1" applyAlignment="1">
      <alignment horizontal="center" vertical="center"/>
    </xf>
    <xf numFmtId="41" fontId="35" fillId="3" borderId="33" xfId="3" applyFont="1" applyFill="1" applyBorder="1" applyAlignment="1">
      <alignment horizontal="right" vertical="center"/>
    </xf>
    <xf numFmtId="41" fontId="31" fillId="5" borderId="63" xfId="3" applyFont="1" applyFill="1" applyBorder="1" applyAlignment="1">
      <alignment horizontal="center" vertical="center"/>
    </xf>
    <xf numFmtId="41" fontId="35" fillId="3" borderId="64" xfId="3" applyFont="1" applyFill="1" applyBorder="1" applyAlignment="1">
      <alignment horizontal="right" vertical="center"/>
    </xf>
    <xf numFmtId="41" fontId="35" fillId="3" borderId="63" xfId="3" applyFont="1" applyFill="1" applyBorder="1" applyAlignment="1">
      <alignment horizontal="right" vertical="center"/>
    </xf>
    <xf numFmtId="0" fontId="31" fillId="0" borderId="8" xfId="6" applyFont="1" applyBorder="1" applyAlignment="1">
      <alignment horizontal="center" vertical="center" wrapText="1" shrinkToFit="1"/>
    </xf>
    <xf numFmtId="0" fontId="31" fillId="15" borderId="8" xfId="6" applyFont="1" applyFill="1" applyBorder="1" applyAlignment="1">
      <alignment horizontal="center" vertical="center" wrapText="1" shrinkToFit="1"/>
    </xf>
    <xf numFmtId="0" fontId="31" fillId="15" borderId="8" xfId="6" applyFont="1" applyFill="1" applyBorder="1" applyAlignment="1">
      <alignment horizontal="center" vertical="center" shrinkToFit="1"/>
    </xf>
    <xf numFmtId="41" fontId="31" fillId="15" borderId="8" xfId="3" applyFont="1" applyFill="1" applyBorder="1" applyAlignment="1">
      <alignment horizontal="right" vertical="center"/>
    </xf>
    <xf numFmtId="41" fontId="31" fillId="0" borderId="8" xfId="3" applyFont="1" applyBorder="1" applyAlignment="1">
      <alignment horizontal="right" vertical="center"/>
    </xf>
    <xf numFmtId="41" fontId="31" fillId="4" borderId="8" xfId="3" applyFont="1" applyFill="1" applyBorder="1" applyAlignment="1">
      <alignment horizontal="right" vertical="center"/>
    </xf>
    <xf numFmtId="41" fontId="31" fillId="5" borderId="55" xfId="3" applyFont="1" applyFill="1" applyBorder="1" applyAlignment="1">
      <alignment horizontal="center" vertical="center"/>
    </xf>
    <xf numFmtId="41" fontId="35" fillId="3" borderId="16" xfId="3" applyFont="1" applyFill="1" applyBorder="1" applyAlignment="1">
      <alignment horizontal="right" vertical="center"/>
    </xf>
    <xf numFmtId="41" fontId="31" fillId="15" borderId="9" xfId="3" applyFont="1" applyFill="1" applyBorder="1" applyAlignment="1">
      <alignment horizontal="right" vertical="center"/>
    </xf>
    <xf numFmtId="41" fontId="31" fillId="5" borderId="8" xfId="3" applyFont="1" applyFill="1" applyBorder="1" applyAlignment="1">
      <alignment horizontal="right" vertical="center"/>
    </xf>
    <xf numFmtId="0" fontId="31" fillId="0" borderId="0" xfId="0" applyFont="1" applyAlignment="1">
      <alignment vertical="center"/>
    </xf>
    <xf numFmtId="9" fontId="34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178" fontId="34" fillId="0" borderId="0" xfId="0" applyNumberFormat="1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horizontal="center" vertical="center"/>
    </xf>
    <xf numFmtId="0" fontId="35" fillId="0" borderId="22" xfId="0" applyFont="1" applyBorder="1" applyAlignment="1">
      <alignment horizontal="center" vertical="center"/>
    </xf>
    <xf numFmtId="0" fontId="35" fillId="0" borderId="23" xfId="0" applyFont="1" applyBorder="1" applyAlignment="1">
      <alignment horizontal="distributed" vertical="center"/>
    </xf>
    <xf numFmtId="0" fontId="35" fillId="0" borderId="23" xfId="0" applyFont="1" applyBorder="1" applyAlignment="1">
      <alignment horizontal="center" vertical="center"/>
    </xf>
    <xf numFmtId="178" fontId="35" fillId="0" borderId="24" xfId="0" applyNumberFormat="1" applyFont="1" applyBorder="1" applyAlignment="1">
      <alignment horizontal="center" vertical="center"/>
    </xf>
    <xf numFmtId="178" fontId="34" fillId="0" borderId="0" xfId="0" applyNumberFormat="1" applyFont="1" applyAlignment="1">
      <alignment horizontal="center" vertical="center"/>
    </xf>
    <xf numFmtId="178" fontId="36" fillId="3" borderId="9" xfId="0" applyNumberFormat="1" applyFont="1" applyFill="1" applyBorder="1" applyAlignment="1">
      <alignment horizontal="right" vertical="center"/>
    </xf>
    <xf numFmtId="178" fontId="38" fillId="3" borderId="18" xfId="0" applyNumberFormat="1" applyFont="1" applyFill="1" applyBorder="1" applyAlignment="1">
      <alignment horizontal="center" vertical="center"/>
    </xf>
    <xf numFmtId="0" fontId="37" fillId="0" borderId="3" xfId="0" applyFont="1" applyBorder="1" applyAlignment="1">
      <alignment horizontal="center" vertical="center"/>
    </xf>
    <xf numFmtId="0" fontId="37" fillId="0" borderId="4" xfId="0" applyFont="1" applyBorder="1" applyAlignment="1">
      <alignment horizontal="distributed" vertical="center"/>
    </xf>
    <xf numFmtId="178" fontId="36" fillId="0" borderId="4" xfId="0" applyNumberFormat="1" applyFont="1" applyBorder="1" applyAlignment="1">
      <alignment horizontal="right" vertical="center"/>
    </xf>
    <xf numFmtId="178" fontId="39" fillId="0" borderId="13" xfId="0" applyNumberFormat="1" applyFont="1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7" xfId="0" applyFont="1" applyBorder="1" applyAlignment="1">
      <alignment horizontal="distributed" vertical="center"/>
    </xf>
    <xf numFmtId="0" fontId="37" fillId="0" borderId="6" xfId="0" applyFont="1" applyBorder="1" applyAlignment="1">
      <alignment horizontal="distributed" vertical="center"/>
    </xf>
    <xf numFmtId="178" fontId="37" fillId="0" borderId="10" xfId="0" applyNumberFormat="1" applyFont="1" applyBorder="1" applyAlignment="1">
      <alignment horizontal="center" vertical="center"/>
    </xf>
    <xf numFmtId="178" fontId="37" fillId="0" borderId="7" xfId="0" applyNumberFormat="1" applyFont="1" applyBorder="1" applyAlignment="1">
      <alignment vertical="center"/>
    </xf>
    <xf numFmtId="0" fontId="37" fillId="0" borderId="7" xfId="0" applyFont="1" applyBorder="1" applyAlignment="1">
      <alignment horizontal="center" vertical="center"/>
    </xf>
    <xf numFmtId="178" fontId="37" fillId="0" borderId="7" xfId="0" applyNumberFormat="1" applyFont="1" applyBorder="1" applyAlignment="1">
      <alignment horizontal="right" vertical="center"/>
    </xf>
    <xf numFmtId="178" fontId="37" fillId="0" borderId="7" xfId="0" applyNumberFormat="1" applyFont="1" applyBorder="1" applyAlignment="1">
      <alignment horizontal="center" vertical="center"/>
    </xf>
    <xf numFmtId="178" fontId="37" fillId="0" borderId="6" xfId="0" applyNumberFormat="1" applyFont="1" applyBorder="1" applyAlignment="1">
      <alignment horizontal="right" vertical="center"/>
    </xf>
    <xf numFmtId="178" fontId="37" fillId="0" borderId="4" xfId="0" applyNumberFormat="1" applyFont="1" applyBorder="1" applyAlignment="1">
      <alignment horizontal="right" vertical="center"/>
    </xf>
    <xf numFmtId="0" fontId="37" fillId="0" borderId="28" xfId="0" applyFont="1" applyBorder="1" applyAlignment="1">
      <alignment horizontal="center" vertical="center"/>
    </xf>
    <xf numFmtId="0" fontId="37" fillId="0" borderId="29" xfId="0" applyFont="1" applyBorder="1" applyAlignment="1">
      <alignment horizontal="distributed" vertical="center"/>
    </xf>
    <xf numFmtId="0" fontId="37" fillId="0" borderId="30" xfId="0" applyFont="1" applyBorder="1" applyAlignment="1">
      <alignment horizontal="center" vertical="center"/>
    </xf>
    <xf numFmtId="0" fontId="37" fillId="0" borderId="31" xfId="0" applyFont="1" applyBorder="1" applyAlignment="1">
      <alignment horizontal="distributed" vertical="center"/>
    </xf>
    <xf numFmtId="0" fontId="37" fillId="0" borderId="12" xfId="0" applyFont="1" applyBorder="1" applyAlignment="1">
      <alignment horizontal="center" vertical="center"/>
    </xf>
    <xf numFmtId="0" fontId="37" fillId="0" borderId="9" xfId="0" applyFont="1" applyBorder="1" applyAlignment="1">
      <alignment horizontal="distributed" vertical="center"/>
    </xf>
    <xf numFmtId="0" fontId="37" fillId="0" borderId="57" xfId="0" applyFont="1" applyBorder="1" applyAlignment="1">
      <alignment horizontal="center" vertical="center"/>
    </xf>
    <xf numFmtId="0" fontId="37" fillId="0" borderId="59" xfId="0" applyFont="1" applyBorder="1" applyAlignment="1">
      <alignment horizontal="distributed" vertical="center"/>
    </xf>
    <xf numFmtId="0" fontId="37" fillId="0" borderId="58" xfId="0" applyFont="1" applyBorder="1" applyAlignment="1">
      <alignment horizontal="distributed" vertical="center"/>
    </xf>
    <xf numFmtId="0" fontId="37" fillId="0" borderId="67" xfId="0" applyFont="1" applyBorder="1" applyAlignment="1">
      <alignment horizontal="center" vertical="center"/>
    </xf>
    <xf numFmtId="0" fontId="37" fillId="0" borderId="68" xfId="0" applyFont="1" applyBorder="1" applyAlignment="1">
      <alignment horizontal="distributed" vertical="center"/>
    </xf>
    <xf numFmtId="0" fontId="37" fillId="0" borderId="66" xfId="0" applyFont="1" applyBorder="1" applyAlignment="1">
      <alignment horizontal="center" vertical="center"/>
    </xf>
    <xf numFmtId="0" fontId="37" fillId="0" borderId="43" xfId="0" applyFont="1" applyBorder="1" applyAlignment="1">
      <alignment horizontal="distributed" vertical="center"/>
    </xf>
    <xf numFmtId="0" fontId="37" fillId="0" borderId="19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57" xfId="0" applyFont="1" applyBorder="1" applyAlignment="1">
      <alignment horizontal="center" vertical="center" wrapText="1"/>
    </xf>
    <xf numFmtId="0" fontId="37" fillId="0" borderId="59" xfId="0" applyFont="1" applyBorder="1" applyAlignment="1">
      <alignment horizontal="center" vertical="center" wrapText="1"/>
    </xf>
    <xf numFmtId="0" fontId="37" fillId="0" borderId="58" xfId="0" applyFont="1" applyBorder="1" applyAlignment="1">
      <alignment horizontal="center" vertical="center" wrapText="1"/>
    </xf>
    <xf numFmtId="178" fontId="37" fillId="0" borderId="10" xfId="0" applyNumberFormat="1" applyFont="1" applyBorder="1" applyAlignment="1">
      <alignment horizontal="center" vertical="center" wrapText="1"/>
    </xf>
    <xf numFmtId="0" fontId="37" fillId="0" borderId="3" xfId="0" applyFont="1" applyBorder="1" applyAlignment="1">
      <alignment horizontal="distributed" vertical="center" wrapText="1"/>
    </xf>
    <xf numFmtId="0" fontId="37" fillId="0" borderId="4" xfId="0" applyFont="1" applyBorder="1" applyAlignment="1">
      <alignment horizontal="distributed" vertical="center" wrapText="1"/>
    </xf>
    <xf numFmtId="0" fontId="37" fillId="0" borderId="61" xfId="0" applyFont="1" applyBorder="1" applyAlignment="1">
      <alignment horizontal="center" vertical="center"/>
    </xf>
    <xf numFmtId="0" fontId="37" fillId="0" borderId="15" xfId="0" applyFont="1" applyBorder="1" applyAlignment="1">
      <alignment horizontal="distributed" vertical="center"/>
    </xf>
    <xf numFmtId="0" fontId="37" fillId="0" borderId="16" xfId="0" applyFont="1" applyBorder="1" applyAlignment="1">
      <alignment horizontal="distributed" vertical="center"/>
    </xf>
    <xf numFmtId="178" fontId="37" fillId="0" borderId="17" xfId="0" applyNumberFormat="1" applyFont="1" applyBorder="1" applyAlignment="1">
      <alignment horizontal="center" vertical="center"/>
    </xf>
    <xf numFmtId="178" fontId="37" fillId="0" borderId="15" xfId="0" applyNumberFormat="1" applyFont="1" applyBorder="1" applyAlignment="1">
      <alignment vertical="center"/>
    </xf>
    <xf numFmtId="0" fontId="37" fillId="0" borderId="15" xfId="0" applyFont="1" applyBorder="1" applyAlignment="1">
      <alignment horizontal="center" vertical="center"/>
    </xf>
    <xf numFmtId="178" fontId="37" fillId="0" borderId="15" xfId="0" applyNumberFormat="1" applyFont="1" applyBorder="1" applyAlignment="1">
      <alignment horizontal="right" vertical="center"/>
    </xf>
    <xf numFmtId="178" fontId="37" fillId="0" borderId="15" xfId="0" applyNumberFormat="1" applyFont="1" applyBorder="1" applyAlignment="1">
      <alignment horizontal="center" vertical="center"/>
    </xf>
    <xf numFmtId="178" fontId="37" fillId="0" borderId="16" xfId="0" applyNumberFormat="1" applyFont="1" applyBorder="1" applyAlignment="1">
      <alignment horizontal="right" vertical="center"/>
    </xf>
    <xf numFmtId="178" fontId="37" fillId="0" borderId="5" xfId="0" applyNumberFormat="1" applyFont="1" applyBorder="1" applyAlignment="1">
      <alignment horizontal="right" vertical="center"/>
    </xf>
    <xf numFmtId="178" fontId="39" fillId="0" borderId="14" xfId="0" applyNumberFormat="1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distributed" vertical="center"/>
    </xf>
    <xf numFmtId="178" fontId="39" fillId="0" borderId="0" xfId="0" applyNumberFormat="1" applyFont="1" applyAlignment="1">
      <alignment horizontal="center" vertical="center"/>
    </xf>
    <xf numFmtId="178" fontId="39" fillId="0" borderId="0" xfId="0" applyNumberFormat="1" applyFont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9" fontId="39" fillId="0" borderId="0" xfId="0" applyNumberFormat="1" applyFont="1" applyAlignment="1">
      <alignment horizontal="left" vertical="center"/>
    </xf>
    <xf numFmtId="178" fontId="39" fillId="0" borderId="0" xfId="0" applyNumberFormat="1" applyFont="1" applyAlignment="1">
      <alignment horizontal="left" vertical="center"/>
    </xf>
    <xf numFmtId="0" fontId="38" fillId="0" borderId="72" xfId="0" applyFont="1" applyBorder="1" applyAlignment="1">
      <alignment horizontal="center" vertical="center"/>
    </xf>
    <xf numFmtId="178" fontId="38" fillId="0" borderId="73" xfId="0" applyNumberFormat="1" applyFont="1" applyBorder="1" applyAlignment="1">
      <alignment horizontal="center" vertical="center"/>
    </xf>
    <xf numFmtId="0" fontId="38" fillId="0" borderId="73" xfId="0" applyFont="1" applyBorder="1" applyAlignment="1">
      <alignment horizontal="center" vertical="center"/>
    </xf>
    <xf numFmtId="178" fontId="38" fillId="0" borderId="94" xfId="0" applyNumberFormat="1" applyFont="1" applyBorder="1" applyAlignment="1">
      <alignment horizontal="center" vertical="center"/>
    </xf>
    <xf numFmtId="178" fontId="38" fillId="3" borderId="25" xfId="0" applyNumberFormat="1" applyFont="1" applyFill="1" applyBorder="1" applyAlignment="1">
      <alignment horizontal="center" vertical="center"/>
    </xf>
    <xf numFmtId="0" fontId="38" fillId="3" borderId="25" xfId="0" applyFont="1" applyFill="1" applyBorder="1" applyAlignment="1">
      <alignment horizontal="center" vertical="center"/>
    </xf>
    <xf numFmtId="178" fontId="38" fillId="3" borderId="25" xfId="0" applyNumberFormat="1" applyFont="1" applyFill="1" applyBorder="1" applyAlignment="1">
      <alignment horizontal="right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178" fontId="38" fillId="3" borderId="95" xfId="0" applyNumberFormat="1" applyFont="1" applyFill="1" applyBorder="1" applyAlignment="1">
      <alignment horizontal="center" vertical="center"/>
    </xf>
    <xf numFmtId="178" fontId="39" fillId="0" borderId="4" xfId="0" applyNumberFormat="1" applyFont="1" applyBorder="1" applyAlignment="1">
      <alignment horizontal="distributed" vertical="center"/>
    </xf>
    <xf numFmtId="0" fontId="39" fillId="0" borderId="4" xfId="0" applyFont="1" applyBorder="1" applyAlignment="1">
      <alignment horizontal="distributed" vertical="center"/>
    </xf>
    <xf numFmtId="178" fontId="39" fillId="0" borderId="4" xfId="0" applyNumberFormat="1" applyFont="1" applyBorder="1" applyAlignment="1">
      <alignment horizontal="right" vertical="center"/>
    </xf>
    <xf numFmtId="0" fontId="39" fillId="0" borderId="7" xfId="0" applyFont="1" applyBorder="1" applyAlignment="1">
      <alignment vertical="center"/>
    </xf>
    <xf numFmtId="0" fontId="39" fillId="0" borderId="6" xfId="0" applyFont="1" applyBorder="1" applyAlignment="1">
      <alignment vertical="center"/>
    </xf>
    <xf numFmtId="178" fontId="39" fillId="0" borderId="76" xfId="0" applyNumberFormat="1" applyFont="1" applyBorder="1" applyAlignment="1">
      <alignment horizontal="left" vertical="center"/>
    </xf>
    <xf numFmtId="178" fontId="34" fillId="0" borderId="0" xfId="0" applyNumberFormat="1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178" fontId="39" fillId="0" borderId="96" xfId="0" applyNumberFormat="1" applyFont="1" applyBorder="1" applyAlignment="1">
      <alignment horizontal="left" vertical="center"/>
    </xf>
    <xf numFmtId="178" fontId="39" fillId="0" borderId="4" xfId="0" applyNumberFormat="1" applyFont="1" applyBorder="1" applyAlignment="1">
      <alignment horizontal="center" vertical="center"/>
    </xf>
    <xf numFmtId="0" fontId="39" fillId="0" borderId="4" xfId="0" applyFont="1" applyBorder="1" applyAlignment="1">
      <alignment horizontal="center" vertical="center"/>
    </xf>
    <xf numFmtId="178" fontId="39" fillId="0" borderId="7" xfId="0" applyNumberFormat="1" applyFont="1" applyBorder="1">
      <alignment vertical="center"/>
    </xf>
    <xf numFmtId="178" fontId="39" fillId="0" borderId="7" xfId="0" applyNumberFormat="1" applyFont="1" applyBorder="1" applyAlignment="1">
      <alignment horizontal="center" vertical="center"/>
    </xf>
    <xf numFmtId="178" fontId="39" fillId="0" borderId="7" xfId="0" applyNumberFormat="1" applyFont="1" applyBorder="1" applyAlignment="1">
      <alignment horizontal="right" vertical="center"/>
    </xf>
    <xf numFmtId="9" fontId="39" fillId="0" borderId="7" xfId="0" applyNumberFormat="1" applyFont="1" applyBorder="1">
      <alignment vertical="center"/>
    </xf>
    <xf numFmtId="178" fontId="39" fillId="0" borderId="6" xfId="0" applyNumberFormat="1" applyFont="1" applyBorder="1">
      <alignment vertical="center"/>
    </xf>
    <xf numFmtId="178" fontId="39" fillId="0" borderId="4" xfId="0" applyNumberFormat="1" applyFont="1" applyBorder="1">
      <alignment vertical="center"/>
    </xf>
    <xf numFmtId="0" fontId="39" fillId="0" borderId="29" xfId="0" applyFont="1" applyBorder="1" applyAlignment="1">
      <alignment horizontal="distributed" vertical="center"/>
    </xf>
    <xf numFmtId="178" fontId="39" fillId="0" borderId="29" xfId="0" applyNumberFormat="1" applyFont="1" applyBorder="1" applyAlignment="1">
      <alignment horizontal="right" vertical="center"/>
    </xf>
    <xf numFmtId="178" fontId="39" fillId="0" borderId="7" xfId="0" applyNumberFormat="1" applyFont="1" applyBorder="1" applyAlignment="1">
      <alignment vertical="center"/>
    </xf>
    <xf numFmtId="0" fontId="39" fillId="0" borderId="5" xfId="0" applyFont="1" applyBorder="1" applyAlignment="1">
      <alignment horizontal="distributed" vertical="center"/>
    </xf>
    <xf numFmtId="178" fontId="39" fillId="0" borderId="5" xfId="0" applyNumberFormat="1" applyFont="1" applyBorder="1" applyAlignment="1">
      <alignment horizontal="center" vertical="center"/>
    </xf>
    <xf numFmtId="0" fontId="39" fillId="0" borderId="5" xfId="0" applyFont="1" applyBorder="1" applyAlignment="1">
      <alignment horizontal="center" vertical="center"/>
    </xf>
    <xf numFmtId="178" fontId="39" fillId="0" borderId="5" xfId="0" applyNumberFormat="1" applyFont="1" applyBorder="1" applyAlignment="1">
      <alignment horizontal="right" vertical="center"/>
    </xf>
    <xf numFmtId="178" fontId="39" fillId="0" borderId="15" xfId="0" applyNumberFormat="1" applyFont="1" applyBorder="1">
      <alignment vertical="center"/>
    </xf>
    <xf numFmtId="178" fontId="39" fillId="0" borderId="15" xfId="0" applyNumberFormat="1" applyFont="1" applyBorder="1" applyAlignment="1">
      <alignment horizontal="center" vertical="center"/>
    </xf>
    <xf numFmtId="178" fontId="39" fillId="0" borderId="15" xfId="0" applyNumberFormat="1" applyFont="1" applyBorder="1" applyAlignment="1">
      <alignment horizontal="right" vertical="center"/>
    </xf>
    <xf numFmtId="9" fontId="39" fillId="0" borderId="15" xfId="0" applyNumberFormat="1" applyFont="1" applyBorder="1">
      <alignment vertical="center"/>
    </xf>
    <xf numFmtId="178" fontId="39" fillId="0" borderId="16" xfId="0" applyNumberFormat="1" applyFont="1" applyBorder="1">
      <alignment vertical="center"/>
    </xf>
    <xf numFmtId="178" fontId="39" fillId="0" borderId="5" xfId="0" applyNumberFormat="1" applyFont="1" applyBorder="1">
      <alignment vertical="center"/>
    </xf>
    <xf numFmtId="178" fontId="39" fillId="0" borderId="97" xfId="0" applyNumberFormat="1" applyFont="1" applyBorder="1" applyAlignment="1">
      <alignment horizontal="left" vertical="center"/>
    </xf>
    <xf numFmtId="178" fontId="39" fillId="0" borderId="9" xfId="0" applyNumberFormat="1" applyFont="1" applyBorder="1" applyAlignment="1">
      <alignment horizontal="distributed" vertical="center"/>
    </xf>
    <xf numFmtId="0" fontId="39" fillId="0" borderId="9" xfId="0" applyFont="1" applyBorder="1" applyAlignment="1">
      <alignment horizontal="distributed" vertical="center"/>
    </xf>
    <xf numFmtId="178" fontId="39" fillId="0" borderId="9" xfId="0" applyNumberFormat="1" applyFont="1" applyBorder="1" applyAlignment="1">
      <alignment horizontal="right" vertical="center"/>
    </xf>
    <xf numFmtId="0" fontId="39" fillId="0" borderId="37" xfId="0" applyFont="1" applyBorder="1" applyAlignment="1">
      <alignment vertical="center"/>
    </xf>
    <xf numFmtId="0" fontId="39" fillId="0" borderId="43" xfId="0" applyFont="1" applyBorder="1" applyAlignment="1">
      <alignment vertical="center"/>
    </xf>
    <xf numFmtId="0" fontId="39" fillId="0" borderId="29" xfId="0" applyFont="1" applyBorder="1" applyAlignment="1">
      <alignment horizontal="distributed" vertical="center" wrapText="1"/>
    </xf>
    <xf numFmtId="178" fontId="39" fillId="0" borderId="91" xfId="0" applyNumberFormat="1" applyFont="1" applyBorder="1">
      <alignment vertical="center"/>
    </xf>
    <xf numFmtId="178" fontId="39" fillId="0" borderId="99" xfId="0" applyNumberFormat="1" applyFont="1" applyBorder="1" applyAlignment="1">
      <alignment horizontal="left" vertical="center"/>
    </xf>
    <xf numFmtId="178" fontId="39" fillId="0" borderId="160" xfId="0" applyNumberFormat="1" applyFont="1" applyBorder="1" applyAlignment="1">
      <alignment horizontal="distributed" vertical="center"/>
    </xf>
    <xf numFmtId="0" fontId="39" fillId="0" borderId="91" xfId="0" applyFont="1" applyBorder="1" applyAlignment="1">
      <alignment horizontal="distributed" vertical="center"/>
    </xf>
    <xf numFmtId="178" fontId="39" fillId="0" borderId="91" xfId="0" applyNumberFormat="1" applyFont="1" applyBorder="1" applyAlignment="1">
      <alignment horizontal="center" vertical="center"/>
    </xf>
    <xf numFmtId="0" fontId="39" fillId="0" borderId="91" xfId="0" applyFont="1" applyBorder="1" applyAlignment="1">
      <alignment horizontal="center" vertical="center"/>
    </xf>
    <xf numFmtId="178" fontId="39" fillId="0" borderId="91" xfId="0" applyNumberFormat="1" applyFont="1" applyBorder="1" applyAlignment="1">
      <alignment horizontal="right" vertical="center"/>
    </xf>
    <xf numFmtId="178" fontId="39" fillId="0" borderId="98" xfId="0" applyNumberFormat="1" applyFont="1" applyBorder="1">
      <alignment vertical="center"/>
    </xf>
    <xf numFmtId="178" fontId="39" fillId="0" borderId="98" xfId="0" applyNumberFormat="1" applyFont="1" applyBorder="1" applyAlignment="1">
      <alignment horizontal="center" vertical="center"/>
    </xf>
    <xf numFmtId="178" fontId="39" fillId="0" borderId="98" xfId="0" applyNumberFormat="1" applyFont="1" applyBorder="1" applyAlignment="1">
      <alignment horizontal="right" vertical="center"/>
    </xf>
    <xf numFmtId="9" fontId="39" fillId="0" borderId="98" xfId="0" applyNumberFormat="1" applyFont="1" applyBorder="1">
      <alignment vertical="center"/>
    </xf>
    <xf numFmtId="178" fontId="39" fillId="0" borderId="90" xfId="0" applyNumberFormat="1" applyFont="1" applyBorder="1">
      <alignment vertical="center"/>
    </xf>
    <xf numFmtId="178" fontId="39" fillId="0" borderId="0" xfId="0" applyNumberFormat="1" applyFont="1">
      <alignment vertical="center"/>
    </xf>
    <xf numFmtId="9" fontId="39" fillId="0" borderId="0" xfId="0" applyNumberFormat="1" applyFont="1">
      <alignment vertical="center"/>
    </xf>
    <xf numFmtId="178" fontId="39" fillId="0" borderId="59" xfId="0" applyNumberFormat="1" applyFont="1" applyBorder="1">
      <alignment vertical="center"/>
    </xf>
    <xf numFmtId="178" fontId="39" fillId="0" borderId="59" xfId="0" applyNumberFormat="1" applyFont="1" applyBorder="1" applyAlignment="1">
      <alignment horizontal="center" vertical="center"/>
    </xf>
    <xf numFmtId="178" fontId="39" fillId="0" borderId="59" xfId="0" applyNumberFormat="1" applyFont="1" applyBorder="1" applyAlignment="1">
      <alignment horizontal="right" vertical="center"/>
    </xf>
    <xf numFmtId="9" fontId="39" fillId="0" borderId="59" xfId="0" applyNumberFormat="1" applyFont="1" applyBorder="1">
      <alignment vertical="center"/>
    </xf>
    <xf numFmtId="178" fontId="39" fillId="0" borderId="58" xfId="0" applyNumberFormat="1" applyFont="1" applyBorder="1">
      <alignment vertical="center"/>
    </xf>
    <xf numFmtId="0" fontId="39" fillId="0" borderId="60" xfId="0" applyFont="1" applyBorder="1" applyAlignment="1">
      <alignment horizontal="center" vertical="center"/>
    </xf>
    <xf numFmtId="0" fontId="39" fillId="0" borderId="60" xfId="0" applyFont="1" applyBorder="1" applyAlignment="1">
      <alignment horizontal="distributed" vertical="center"/>
    </xf>
    <xf numFmtId="178" fontId="39" fillId="0" borderId="60" xfId="0" applyNumberFormat="1" applyFont="1" applyBorder="1" applyAlignment="1">
      <alignment horizontal="center" vertical="center"/>
    </xf>
    <xf numFmtId="178" fontId="39" fillId="0" borderId="60" xfId="0" applyNumberFormat="1" applyFont="1" applyBorder="1" applyAlignment="1">
      <alignment horizontal="right" vertical="center"/>
    </xf>
    <xf numFmtId="178" fontId="39" fillId="0" borderId="60" xfId="0" applyNumberFormat="1" applyFont="1" applyBorder="1">
      <alignment vertical="center"/>
    </xf>
    <xf numFmtId="9" fontId="39" fillId="0" borderId="60" xfId="0" applyNumberFormat="1" applyFont="1" applyBorder="1">
      <alignment vertical="center"/>
    </xf>
    <xf numFmtId="178" fontId="39" fillId="0" borderId="60" xfId="0" applyNumberFormat="1" applyFont="1" applyBorder="1" applyAlignment="1">
      <alignment horizontal="left" vertical="center"/>
    </xf>
    <xf numFmtId="41" fontId="35" fillId="6" borderId="74" xfId="3" applyFont="1" applyFill="1" applyBorder="1" applyAlignment="1">
      <alignment horizontal="center" vertical="center"/>
    </xf>
    <xf numFmtId="41" fontId="35" fillId="6" borderId="75" xfId="3" applyFont="1" applyFill="1" applyBorder="1" applyAlignment="1">
      <alignment horizontal="center" vertical="center"/>
    </xf>
    <xf numFmtId="41" fontId="35" fillId="2" borderId="42" xfId="3" applyFont="1" applyFill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9" fillId="0" borderId="0" xfId="0" applyFont="1" applyAlignment="1">
      <alignment vertical="center"/>
    </xf>
    <xf numFmtId="0" fontId="38" fillId="0" borderId="0" xfId="0" applyFont="1">
      <alignment vertical="center"/>
    </xf>
    <xf numFmtId="181" fontId="38" fillId="0" borderId="0" xfId="0" applyNumberFormat="1" applyFont="1" applyAlignment="1">
      <alignment horizontal="center" vertical="center"/>
    </xf>
    <xf numFmtId="0" fontId="33" fillId="0" borderId="0" xfId="0" applyFont="1">
      <alignment vertical="center"/>
    </xf>
    <xf numFmtId="0" fontId="38" fillId="0" borderId="0" xfId="0" applyFont="1" applyAlignment="1">
      <alignment horizontal="center" vertical="center" shrinkToFit="1"/>
    </xf>
    <xf numFmtId="0" fontId="31" fillId="0" borderId="0" xfId="0" applyFont="1" applyAlignment="1">
      <alignment horizontal="right" vertical="center"/>
    </xf>
    <xf numFmtId="0" fontId="35" fillId="0" borderId="0" xfId="0" applyFont="1">
      <alignment vertical="center"/>
    </xf>
    <xf numFmtId="0" fontId="35" fillId="0" borderId="0" xfId="0" applyFont="1" applyAlignment="1">
      <alignment horizontal="center" vertical="center"/>
    </xf>
    <xf numFmtId="0" fontId="35" fillId="0" borderId="150" xfId="0" applyFont="1" applyBorder="1" applyAlignment="1">
      <alignment horizontal="center" vertical="center" shrinkToFit="1"/>
    </xf>
    <xf numFmtId="0" fontId="35" fillId="0" borderId="20" xfId="0" applyFont="1" applyBorder="1" applyAlignment="1">
      <alignment horizontal="center" vertical="center" shrinkToFit="1"/>
    </xf>
    <xf numFmtId="0" fontId="35" fillId="0" borderId="45" xfId="0" applyFont="1" applyBorder="1" applyAlignment="1">
      <alignment horizontal="center" vertical="center" shrinkToFit="1"/>
    </xf>
    <xf numFmtId="177" fontId="35" fillId="0" borderId="9" xfId="0" applyNumberFormat="1" applyFont="1" applyBorder="1" applyAlignment="1">
      <alignment horizontal="center" vertical="center" shrinkToFit="1"/>
    </xf>
    <xf numFmtId="41" fontId="35" fillId="0" borderId="9" xfId="3" applyFont="1" applyBorder="1" applyAlignment="1">
      <alignment horizontal="center" vertical="center" shrinkToFit="1"/>
    </xf>
    <xf numFmtId="177" fontId="35" fillId="0" borderId="51" xfId="0" applyNumberFormat="1" applyFont="1" applyBorder="1" applyAlignment="1">
      <alignment horizontal="center" vertical="center" shrinkToFit="1"/>
    </xf>
    <xf numFmtId="177" fontId="35" fillId="0" borderId="9" xfId="0" applyNumberFormat="1" applyFont="1" applyBorder="1" applyAlignment="1">
      <alignment horizontal="right" vertical="center" shrinkToFit="1"/>
    </xf>
    <xf numFmtId="177" fontId="35" fillId="0" borderId="76" xfId="0" applyNumberFormat="1" applyFont="1" applyBorder="1" applyAlignment="1">
      <alignment horizontal="right" vertical="center" shrinkToFit="1"/>
    </xf>
    <xf numFmtId="0" fontId="36" fillId="0" borderId="0" xfId="0" applyFont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1" fillId="0" borderId="4" xfId="0" applyNumberFormat="1" applyFont="1" applyBorder="1" applyAlignment="1">
      <alignment horizontal="right" vertical="center" shrinkToFit="1"/>
    </xf>
    <xf numFmtId="41" fontId="31" fillId="0" borderId="4" xfId="3" applyFont="1" applyBorder="1" applyAlignment="1">
      <alignment horizontal="center" vertical="center" shrinkToFit="1"/>
    </xf>
    <xf numFmtId="177" fontId="31" fillId="0" borderId="52" xfId="0" applyNumberFormat="1" applyFont="1" applyBorder="1" applyAlignment="1">
      <alignment horizontal="right" vertical="center" shrinkToFit="1"/>
    </xf>
    <xf numFmtId="0" fontId="31" fillId="0" borderId="47" xfId="0" applyFont="1" applyBorder="1" applyAlignment="1">
      <alignment horizontal="center" vertical="center" shrinkToFit="1"/>
    </xf>
    <xf numFmtId="177" fontId="31" fillId="0" borderId="96" xfId="0" applyNumberFormat="1" applyFont="1" applyBorder="1" applyAlignment="1">
      <alignment horizontal="right" vertical="center" shrinkToFit="1"/>
    </xf>
    <xf numFmtId="0" fontId="37" fillId="0" borderId="0" xfId="0" applyFont="1">
      <alignment vertical="center"/>
    </xf>
    <xf numFmtId="0" fontId="31" fillId="0" borderId="48" xfId="0" applyFont="1" applyBorder="1" applyAlignment="1">
      <alignment horizontal="center" vertical="center" shrinkToFit="1"/>
    </xf>
    <xf numFmtId="177" fontId="31" fillId="0" borderId="96" xfId="0" applyNumberFormat="1" applyFont="1" applyBorder="1" applyAlignment="1">
      <alignment horizontal="left" vertical="center" shrinkToFit="1"/>
    </xf>
    <xf numFmtId="0" fontId="37" fillId="0" borderId="13" xfId="0" applyFont="1" applyBorder="1" applyAlignment="1">
      <alignment vertical="center" wrapText="1"/>
    </xf>
    <xf numFmtId="0" fontId="31" fillId="0" borderId="46" xfId="0" applyFont="1" applyBorder="1" applyAlignment="1">
      <alignment horizontal="center" vertical="center" shrinkToFit="1"/>
    </xf>
    <xf numFmtId="0" fontId="31" fillId="0" borderId="29" xfId="0" applyFont="1" applyBorder="1" applyAlignment="1">
      <alignment horizontal="center" vertical="center" shrinkToFit="1"/>
    </xf>
    <xf numFmtId="0" fontId="31" fillId="0" borderId="31" xfId="0" applyFont="1" applyBorder="1" applyAlignment="1">
      <alignment horizontal="center" vertical="center" shrinkToFit="1"/>
    </xf>
    <xf numFmtId="177" fontId="31" fillId="0" borderId="4" xfId="0" applyNumberFormat="1" applyFont="1" applyFill="1" applyBorder="1" applyAlignment="1">
      <alignment horizontal="right" vertical="center" shrinkToFit="1"/>
    </xf>
    <xf numFmtId="0" fontId="31" fillId="0" borderId="46" xfId="0" applyFont="1" applyFill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wrapText="1" shrinkToFit="1"/>
    </xf>
    <xf numFmtId="0" fontId="31" fillId="0" borderId="9" xfId="0" applyFont="1" applyBorder="1" applyAlignment="1">
      <alignment horizontal="center" vertical="center" shrinkToFit="1"/>
    </xf>
    <xf numFmtId="177" fontId="31" fillId="0" borderId="96" xfId="0" applyNumberFormat="1" applyFont="1" applyBorder="1" applyAlignment="1">
      <alignment horizontal="left" vertical="center" wrapText="1" shrinkToFit="1"/>
    </xf>
    <xf numFmtId="177" fontId="31" fillId="0" borderId="4" xfId="0" applyNumberFormat="1" applyFont="1" applyBorder="1" applyAlignment="1">
      <alignment vertical="center" shrinkToFit="1"/>
    </xf>
    <xf numFmtId="177" fontId="31" fillId="0" borderId="52" xfId="0" applyNumberFormat="1" applyFont="1" applyBorder="1" applyAlignment="1">
      <alignment vertical="center" shrinkToFit="1"/>
    </xf>
    <xf numFmtId="177" fontId="31" fillId="0" borderId="52" xfId="0" applyNumberFormat="1" applyFont="1" applyBorder="1" applyAlignment="1">
      <alignment vertical="center" wrapText="1" shrinkToFit="1"/>
    </xf>
    <xf numFmtId="0" fontId="36" fillId="0" borderId="0" xfId="0" applyFont="1">
      <alignment vertical="center"/>
    </xf>
    <xf numFmtId="0" fontId="31" fillId="0" borderId="49" xfId="0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center" vertical="center" shrinkToFit="1"/>
    </xf>
    <xf numFmtId="177" fontId="31" fillId="0" borderId="5" xfId="0" applyNumberFormat="1" applyFont="1" applyBorder="1" applyAlignment="1">
      <alignment vertical="center" shrinkToFit="1"/>
    </xf>
    <xf numFmtId="41" fontId="31" fillId="0" borderId="5" xfId="3" applyFont="1" applyBorder="1" applyAlignment="1">
      <alignment horizontal="center" vertical="center" shrinkToFit="1"/>
    </xf>
    <xf numFmtId="177" fontId="31" fillId="0" borderId="171" xfId="0" applyNumberFormat="1" applyFont="1" applyBorder="1" applyAlignment="1">
      <alignment vertical="center" shrinkToFit="1"/>
    </xf>
    <xf numFmtId="0" fontId="31" fillId="0" borderId="50" xfId="0" applyFont="1" applyBorder="1" applyAlignment="1">
      <alignment horizontal="center" vertical="center" shrinkToFit="1"/>
    </xf>
    <xf numFmtId="0" fontId="31" fillId="0" borderId="33" xfId="0" applyFont="1" applyBorder="1" applyAlignment="1">
      <alignment horizontal="center" vertical="center" shrinkToFit="1"/>
    </xf>
    <xf numFmtId="177" fontId="31" fillId="0" borderId="5" xfId="0" applyNumberFormat="1" applyFont="1" applyBorder="1" applyAlignment="1">
      <alignment horizontal="right" vertical="center" shrinkToFit="1"/>
    </xf>
    <xf numFmtId="177" fontId="31" fillId="0" borderId="9" xfId="0" applyNumberFormat="1" applyFont="1" applyBorder="1" applyAlignment="1">
      <alignment vertical="center" shrinkToFit="1"/>
    </xf>
    <xf numFmtId="41" fontId="31" fillId="0" borderId="9" xfId="3" applyFont="1" applyBorder="1" applyAlignment="1">
      <alignment horizontal="center" vertical="center" shrinkToFit="1"/>
    </xf>
    <xf numFmtId="177" fontId="31" fillId="0" borderId="51" xfId="0" applyNumberFormat="1" applyFont="1" applyBorder="1" applyAlignment="1">
      <alignment vertical="center" shrinkToFit="1"/>
    </xf>
    <xf numFmtId="177" fontId="31" fillId="0" borderId="9" xfId="0" applyNumberFormat="1" applyFont="1" applyBorder="1" applyAlignment="1">
      <alignment horizontal="right" vertical="center" shrinkToFit="1"/>
    </xf>
    <xf numFmtId="177" fontId="39" fillId="0" borderId="7" xfId="0" applyNumberFormat="1" applyFont="1" applyBorder="1" applyAlignment="1">
      <alignment horizontal="left" vertical="center" shrinkToFit="1"/>
    </xf>
    <xf numFmtId="177" fontId="39" fillId="0" borderId="11" xfId="0" applyNumberFormat="1" applyFont="1" applyBorder="1" applyAlignment="1">
      <alignment horizontal="left" vertical="center" shrinkToFit="1"/>
    </xf>
    <xf numFmtId="177" fontId="31" fillId="0" borderId="29" xfId="0" applyNumberFormat="1" applyFont="1" applyBorder="1" applyAlignment="1">
      <alignment vertical="center" shrinkToFit="1"/>
    </xf>
    <xf numFmtId="0" fontId="31" fillId="0" borderId="29" xfId="0" applyFont="1" applyBorder="1" applyAlignment="1">
      <alignment vertical="center" shrinkToFit="1"/>
    </xf>
    <xf numFmtId="0" fontId="31" fillId="0" borderId="31" xfId="0" applyFont="1" applyBorder="1" applyAlignment="1">
      <alignment vertical="center" shrinkToFit="1"/>
    </xf>
    <xf numFmtId="0" fontId="31" fillId="0" borderId="53" xfId="0" applyFont="1" applyBorder="1" applyAlignment="1">
      <alignment vertical="center" shrinkToFit="1"/>
    </xf>
    <xf numFmtId="0" fontId="31" fillId="0" borderId="140" xfId="0" applyFont="1" applyBorder="1" applyAlignment="1">
      <alignment horizontal="center" vertical="center" shrinkToFit="1"/>
    </xf>
    <xf numFmtId="0" fontId="31" fillId="0" borderId="141" xfId="0" applyFont="1" applyBorder="1" applyAlignment="1">
      <alignment horizontal="center" vertical="center" shrinkToFit="1"/>
    </xf>
    <xf numFmtId="0" fontId="31" fillId="0" borderId="142" xfId="0" applyFont="1" applyBorder="1" applyAlignment="1">
      <alignment horizontal="center" vertical="center" shrinkToFit="1"/>
    </xf>
    <xf numFmtId="177" fontId="31" fillId="0" borderId="91" xfId="0" applyNumberFormat="1" applyFont="1" applyBorder="1" applyAlignment="1">
      <alignment horizontal="right" vertical="center" shrinkToFit="1"/>
    </xf>
    <xf numFmtId="41" fontId="31" fillId="0" borderId="91" xfId="3" applyFont="1" applyBorder="1" applyAlignment="1">
      <alignment horizontal="center" vertical="center" shrinkToFit="1"/>
    </xf>
    <xf numFmtId="177" fontId="31" fillId="0" borderId="99" xfId="0" applyNumberFormat="1" applyFont="1" applyBorder="1" applyAlignment="1">
      <alignment horizontal="left" vertical="center" wrapText="1" shrinkToFit="1"/>
    </xf>
    <xf numFmtId="0" fontId="37" fillId="0" borderId="0" xfId="0" applyFont="1" applyAlignment="1">
      <alignment horizontal="center" vertical="center" shrinkToFit="1"/>
    </xf>
    <xf numFmtId="0" fontId="39" fillId="0" borderId="0" xfId="0" applyFont="1" applyAlignment="1">
      <alignment horizontal="center" vertical="center" shrinkToFit="1"/>
    </xf>
    <xf numFmtId="0" fontId="39" fillId="0" borderId="0" xfId="0" applyFont="1" applyAlignment="1">
      <alignment vertical="center" shrinkToFit="1"/>
    </xf>
    <xf numFmtId="181" fontId="37" fillId="0" borderId="0" xfId="0" applyNumberFormat="1" applyFont="1" applyAlignment="1">
      <alignment horizontal="center" vertical="center" shrinkToFit="1"/>
    </xf>
    <xf numFmtId="181" fontId="39" fillId="0" borderId="0" xfId="0" applyNumberFormat="1" applyFont="1" applyAlignment="1">
      <alignment horizontal="center" vertical="center" shrinkToFit="1"/>
    </xf>
    <xf numFmtId="0" fontId="39" fillId="0" borderId="0" xfId="0" applyFont="1">
      <alignment vertical="center"/>
    </xf>
    <xf numFmtId="181" fontId="39" fillId="0" borderId="0" xfId="0" applyNumberFormat="1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shrinkToFit="1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right" vertical="center"/>
    </xf>
    <xf numFmtId="0" fontId="33" fillId="7" borderId="161" xfId="0" applyFont="1" applyFill="1" applyBorder="1" applyAlignment="1">
      <alignment horizontal="center" vertical="center"/>
    </xf>
    <xf numFmtId="0" fontId="47" fillId="0" borderId="144" xfId="0" applyFont="1" applyBorder="1" applyAlignment="1">
      <alignment horizontal="center" vertical="center"/>
    </xf>
    <xf numFmtId="178" fontId="32" fillId="0" borderId="8" xfId="0" applyNumberFormat="1" applyFont="1" applyBorder="1" applyAlignment="1">
      <alignment horizontal="distributed" vertical="center" shrinkToFit="1"/>
    </xf>
    <xf numFmtId="178" fontId="32" fillId="0" borderId="8" xfId="0" applyNumberFormat="1" applyFont="1" applyBorder="1" applyAlignment="1">
      <alignment horizontal="right" vertical="center"/>
    </xf>
    <xf numFmtId="178" fontId="32" fillId="0" borderId="8" xfId="0" applyNumberFormat="1" applyFont="1" applyBorder="1" applyAlignment="1">
      <alignment horizontal="distributed" vertical="center" indent="1"/>
    </xf>
    <xf numFmtId="178" fontId="32" fillId="0" borderId="145" xfId="0" applyNumberFormat="1" applyFont="1" applyBorder="1" applyAlignment="1">
      <alignment horizontal="right" vertical="center"/>
    </xf>
    <xf numFmtId="0" fontId="48" fillId="0" borderId="130" xfId="0" applyFont="1" applyBorder="1" applyAlignment="1">
      <alignment horizontal="center" vertical="center"/>
    </xf>
    <xf numFmtId="178" fontId="31" fillId="0" borderId="4" xfId="0" applyNumberFormat="1" applyFont="1" applyBorder="1" applyAlignment="1">
      <alignment horizontal="distributed" vertical="center" shrinkToFit="1"/>
    </xf>
    <xf numFmtId="178" fontId="34" fillId="0" borderId="4" xfId="0" applyNumberFormat="1" applyFont="1" applyBorder="1" applyAlignment="1">
      <alignment horizontal="right" vertical="center"/>
    </xf>
    <xf numFmtId="0" fontId="34" fillId="0" borderId="4" xfId="0" applyFont="1" applyBorder="1" applyAlignment="1">
      <alignment horizontal="distributed" vertical="center" indent="1"/>
    </xf>
    <xf numFmtId="178" fontId="34" fillId="0" borderId="96" xfId="0" applyNumberFormat="1" applyFont="1" applyBorder="1" applyAlignment="1">
      <alignment horizontal="right" vertical="center"/>
    </xf>
    <xf numFmtId="0" fontId="48" fillId="0" borderId="78" xfId="0" applyFont="1" applyBorder="1" applyAlignment="1">
      <alignment horizontal="center" vertical="center"/>
    </xf>
    <xf numFmtId="178" fontId="34" fillId="0" borderId="4" xfId="0" applyNumberFormat="1" applyFont="1" applyBorder="1" applyAlignment="1">
      <alignment horizontal="distributed" vertical="center" shrinkToFit="1"/>
    </xf>
    <xf numFmtId="178" fontId="34" fillId="0" borderId="4" xfId="0" applyNumberFormat="1" applyFont="1" applyBorder="1" applyAlignment="1">
      <alignment horizontal="distributed" vertical="center" indent="1"/>
    </xf>
    <xf numFmtId="178" fontId="34" fillId="0" borderId="29" xfId="0" applyNumberFormat="1" applyFont="1" applyBorder="1" applyAlignment="1">
      <alignment horizontal="distributed" vertical="center" indent="1"/>
    </xf>
    <xf numFmtId="0" fontId="48" fillId="0" borderId="79" xfId="0" applyFont="1" applyBorder="1" applyAlignment="1">
      <alignment horizontal="center" vertical="center"/>
    </xf>
    <xf numFmtId="178" fontId="34" fillId="0" borderId="5" xfId="0" quotePrefix="1" applyNumberFormat="1" applyFont="1" applyBorder="1" applyAlignment="1">
      <alignment horizontal="distributed" vertical="center" shrinkToFit="1"/>
    </xf>
    <xf numFmtId="178" fontId="34" fillId="0" borderId="5" xfId="0" quotePrefix="1" applyNumberFormat="1" applyFont="1" applyBorder="1" applyAlignment="1">
      <alignment horizontal="right" vertical="center"/>
    </xf>
    <xf numFmtId="178" fontId="34" fillId="0" borderId="5" xfId="0" applyNumberFormat="1" applyFont="1" applyBorder="1" applyAlignment="1">
      <alignment horizontal="distributed" vertical="center" indent="1"/>
    </xf>
    <xf numFmtId="178" fontId="34" fillId="0" borderId="97" xfId="0" applyNumberFormat="1" applyFont="1" applyBorder="1" applyAlignment="1">
      <alignment horizontal="right" vertical="center"/>
    </xf>
    <xf numFmtId="178" fontId="34" fillId="0" borderId="9" xfId="0" applyNumberFormat="1" applyFont="1" applyBorder="1" applyAlignment="1">
      <alignment horizontal="distributed" vertical="center" shrinkToFit="1"/>
    </xf>
    <xf numFmtId="178" fontId="34" fillId="0" borderId="9" xfId="0" applyNumberFormat="1" applyFont="1" applyBorder="1" applyAlignment="1">
      <alignment horizontal="right" vertical="center"/>
    </xf>
    <xf numFmtId="178" fontId="31" fillId="0" borderId="9" xfId="0" applyNumberFormat="1" applyFont="1" applyBorder="1" applyAlignment="1">
      <alignment horizontal="distributed" vertical="center" indent="1"/>
    </xf>
    <xf numFmtId="178" fontId="34" fillId="0" borderId="76" xfId="0" applyNumberFormat="1" applyFont="1" applyBorder="1" applyAlignment="1">
      <alignment horizontal="right" vertical="center"/>
    </xf>
    <xf numFmtId="178" fontId="34" fillId="0" borderId="31" xfId="0" applyNumberFormat="1" applyFont="1" applyBorder="1" applyAlignment="1">
      <alignment horizontal="distributed" vertical="center" shrinkToFit="1"/>
    </xf>
    <xf numFmtId="178" fontId="34" fillId="0" borderId="31" xfId="0" applyNumberFormat="1" applyFont="1" applyBorder="1" applyAlignment="1">
      <alignment horizontal="right" vertical="center"/>
    </xf>
    <xf numFmtId="178" fontId="39" fillId="0" borderId="29" xfId="0" applyNumberFormat="1" applyFont="1" applyBorder="1" applyAlignment="1">
      <alignment horizontal="distributed" vertical="center" indent="1"/>
    </xf>
    <xf numFmtId="178" fontId="34" fillId="0" borderId="143" xfId="0" applyNumberFormat="1" applyFont="1" applyBorder="1" applyAlignment="1">
      <alignment horizontal="right" vertical="center"/>
    </xf>
    <xf numFmtId="178" fontId="37" fillId="0" borderId="4" xfId="0" applyNumberFormat="1" applyFont="1" applyBorder="1" applyAlignment="1">
      <alignment horizontal="distributed" vertical="center" wrapText="1" indent="1"/>
    </xf>
    <xf numFmtId="178" fontId="34" fillId="0" borderId="4" xfId="0" applyNumberFormat="1" applyFont="1" applyBorder="1" applyAlignment="1">
      <alignment horizontal="distributed" vertical="center" wrapText="1" indent="1"/>
    </xf>
    <xf numFmtId="178" fontId="34" fillId="0" borderId="4" xfId="0" quotePrefix="1" applyNumberFormat="1" applyFont="1" applyBorder="1" applyAlignment="1">
      <alignment horizontal="distributed" vertical="center" shrinkToFit="1"/>
    </xf>
    <xf numFmtId="178" fontId="34" fillId="0" borderId="4" xfId="0" quotePrefix="1" applyNumberFormat="1" applyFont="1" applyBorder="1" applyAlignment="1">
      <alignment horizontal="right" vertical="center"/>
    </xf>
    <xf numFmtId="0" fontId="48" fillId="0" borderId="140" xfId="0" applyFont="1" applyBorder="1" applyAlignment="1">
      <alignment horizontal="center" vertical="center"/>
    </xf>
    <xf numFmtId="178" fontId="34" fillId="0" borderId="91" xfId="0" applyNumberFormat="1" applyFont="1" applyBorder="1" applyAlignment="1">
      <alignment horizontal="distributed" vertical="center" shrinkToFit="1"/>
    </xf>
    <xf numFmtId="178" fontId="34" fillId="0" borderId="91" xfId="0" applyNumberFormat="1" applyFont="1" applyBorder="1" applyAlignment="1">
      <alignment horizontal="right" vertical="center"/>
    </xf>
    <xf numFmtId="178" fontId="34" fillId="0" borderId="91" xfId="0" applyNumberFormat="1" applyFont="1" applyBorder="1" applyAlignment="1">
      <alignment horizontal="distributed" vertical="center" indent="1"/>
    </xf>
    <xf numFmtId="178" fontId="34" fillId="0" borderId="99" xfId="0" applyNumberFormat="1" applyFont="1" applyBorder="1" applyAlignment="1">
      <alignment horizontal="right" vertical="center"/>
    </xf>
    <xf numFmtId="178" fontId="34" fillId="0" borderId="141" xfId="0" applyNumberFormat="1" applyFont="1" applyBorder="1" applyAlignment="1">
      <alignment horizontal="distributed" vertical="center" shrinkToFit="1"/>
    </xf>
    <xf numFmtId="178" fontId="34" fillId="0" borderId="141" xfId="0" applyNumberFormat="1" applyFont="1" applyBorder="1" applyAlignment="1">
      <alignment horizontal="right" vertical="center"/>
    </xf>
    <xf numFmtId="178" fontId="34" fillId="0" borderId="141" xfId="0" applyNumberFormat="1" applyFont="1" applyBorder="1" applyAlignment="1">
      <alignment horizontal="distributed" vertical="center" wrapText="1" indent="1"/>
    </xf>
    <xf numFmtId="178" fontId="34" fillId="0" borderId="146" xfId="0" applyNumberFormat="1" applyFont="1" applyBorder="1" applyAlignment="1">
      <alignment horizontal="right" vertical="center"/>
    </xf>
    <xf numFmtId="0" fontId="48" fillId="0" borderId="30" xfId="0" applyFont="1" applyBorder="1" applyAlignment="1">
      <alignment horizontal="center" vertical="center"/>
    </xf>
    <xf numFmtId="178" fontId="34" fillId="0" borderId="9" xfId="0" applyNumberFormat="1" applyFont="1" applyBorder="1" applyAlignment="1">
      <alignment horizontal="distributed" vertical="center" indent="1"/>
    </xf>
    <xf numFmtId="178" fontId="34" fillId="0" borderId="18" xfId="0" applyNumberFormat="1" applyFont="1" applyBorder="1" applyAlignment="1">
      <alignment horizontal="right" vertical="center"/>
    </xf>
    <xf numFmtId="0" fontId="48" fillId="0" borderId="32" xfId="0" applyFont="1" applyBorder="1" applyAlignment="1">
      <alignment horizontal="center" vertical="center"/>
    </xf>
    <xf numFmtId="178" fontId="34" fillId="0" borderId="33" xfId="0" applyNumberFormat="1" applyFont="1" applyBorder="1" applyAlignment="1">
      <alignment horizontal="distributed" vertical="center" shrinkToFit="1"/>
    </xf>
    <xf numFmtId="178" fontId="34" fillId="0" borderId="33" xfId="0" applyNumberFormat="1" applyFont="1" applyBorder="1" applyAlignment="1">
      <alignment horizontal="right" vertical="center"/>
    </xf>
    <xf numFmtId="178" fontId="34" fillId="0" borderId="14" xfId="0" applyNumberFormat="1" applyFont="1" applyBorder="1" applyAlignment="1">
      <alignment horizontal="right" vertical="center"/>
    </xf>
    <xf numFmtId="0" fontId="41" fillId="0" borderId="0" xfId="0" applyFont="1">
      <alignment vertical="center"/>
    </xf>
    <xf numFmtId="177" fontId="38" fillId="0" borderId="0" xfId="0" applyNumberFormat="1" applyFont="1">
      <alignment vertical="center"/>
    </xf>
    <xf numFmtId="177" fontId="35" fillId="0" borderId="0" xfId="0" applyNumberFormat="1" applyFont="1">
      <alignment vertical="center"/>
    </xf>
    <xf numFmtId="38" fontId="33" fillId="0" borderId="0" xfId="0" applyNumberFormat="1" applyFont="1" applyAlignment="1">
      <alignment vertical="center" shrinkToFit="1"/>
    </xf>
    <xf numFmtId="0" fontId="33" fillId="0" borderId="0" xfId="0" applyFont="1" applyBorder="1">
      <alignment vertical="center"/>
    </xf>
    <xf numFmtId="38" fontId="33" fillId="0" borderId="0" xfId="0" applyNumberFormat="1" applyFont="1" applyBorder="1" applyAlignment="1">
      <alignment vertical="center" shrinkToFit="1"/>
    </xf>
    <xf numFmtId="0" fontId="32" fillId="0" borderId="0" xfId="0" applyFont="1" applyBorder="1">
      <alignment vertical="center"/>
    </xf>
    <xf numFmtId="10" fontId="32" fillId="0" borderId="0" xfId="0" applyNumberFormat="1" applyFont="1" applyBorder="1" applyAlignment="1">
      <alignment vertical="center" shrinkToFit="1"/>
    </xf>
    <xf numFmtId="10" fontId="32" fillId="0" borderId="0" xfId="0" applyNumberFormat="1" applyFont="1" applyBorder="1">
      <alignment vertical="center"/>
    </xf>
    <xf numFmtId="0" fontId="32" fillId="0" borderId="0" xfId="0" applyFont="1">
      <alignment vertical="center"/>
    </xf>
    <xf numFmtId="0" fontId="32" fillId="0" borderId="0" xfId="0" applyFont="1" applyBorder="1" applyAlignment="1">
      <alignment horizontal="center" vertical="center"/>
    </xf>
    <xf numFmtId="38" fontId="32" fillId="0" borderId="0" xfId="0" applyNumberFormat="1" applyFont="1" applyBorder="1" applyAlignment="1">
      <alignment horizontal="center" vertical="center" shrinkToFit="1"/>
    </xf>
    <xf numFmtId="0" fontId="32" fillId="0" borderId="0" xfId="0" applyFont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20" xfId="0" applyFont="1" applyBorder="1" applyAlignment="1">
      <alignment horizontal="center" vertical="center"/>
    </xf>
    <xf numFmtId="177" fontId="35" fillId="0" borderId="20" xfId="0" applyNumberFormat="1" applyFont="1" applyBorder="1" applyAlignment="1">
      <alignment horizontal="center" vertical="center"/>
    </xf>
    <xf numFmtId="177" fontId="35" fillId="0" borderId="20" xfId="0" applyNumberFormat="1" applyFont="1" applyBorder="1" applyAlignment="1">
      <alignment horizontal="center" vertical="center" shrinkToFit="1"/>
    </xf>
    <xf numFmtId="0" fontId="37" fillId="0" borderId="9" xfId="0" applyFont="1" applyBorder="1" applyAlignment="1">
      <alignment horizontal="center" vertical="center"/>
    </xf>
    <xf numFmtId="178" fontId="35" fillId="0" borderId="9" xfId="0" applyNumberFormat="1" applyFont="1" applyBorder="1" applyAlignment="1">
      <alignment horizontal="right" vertical="center" wrapText="1"/>
    </xf>
    <xf numFmtId="177" fontId="35" fillId="0" borderId="9" xfId="0" applyNumberFormat="1" applyFont="1" applyBorder="1" applyAlignment="1">
      <alignment horizontal="right" vertical="center" wrapText="1"/>
    </xf>
    <xf numFmtId="180" fontId="35" fillId="0" borderId="4" xfId="0" applyNumberFormat="1" applyFont="1" applyBorder="1" applyAlignment="1">
      <alignment horizontal="right" vertical="center"/>
    </xf>
    <xf numFmtId="38" fontId="32" fillId="0" borderId="0" xfId="0" applyNumberFormat="1" applyFont="1" applyBorder="1" applyAlignment="1">
      <alignment horizontal="center" vertical="center"/>
    </xf>
    <xf numFmtId="0" fontId="37" fillId="0" borderId="3" xfId="0" applyFont="1" applyBorder="1" applyAlignment="1">
      <alignment horizontal="distributed" vertical="center"/>
    </xf>
    <xf numFmtId="178" fontId="31" fillId="0" borderId="4" xfId="0" applyNumberFormat="1" applyFont="1" applyBorder="1" applyAlignment="1">
      <alignment horizontal="right" vertical="center"/>
    </xf>
    <xf numFmtId="177" fontId="31" fillId="0" borderId="4" xfId="0" applyNumberFormat="1" applyFont="1" applyBorder="1" applyAlignment="1">
      <alignment horizontal="right" vertical="center"/>
    </xf>
    <xf numFmtId="180" fontId="31" fillId="0" borderId="4" xfId="0" applyNumberFormat="1" applyFont="1" applyBorder="1" applyAlignment="1">
      <alignment horizontal="right" vertical="center"/>
    </xf>
    <xf numFmtId="38" fontId="34" fillId="0" borderId="0" xfId="0" applyNumberFormat="1" applyFont="1" applyBorder="1" applyAlignment="1">
      <alignment vertical="center" shrinkToFit="1"/>
    </xf>
    <xf numFmtId="178" fontId="34" fillId="0" borderId="0" xfId="0" applyNumberFormat="1" applyFont="1" applyBorder="1">
      <alignment vertical="center"/>
    </xf>
    <xf numFmtId="41" fontId="34" fillId="0" borderId="0" xfId="0" applyNumberFormat="1" applyFont="1">
      <alignment vertical="center"/>
    </xf>
    <xf numFmtId="0" fontId="37" fillId="0" borderId="28" xfId="0" applyFont="1" applyBorder="1" applyAlignment="1">
      <alignment horizontal="distributed" vertical="center"/>
    </xf>
    <xf numFmtId="178" fontId="31" fillId="0" borderId="4" xfId="0" applyNumberFormat="1" applyFont="1" applyBorder="1">
      <alignment vertical="center"/>
    </xf>
    <xf numFmtId="177" fontId="31" fillId="0" borderId="4" xfId="0" applyNumberFormat="1" applyFont="1" applyBorder="1">
      <alignment vertical="center"/>
    </xf>
    <xf numFmtId="41" fontId="34" fillId="0" borderId="0" xfId="3" applyFont="1">
      <alignment vertical="center"/>
    </xf>
    <xf numFmtId="0" fontId="37" fillId="0" borderId="30" xfId="0" applyFont="1" applyBorder="1" applyAlignment="1">
      <alignment horizontal="distributed" vertical="center"/>
    </xf>
    <xf numFmtId="0" fontId="37" fillId="0" borderId="31" xfId="0" applyFont="1" applyBorder="1" applyAlignment="1">
      <alignment horizontal="distributed" vertical="center" wrapText="1"/>
    </xf>
    <xf numFmtId="0" fontId="49" fillId="0" borderId="4" xfId="0" applyFont="1" applyBorder="1" applyAlignment="1">
      <alignment horizontal="distributed" vertical="center"/>
    </xf>
    <xf numFmtId="0" fontId="39" fillId="0" borderId="4" xfId="0" applyFont="1" applyBorder="1" applyAlignment="1">
      <alignment horizontal="distributed" vertical="center" wrapText="1"/>
    </xf>
    <xf numFmtId="0" fontId="37" fillId="0" borderId="9" xfId="0" applyFont="1" applyBorder="1" applyAlignment="1">
      <alignment horizontal="distributed" vertical="center" wrapText="1"/>
    </xf>
    <xf numFmtId="0" fontId="40" fillId="0" borderId="4" xfId="0" applyFont="1" applyBorder="1" applyAlignment="1">
      <alignment horizontal="distributed" vertical="center" wrapText="1"/>
    </xf>
    <xf numFmtId="178" fontId="31" fillId="0" borderId="29" xfId="0" applyNumberFormat="1" applyFont="1" applyBorder="1" applyAlignment="1">
      <alignment horizontal="right" vertical="center"/>
    </xf>
    <xf numFmtId="41" fontId="39" fillId="0" borderId="0" xfId="3" applyFont="1">
      <alignment vertical="center"/>
    </xf>
    <xf numFmtId="0" fontId="49" fillId="0" borderId="9" xfId="0" applyFont="1" applyBorder="1" applyAlignment="1">
      <alignment horizontal="distributed" vertical="center"/>
    </xf>
    <xf numFmtId="0" fontId="37" fillId="0" borderId="29" xfId="0" applyFont="1" applyBorder="1" applyAlignment="1">
      <alignment horizontal="distributed" vertical="center" wrapText="1"/>
    </xf>
    <xf numFmtId="0" fontId="37" fillId="0" borderId="4" xfId="0" applyFont="1" applyBorder="1" applyAlignment="1">
      <alignment horizontal="distributed" vertical="center" wrapText="1" shrinkToFit="1"/>
    </xf>
    <xf numFmtId="0" fontId="37" fillId="0" borderId="12" xfId="0" applyFont="1" applyBorder="1" applyAlignment="1">
      <alignment horizontal="distributed" vertical="center"/>
    </xf>
    <xf numFmtId="0" fontId="39" fillId="0" borderId="3" xfId="0" applyFont="1" applyBorder="1" applyAlignment="1">
      <alignment horizontal="distributed" vertical="center"/>
    </xf>
    <xf numFmtId="0" fontId="39" fillId="0" borderId="28" xfId="0" applyFont="1" applyBorder="1" applyAlignment="1">
      <alignment horizontal="distributed" vertical="center"/>
    </xf>
    <xf numFmtId="185" fontId="31" fillId="0" borderId="4" xfId="0" applyNumberFormat="1" applyFont="1" applyBorder="1" applyAlignment="1">
      <alignment horizontal="right" vertical="center"/>
    </xf>
    <xf numFmtId="178" fontId="31" fillId="0" borderId="9" xfId="0" applyNumberFormat="1" applyFont="1" applyBorder="1">
      <alignment vertical="center"/>
    </xf>
    <xf numFmtId="177" fontId="31" fillId="0" borderId="9" xfId="0" applyNumberFormat="1" applyFont="1" applyBorder="1">
      <alignment vertical="center"/>
    </xf>
    <xf numFmtId="178" fontId="31" fillId="0" borderId="9" xfId="0" applyNumberFormat="1" applyFont="1" applyBorder="1" applyAlignment="1">
      <alignment horizontal="right" vertical="center"/>
    </xf>
    <xf numFmtId="0" fontId="39" fillId="0" borderId="30" xfId="0" applyFont="1" applyBorder="1" applyAlignment="1">
      <alignment horizontal="distributed" vertical="center"/>
    </xf>
    <xf numFmtId="0" fontId="39" fillId="0" borderId="0" xfId="0" applyFont="1" applyBorder="1">
      <alignment vertical="center"/>
    </xf>
    <xf numFmtId="38" fontId="39" fillId="0" borderId="0" xfId="0" applyNumberFormat="1" applyFont="1" applyBorder="1" applyAlignment="1">
      <alignment vertical="center" shrinkToFit="1"/>
    </xf>
    <xf numFmtId="0" fontId="37" fillId="0" borderId="4" xfId="0" applyFont="1" applyBorder="1" applyAlignment="1">
      <alignment horizontal="center" vertical="center"/>
    </xf>
    <xf numFmtId="0" fontId="37" fillId="0" borderId="4" xfId="0" applyFont="1" applyBorder="1" applyAlignment="1">
      <alignment horizontal="fill" vertical="center"/>
    </xf>
    <xf numFmtId="177" fontId="37" fillId="0" borderId="0" xfId="0" applyNumberFormat="1" applyFont="1" applyBorder="1" applyAlignment="1">
      <alignment vertical="center"/>
    </xf>
    <xf numFmtId="38" fontId="37" fillId="0" borderId="0" xfId="0" applyNumberFormat="1" applyFont="1" applyBorder="1" applyAlignment="1">
      <alignment vertical="center" shrinkToFit="1"/>
    </xf>
    <xf numFmtId="0" fontId="39" fillId="0" borderId="9" xfId="0" applyFont="1" applyBorder="1" applyAlignment="1">
      <alignment horizontal="distributed" vertical="center" wrapText="1"/>
    </xf>
    <xf numFmtId="0" fontId="37" fillId="0" borderId="32" xfId="0" applyFont="1" applyBorder="1" applyAlignment="1">
      <alignment horizontal="distributed" vertical="center"/>
    </xf>
    <xf numFmtId="0" fontId="37" fillId="0" borderId="5" xfId="0" applyFont="1" applyBorder="1" applyAlignment="1">
      <alignment horizontal="distributed" vertical="center"/>
    </xf>
    <xf numFmtId="0" fontId="37" fillId="0" borderId="5" xfId="0" applyFont="1" applyBorder="1" applyAlignment="1">
      <alignment horizontal="distributed" vertical="center" wrapText="1"/>
    </xf>
    <xf numFmtId="0" fontId="39" fillId="0" borderId="5" xfId="0" applyFont="1" applyBorder="1" applyAlignment="1">
      <alignment horizontal="distributed" vertical="center" wrapText="1"/>
    </xf>
    <xf numFmtId="178" fontId="31" fillId="0" borderId="5" xfId="0" applyNumberFormat="1" applyFont="1" applyBorder="1">
      <alignment vertical="center"/>
    </xf>
    <xf numFmtId="177" fontId="31" fillId="0" borderId="5" xfId="0" applyNumberFormat="1" applyFont="1" applyBorder="1">
      <alignment vertical="center"/>
    </xf>
    <xf numFmtId="180" fontId="31" fillId="0" borderId="5" xfId="0" applyNumberFormat="1" applyFont="1" applyBorder="1" applyAlignment="1">
      <alignment horizontal="right" vertical="center"/>
    </xf>
    <xf numFmtId="180" fontId="31" fillId="0" borderId="9" xfId="0" applyNumberFormat="1" applyFont="1" applyBorder="1" applyAlignment="1">
      <alignment horizontal="right" vertical="center"/>
    </xf>
    <xf numFmtId="178" fontId="31" fillId="0" borderId="29" xfId="0" applyNumberFormat="1" applyFont="1" applyBorder="1">
      <alignment vertical="center"/>
    </xf>
    <xf numFmtId="177" fontId="39" fillId="0" borderId="0" xfId="0" applyNumberFormat="1" applyFont="1">
      <alignment vertical="center"/>
    </xf>
    <xf numFmtId="177" fontId="31" fillId="0" borderId="0" xfId="0" applyNumberFormat="1" applyFont="1">
      <alignment vertical="center"/>
    </xf>
    <xf numFmtId="38" fontId="34" fillId="0" borderId="0" xfId="0" applyNumberFormat="1" applyFont="1" applyAlignment="1">
      <alignment vertical="center" shrinkToFit="1"/>
    </xf>
    <xf numFmtId="0" fontId="33" fillId="0" borderId="0" xfId="0" applyFont="1" applyBorder="1" applyAlignment="1">
      <alignment vertical="center" shrinkToFit="1"/>
    </xf>
    <xf numFmtId="0" fontId="32" fillId="0" borderId="0" xfId="0" applyFont="1" applyBorder="1" applyAlignment="1">
      <alignment vertical="center" shrinkToFit="1"/>
    </xf>
    <xf numFmtId="38" fontId="32" fillId="0" borderId="0" xfId="0" applyNumberFormat="1" applyFont="1" applyBorder="1" applyAlignment="1">
      <alignment vertical="center" shrinkToFit="1"/>
    </xf>
    <xf numFmtId="0" fontId="32" fillId="0" borderId="0" xfId="0" applyFont="1" applyBorder="1" applyAlignment="1">
      <alignment horizontal="center" vertical="center" shrinkToFit="1"/>
    </xf>
    <xf numFmtId="180" fontId="38" fillId="0" borderId="9" xfId="0" applyNumberFormat="1" applyFont="1" applyBorder="1" applyAlignment="1">
      <alignment horizontal="right" vertical="center" wrapText="1"/>
    </xf>
    <xf numFmtId="178" fontId="32" fillId="0" borderId="0" xfId="0" applyNumberFormat="1" applyFont="1" applyBorder="1" applyAlignment="1">
      <alignment horizontal="center" vertical="center" shrinkToFit="1"/>
    </xf>
    <xf numFmtId="41" fontId="32" fillId="0" borderId="0" xfId="3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/>
    </xf>
    <xf numFmtId="180" fontId="39" fillId="0" borderId="4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vertical="center" shrinkToFit="1"/>
    </xf>
    <xf numFmtId="38" fontId="34" fillId="3" borderId="0" xfId="0" applyNumberFormat="1" applyFont="1" applyFill="1" applyBorder="1" applyAlignment="1">
      <alignment vertical="center" shrinkToFit="1"/>
    </xf>
    <xf numFmtId="38" fontId="34" fillId="0" borderId="0" xfId="0" applyNumberFormat="1" applyFont="1" applyBorder="1">
      <alignment vertical="center"/>
    </xf>
    <xf numFmtId="38" fontId="34" fillId="8" borderId="0" xfId="0" applyNumberFormat="1" applyFont="1" applyFill="1" applyBorder="1" applyAlignment="1">
      <alignment vertical="center" shrinkToFit="1"/>
    </xf>
    <xf numFmtId="38" fontId="34" fillId="6" borderId="0" xfId="0" applyNumberFormat="1" applyFont="1" applyFill="1" applyBorder="1" applyAlignment="1">
      <alignment vertical="center" shrinkToFit="1"/>
    </xf>
    <xf numFmtId="38" fontId="34" fillId="2" borderId="0" xfId="0" applyNumberFormat="1" applyFont="1" applyFill="1" applyBorder="1" applyAlignment="1">
      <alignment vertical="center" shrinkToFit="1"/>
    </xf>
    <xf numFmtId="38" fontId="34" fillId="9" borderId="0" xfId="0" applyNumberFormat="1" applyFont="1" applyFill="1" applyBorder="1" applyAlignment="1">
      <alignment vertical="center" shrinkToFit="1"/>
    </xf>
    <xf numFmtId="0" fontId="37" fillId="0" borderId="4" xfId="0" applyFont="1" applyBorder="1" applyAlignment="1">
      <alignment vertical="center" shrinkToFit="1"/>
    </xf>
    <xf numFmtId="38" fontId="34" fillId="10" borderId="0" xfId="0" applyNumberFormat="1" applyFont="1" applyFill="1" applyBorder="1" applyAlignment="1">
      <alignment vertical="center" shrinkToFit="1"/>
    </xf>
    <xf numFmtId="0" fontId="37" fillId="0" borderId="30" xfId="0" applyFont="1" applyFill="1" applyBorder="1" applyAlignment="1">
      <alignment horizontal="distributed" vertical="center"/>
    </xf>
    <xf numFmtId="0" fontId="37" fillId="0" borderId="31" xfId="0" applyFont="1" applyFill="1" applyBorder="1" applyAlignment="1">
      <alignment horizontal="distributed" vertical="center"/>
    </xf>
    <xf numFmtId="0" fontId="37" fillId="0" borderId="4" xfId="0" applyFont="1" applyFill="1" applyBorder="1" applyAlignment="1">
      <alignment horizontal="distributed" vertical="center"/>
    </xf>
    <xf numFmtId="178" fontId="31" fillId="0" borderId="4" xfId="0" applyNumberFormat="1" applyFont="1" applyFill="1" applyBorder="1">
      <alignment vertical="center"/>
    </xf>
    <xf numFmtId="0" fontId="34" fillId="0" borderId="0" xfId="0" applyFont="1" applyFill="1" applyBorder="1" applyAlignment="1">
      <alignment vertical="center" shrinkToFit="1"/>
    </xf>
    <xf numFmtId="38" fontId="34" fillId="0" borderId="0" xfId="0" applyNumberFormat="1" applyFont="1" applyFill="1" applyBorder="1" applyAlignment="1">
      <alignment vertical="center" shrinkToFit="1"/>
    </xf>
    <xf numFmtId="38" fontId="34" fillId="0" borderId="0" xfId="0" applyNumberFormat="1" applyFont="1" applyFill="1" applyBorder="1">
      <alignment vertical="center"/>
    </xf>
    <xf numFmtId="0" fontId="34" fillId="0" borderId="0" xfId="0" applyFont="1" applyFill="1" applyBorder="1">
      <alignment vertical="center"/>
    </xf>
    <xf numFmtId="177" fontId="39" fillId="0" borderId="4" xfId="0" applyNumberFormat="1" applyFont="1" applyBorder="1" applyAlignment="1">
      <alignment horizontal="right" vertical="center" shrinkToFit="1"/>
    </xf>
    <xf numFmtId="0" fontId="37" fillId="0" borderId="33" xfId="0" applyFont="1" applyBorder="1" applyAlignment="1">
      <alignment horizontal="distributed" vertical="center"/>
    </xf>
    <xf numFmtId="177" fontId="39" fillId="0" borderId="5" xfId="0" applyNumberFormat="1" applyFont="1" applyBorder="1" applyAlignment="1">
      <alignment horizontal="right" vertical="center" shrinkToFit="1"/>
    </xf>
    <xf numFmtId="180" fontId="39" fillId="0" borderId="9" xfId="0" applyNumberFormat="1" applyFont="1" applyBorder="1" applyAlignment="1">
      <alignment horizontal="right" vertical="center"/>
    </xf>
    <xf numFmtId="0" fontId="39" fillId="0" borderId="0" xfId="0" applyFont="1" applyBorder="1" applyAlignment="1">
      <alignment vertical="center" shrinkToFit="1"/>
    </xf>
    <xf numFmtId="38" fontId="39" fillId="10" borderId="0" xfId="0" applyNumberFormat="1" applyFont="1" applyFill="1" applyBorder="1" applyAlignment="1">
      <alignment vertical="center" shrinkToFit="1"/>
    </xf>
    <xf numFmtId="38" fontId="39" fillId="3" borderId="0" xfId="0" applyNumberFormat="1" applyFont="1" applyFill="1" applyBorder="1" applyAlignment="1">
      <alignment vertical="center" shrinkToFit="1"/>
    </xf>
    <xf numFmtId="41" fontId="39" fillId="0" borderId="0" xfId="0" applyNumberFormat="1" applyFont="1">
      <alignment vertical="center"/>
    </xf>
    <xf numFmtId="38" fontId="39" fillId="9" borderId="0" xfId="0" applyNumberFormat="1" applyFont="1" applyFill="1" applyBorder="1" applyAlignment="1">
      <alignment vertical="center" shrinkToFit="1"/>
    </xf>
    <xf numFmtId="0" fontId="37" fillId="0" borderId="44" xfId="0" applyFont="1" applyBorder="1" applyAlignment="1">
      <alignment horizontal="distributed" vertical="center"/>
    </xf>
    <xf numFmtId="178" fontId="37" fillId="0" borderId="5" xfId="0" applyNumberFormat="1" applyFont="1" applyBorder="1">
      <alignment vertical="center"/>
    </xf>
    <xf numFmtId="177" fontId="39" fillId="0" borderId="5" xfId="0" applyNumberFormat="1" applyFont="1" applyBorder="1">
      <alignment vertical="center"/>
    </xf>
    <xf numFmtId="180" fontId="39" fillId="0" borderId="5" xfId="0" applyNumberFormat="1" applyFont="1" applyBorder="1" applyAlignment="1">
      <alignment horizontal="right" vertical="center"/>
    </xf>
    <xf numFmtId="177" fontId="37" fillId="0" borderId="0" xfId="0" applyNumberFormat="1" applyFont="1" applyBorder="1" applyAlignment="1">
      <alignment vertical="center" shrinkToFit="1"/>
    </xf>
    <xf numFmtId="38" fontId="37" fillId="10" borderId="0" xfId="0" applyNumberFormat="1" applyFont="1" applyFill="1" applyBorder="1" applyAlignment="1">
      <alignment vertical="center" shrinkToFit="1"/>
    </xf>
    <xf numFmtId="38" fontId="37" fillId="3" borderId="0" xfId="0" applyNumberFormat="1" applyFont="1" applyFill="1" applyBorder="1" applyAlignment="1">
      <alignment vertical="center" shrinkToFit="1"/>
    </xf>
    <xf numFmtId="38" fontId="39" fillId="11" borderId="0" xfId="0" applyNumberFormat="1" applyFont="1" applyFill="1" applyBorder="1" applyAlignment="1">
      <alignment vertical="center" shrinkToFit="1"/>
    </xf>
    <xf numFmtId="0" fontId="37" fillId="0" borderId="33" xfId="0" applyFont="1" applyBorder="1" applyAlignment="1">
      <alignment horizontal="distributed" vertical="center" wrapText="1"/>
    </xf>
    <xf numFmtId="0" fontId="40" fillId="0" borderId="33" xfId="0" applyFont="1" applyBorder="1" applyAlignment="1">
      <alignment horizontal="distributed" vertical="center" wrapText="1"/>
    </xf>
    <xf numFmtId="178" fontId="37" fillId="0" borderId="33" xfId="0" applyNumberFormat="1" applyFont="1" applyBorder="1">
      <alignment vertical="center"/>
    </xf>
    <xf numFmtId="177" fontId="39" fillId="0" borderId="33" xfId="0" applyNumberFormat="1" applyFont="1" applyBorder="1">
      <alignment vertical="center"/>
    </xf>
    <xf numFmtId="180" fontId="39" fillId="0" borderId="33" xfId="0" applyNumberFormat="1" applyFont="1" applyBorder="1" applyAlignment="1">
      <alignment horizontal="right" vertical="center"/>
    </xf>
    <xf numFmtId="0" fontId="39" fillId="0" borderId="114" xfId="0" applyFont="1" applyBorder="1">
      <alignment vertical="center"/>
    </xf>
    <xf numFmtId="0" fontId="39" fillId="0" borderId="168" xfId="0" applyFont="1" applyBorder="1">
      <alignment vertical="center"/>
    </xf>
    <xf numFmtId="178" fontId="37" fillId="0" borderId="9" xfId="0" applyNumberFormat="1" applyFont="1" applyBorder="1">
      <alignment vertical="center"/>
    </xf>
    <xf numFmtId="177" fontId="39" fillId="0" borderId="9" xfId="0" applyNumberFormat="1" applyFont="1" applyBorder="1">
      <alignment vertical="center"/>
    </xf>
    <xf numFmtId="178" fontId="37" fillId="0" borderId="4" xfId="0" applyNumberFormat="1" applyFont="1" applyBorder="1">
      <alignment vertical="center"/>
    </xf>
    <xf numFmtId="177" fontId="39" fillId="0" borderId="4" xfId="0" applyNumberFormat="1" applyFont="1" applyBorder="1">
      <alignment vertical="center"/>
    </xf>
    <xf numFmtId="0" fontId="37" fillId="0" borderId="36" xfId="0" applyFont="1" applyBorder="1" applyAlignment="1">
      <alignment horizontal="distributed" vertical="center"/>
    </xf>
    <xf numFmtId="178" fontId="37" fillId="0" borderId="29" xfId="0" applyNumberFormat="1" applyFont="1" applyBorder="1">
      <alignment vertical="center"/>
    </xf>
    <xf numFmtId="0" fontId="34" fillId="0" borderId="0" xfId="0" applyFont="1" applyAlignment="1">
      <alignment vertical="center" shrinkToFit="1"/>
    </xf>
    <xf numFmtId="0" fontId="4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177" fontId="33" fillId="0" borderId="0" xfId="0" applyNumberFormat="1" applyFont="1" applyAlignment="1">
      <alignment vertical="center"/>
    </xf>
    <xf numFmtId="41" fontId="33" fillId="0" borderId="0" xfId="3" applyFont="1">
      <alignment vertical="center"/>
    </xf>
    <xf numFmtId="178" fontId="50" fillId="0" borderId="0" xfId="0" applyNumberFormat="1" applyFont="1">
      <alignment vertical="center"/>
    </xf>
    <xf numFmtId="0" fontId="50" fillId="0" borderId="0" xfId="0" applyFont="1">
      <alignment vertical="center"/>
    </xf>
    <xf numFmtId="177" fontId="50" fillId="0" borderId="0" xfId="0" applyNumberFormat="1" applyFont="1" applyAlignment="1">
      <alignment vertical="center"/>
    </xf>
    <xf numFmtId="0" fontId="50" fillId="0" borderId="0" xfId="0" applyFont="1" applyBorder="1">
      <alignment vertical="center"/>
    </xf>
    <xf numFmtId="0" fontId="50" fillId="0" borderId="0" xfId="0" applyFont="1" applyAlignment="1">
      <alignment vertical="center"/>
    </xf>
    <xf numFmtId="0" fontId="32" fillId="0" borderId="0" xfId="0" applyFont="1" applyAlignment="1">
      <alignment horizontal="center" vertical="center" wrapText="1"/>
    </xf>
    <xf numFmtId="41" fontId="50" fillId="0" borderId="0" xfId="3" applyFont="1">
      <alignment vertical="center"/>
    </xf>
    <xf numFmtId="41" fontId="35" fillId="0" borderId="0" xfId="3" applyFont="1" applyAlignment="1">
      <alignment horizontal="center" vertical="center"/>
    </xf>
    <xf numFmtId="0" fontId="38" fillId="0" borderId="20" xfId="0" applyFont="1" applyBorder="1" applyAlignment="1">
      <alignment horizontal="center" vertical="center"/>
    </xf>
    <xf numFmtId="177" fontId="36" fillId="0" borderId="20" xfId="0" applyNumberFormat="1" applyFont="1" applyBorder="1" applyAlignment="1">
      <alignment horizontal="center" vertical="center"/>
    </xf>
    <xf numFmtId="177" fontId="36" fillId="0" borderId="20" xfId="0" applyNumberFormat="1" applyFont="1" applyBorder="1" applyAlignment="1">
      <alignment horizontal="center" vertical="center" shrinkToFit="1"/>
    </xf>
    <xf numFmtId="41" fontId="38" fillId="0" borderId="0" xfId="3" applyFont="1">
      <alignment vertical="center"/>
    </xf>
    <xf numFmtId="41" fontId="35" fillId="0" borderId="0" xfId="0" applyNumberFormat="1" applyFont="1" applyAlignment="1">
      <alignment horizontal="center" vertical="center"/>
    </xf>
    <xf numFmtId="0" fontId="31" fillId="0" borderId="9" xfId="0" applyFont="1" applyBorder="1" applyAlignment="1">
      <alignment horizontal="center" vertical="center"/>
    </xf>
    <xf numFmtId="177" fontId="35" fillId="0" borderId="4" xfId="0" applyNumberFormat="1" applyFont="1" applyBorder="1" applyAlignment="1">
      <alignment horizontal="right" vertical="center"/>
    </xf>
    <xf numFmtId="180" fontId="38" fillId="0" borderId="9" xfId="0" applyNumberFormat="1" applyFont="1" applyBorder="1" applyAlignment="1">
      <alignment horizontal="center" vertical="center" wrapText="1"/>
    </xf>
    <xf numFmtId="41" fontId="38" fillId="0" borderId="0" xfId="3" applyFont="1" applyAlignment="1">
      <alignment horizontal="center" vertical="center"/>
    </xf>
    <xf numFmtId="178" fontId="38" fillId="0" borderId="0" xfId="0" applyNumberFormat="1" applyFont="1" applyAlignment="1">
      <alignment horizontal="center" vertical="center"/>
    </xf>
    <xf numFmtId="0" fontId="31" fillId="0" borderId="3" xfId="0" applyFont="1" applyBorder="1" applyAlignment="1">
      <alignment horizontal="distributed" vertical="center" wrapText="1"/>
    </xf>
    <xf numFmtId="0" fontId="31" fillId="0" borderId="4" xfId="0" applyFont="1" applyBorder="1" applyAlignment="1">
      <alignment horizontal="distributed" vertical="center" wrapText="1"/>
    </xf>
    <xf numFmtId="0" fontId="35" fillId="0" borderId="4" xfId="0" applyFont="1" applyBorder="1" applyAlignment="1">
      <alignment horizontal="distributed" vertical="center"/>
    </xf>
    <xf numFmtId="0" fontId="31" fillId="0" borderId="4" xfId="0" applyFont="1" applyBorder="1" applyAlignment="1">
      <alignment vertical="center"/>
    </xf>
    <xf numFmtId="180" fontId="39" fillId="0" borderId="9" xfId="0" applyNumberFormat="1" applyFont="1" applyBorder="1" applyAlignment="1">
      <alignment horizontal="center" vertical="center" wrapText="1"/>
    </xf>
    <xf numFmtId="0" fontId="31" fillId="0" borderId="30" xfId="0" applyFont="1" applyBorder="1" applyAlignment="1">
      <alignment horizontal="distributed" vertical="center" wrapText="1"/>
    </xf>
    <xf numFmtId="0" fontId="31" fillId="0" borderId="29" xfId="0" applyFont="1" applyBorder="1" applyAlignment="1">
      <alignment horizontal="distributed" vertical="center" wrapText="1"/>
    </xf>
    <xf numFmtId="0" fontId="31" fillId="0" borderId="4" xfId="0" applyFont="1" applyBorder="1" applyAlignment="1">
      <alignment horizontal="distributed" vertical="center"/>
    </xf>
    <xf numFmtId="0" fontId="31" fillId="0" borderId="31" xfId="0" applyFont="1" applyBorder="1" applyAlignment="1">
      <alignment horizontal="distributed" vertical="center"/>
    </xf>
    <xf numFmtId="0" fontId="31" fillId="0" borderId="31" xfId="0" applyFont="1" applyBorder="1" applyAlignment="1">
      <alignment horizontal="distributed" vertical="center" wrapText="1"/>
    </xf>
    <xf numFmtId="0" fontId="31" fillId="0" borderId="4" xfId="0" applyFont="1" applyBorder="1" applyAlignment="1">
      <alignment vertical="center" shrinkToFit="1"/>
    </xf>
    <xf numFmtId="0" fontId="31" fillId="0" borderId="9" xfId="0" applyFont="1" applyBorder="1" applyAlignment="1">
      <alignment vertical="center" shrinkToFit="1"/>
    </xf>
    <xf numFmtId="0" fontId="31" fillId="0" borderId="9" xfId="0" applyFont="1" applyBorder="1" applyAlignment="1">
      <alignment horizontal="distributed" vertical="center" wrapText="1"/>
    </xf>
    <xf numFmtId="0" fontId="31" fillId="0" borderId="9" xfId="0" applyFont="1" applyBorder="1" applyAlignment="1">
      <alignment horizontal="distributed" vertical="center"/>
    </xf>
    <xf numFmtId="177" fontId="39" fillId="0" borderId="36" xfId="0" applyNumberFormat="1" applyFont="1" applyBorder="1" applyAlignment="1">
      <alignment horizontal="left" vertical="center"/>
    </xf>
    <xf numFmtId="177" fontId="39" fillId="0" borderId="37" xfId="0" applyNumberFormat="1" applyFont="1" applyBorder="1" applyAlignment="1">
      <alignment horizontal="left" vertical="center"/>
    </xf>
    <xf numFmtId="177" fontId="39" fillId="0" borderId="38" xfId="0" applyNumberFormat="1" applyFont="1" applyBorder="1" applyAlignment="1">
      <alignment horizontal="left" vertical="center"/>
    </xf>
    <xf numFmtId="0" fontId="31" fillId="0" borderId="30" xfId="0" applyFont="1" applyBorder="1" applyAlignment="1">
      <alignment horizontal="distributed" vertical="center"/>
    </xf>
    <xf numFmtId="177" fontId="37" fillId="0" borderId="10" xfId="0" applyNumberFormat="1" applyFont="1" applyBorder="1" applyAlignment="1">
      <alignment horizontal="left" vertical="center"/>
    </xf>
    <xf numFmtId="0" fontId="34" fillId="0" borderId="7" xfId="0" applyFont="1" applyBorder="1" applyAlignment="1">
      <alignment horizontal="left" vertical="center"/>
    </xf>
    <xf numFmtId="0" fontId="34" fillId="0" borderId="11" xfId="0" applyFont="1" applyBorder="1" applyAlignment="1">
      <alignment horizontal="left" vertical="center"/>
    </xf>
    <xf numFmtId="0" fontId="31" fillId="0" borderId="29" xfId="0" applyFont="1" applyBorder="1" applyAlignment="1">
      <alignment horizontal="distributed" vertical="center"/>
    </xf>
    <xf numFmtId="0" fontId="31" fillId="0" borderId="3" xfId="0" applyFont="1" applyBorder="1" applyAlignment="1">
      <alignment horizontal="distributed" vertical="center"/>
    </xf>
    <xf numFmtId="0" fontId="31" fillId="0" borderId="28" xfId="0" applyFont="1" applyBorder="1" applyAlignment="1">
      <alignment horizontal="distributed" vertical="center"/>
    </xf>
    <xf numFmtId="0" fontId="31" fillId="0" borderId="12" xfId="0" applyFont="1" applyBorder="1" applyAlignment="1">
      <alignment horizontal="distributed" vertical="center"/>
    </xf>
    <xf numFmtId="0" fontId="31" fillId="0" borderId="32" xfId="0" applyFont="1" applyBorder="1" applyAlignment="1">
      <alignment horizontal="distributed" vertical="center"/>
    </xf>
    <xf numFmtId="0" fontId="31" fillId="0" borderId="33" xfId="0" applyFont="1" applyBorder="1" applyAlignment="1">
      <alignment horizontal="distributed" vertical="center"/>
    </xf>
    <xf numFmtId="0" fontId="31" fillId="0" borderId="5" xfId="0" applyFont="1" applyBorder="1" applyAlignment="1">
      <alignment horizontal="distributed" vertical="center"/>
    </xf>
    <xf numFmtId="177" fontId="31" fillId="0" borderId="5" xfId="0" applyNumberFormat="1" applyFont="1" applyBorder="1" applyAlignment="1">
      <alignment horizontal="right" vertical="center"/>
    </xf>
    <xf numFmtId="180" fontId="39" fillId="0" borderId="33" xfId="0" applyNumberFormat="1" applyFont="1" applyBorder="1" applyAlignment="1">
      <alignment horizontal="center" vertical="center" wrapText="1"/>
    </xf>
    <xf numFmtId="0" fontId="39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 wrapText="1"/>
    </xf>
    <xf numFmtId="178" fontId="39" fillId="0" borderId="0" xfId="0" applyNumberFormat="1" applyFont="1" applyBorder="1">
      <alignment vertical="center"/>
    </xf>
    <xf numFmtId="177" fontId="39" fillId="0" borderId="0" xfId="0" applyNumberFormat="1" applyFont="1" applyBorder="1" applyAlignment="1">
      <alignment horizontal="right" vertical="center"/>
    </xf>
    <xf numFmtId="177" fontId="39" fillId="0" borderId="0" xfId="0" applyNumberFormat="1" applyFont="1" applyBorder="1">
      <alignment vertical="center"/>
    </xf>
    <xf numFmtId="177" fontId="39" fillId="0" borderId="0" xfId="0" applyNumberFormat="1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177" fontId="39" fillId="0" borderId="0" xfId="0" applyNumberFormat="1" applyFont="1" applyAlignment="1">
      <alignment horizontal="right" vertical="center"/>
    </xf>
    <xf numFmtId="177" fontId="39" fillId="0" borderId="0" xfId="0" applyNumberFormat="1" applyFont="1" applyAlignment="1">
      <alignment vertical="center"/>
    </xf>
    <xf numFmtId="0" fontId="40" fillId="0" borderId="0" xfId="0" applyFont="1">
      <alignment vertical="center"/>
    </xf>
    <xf numFmtId="178" fontId="40" fillId="0" borderId="0" xfId="0" applyNumberFormat="1" applyFont="1">
      <alignment vertical="center"/>
    </xf>
    <xf numFmtId="177" fontId="40" fillId="0" borderId="0" xfId="0" applyNumberFormat="1" applyFont="1" applyAlignment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Alignment="1">
      <alignment vertical="center"/>
    </xf>
    <xf numFmtId="41" fontId="40" fillId="0" borderId="0" xfId="3" applyFont="1">
      <alignment vertical="center"/>
    </xf>
    <xf numFmtId="180" fontId="39" fillId="0" borderId="4" xfId="0" applyNumberFormat="1" applyFont="1" applyBorder="1" applyAlignment="1">
      <alignment horizontal="center" vertical="center" wrapText="1"/>
    </xf>
    <xf numFmtId="177" fontId="39" fillId="0" borderId="7" xfId="0" applyNumberFormat="1" applyFont="1" applyBorder="1" applyAlignment="1">
      <alignment horizontal="right" vertical="center"/>
    </xf>
    <xf numFmtId="177" fontId="39" fillId="0" borderId="11" xfId="0" applyNumberFormat="1" applyFont="1" applyBorder="1" applyAlignment="1">
      <alignment horizontal="left" vertical="center"/>
    </xf>
    <xf numFmtId="177" fontId="39" fillId="0" borderId="11" xfId="0" applyNumberFormat="1" applyFont="1" applyBorder="1">
      <alignment vertical="center"/>
    </xf>
    <xf numFmtId="177" fontId="39" fillId="0" borderId="11" xfId="0" applyNumberFormat="1" applyFont="1" applyBorder="1" applyAlignment="1">
      <alignment horizontal="right" vertical="center"/>
    </xf>
    <xf numFmtId="182" fontId="39" fillId="0" borderId="0" xfId="0" applyNumberFormat="1" applyFont="1">
      <alignment vertical="center"/>
    </xf>
    <xf numFmtId="177" fontId="31" fillId="0" borderId="29" xfId="0" applyNumberFormat="1" applyFont="1" applyBorder="1" applyAlignment="1">
      <alignment horizontal="right" vertical="center"/>
    </xf>
    <xf numFmtId="177" fontId="39" fillId="0" borderId="10" xfId="0" applyNumberFormat="1" applyFont="1" applyBorder="1" applyAlignment="1">
      <alignment vertical="center"/>
    </xf>
    <xf numFmtId="177" fontId="39" fillId="0" borderId="7" xfId="0" applyNumberFormat="1" applyFont="1" applyBorder="1" applyAlignment="1">
      <alignment vertical="center"/>
    </xf>
    <xf numFmtId="0" fontId="39" fillId="0" borderId="7" xfId="0" applyNumberFormat="1" applyFont="1" applyBorder="1" applyAlignment="1">
      <alignment vertical="center"/>
    </xf>
    <xf numFmtId="177" fontId="39" fillId="0" borderId="7" xfId="0" applyNumberFormat="1" applyFont="1" applyBorder="1" applyAlignment="1">
      <alignment vertical="center" wrapText="1"/>
    </xf>
    <xf numFmtId="177" fontId="39" fillId="0" borderId="11" xfId="0" applyNumberFormat="1" applyFont="1" applyBorder="1" applyAlignment="1">
      <alignment vertical="center"/>
    </xf>
    <xf numFmtId="0" fontId="31" fillId="0" borderId="5" xfId="0" applyFont="1" applyBorder="1" applyAlignment="1">
      <alignment horizontal="distributed" vertical="center" wrapText="1"/>
    </xf>
    <xf numFmtId="180" fontId="39" fillId="0" borderId="5" xfId="0" applyNumberFormat="1" applyFont="1" applyBorder="1" applyAlignment="1">
      <alignment horizontal="center" vertical="center" wrapText="1"/>
    </xf>
    <xf numFmtId="177" fontId="31" fillId="0" borderId="9" xfId="0" applyNumberFormat="1" applyFont="1" applyBorder="1" applyAlignment="1">
      <alignment horizontal="right" vertical="center"/>
    </xf>
    <xf numFmtId="0" fontId="31" fillId="0" borderId="39" xfId="0" applyFont="1" applyBorder="1" applyAlignment="1">
      <alignment horizontal="distributed" vertical="center"/>
    </xf>
    <xf numFmtId="178" fontId="31" fillId="0" borderId="31" xfId="0" applyNumberFormat="1" applyFont="1" applyBorder="1">
      <alignment vertical="center"/>
    </xf>
    <xf numFmtId="0" fontId="31" fillId="0" borderId="36" xfId="0" applyFont="1" applyBorder="1" applyAlignment="1">
      <alignment horizontal="distributed" vertical="center"/>
    </xf>
    <xf numFmtId="0" fontId="38" fillId="0" borderId="0" xfId="0" applyFont="1" applyAlignment="1">
      <alignment vertical="center"/>
    </xf>
    <xf numFmtId="180" fontId="35" fillId="0" borderId="9" xfId="0" applyNumberFormat="1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/>
    </xf>
    <xf numFmtId="177" fontId="32" fillId="0" borderId="0" xfId="0" applyNumberFormat="1" applyFont="1" applyAlignment="1">
      <alignment horizontal="center" vertical="center"/>
    </xf>
    <xf numFmtId="180" fontId="31" fillId="0" borderId="4" xfId="0" applyNumberFormat="1" applyFont="1" applyBorder="1" applyAlignment="1">
      <alignment horizontal="center" vertical="center" wrapText="1"/>
    </xf>
    <xf numFmtId="177" fontId="34" fillId="0" borderId="13" xfId="0" applyNumberFormat="1" applyFont="1" applyBorder="1">
      <alignment vertical="center"/>
    </xf>
    <xf numFmtId="0" fontId="34" fillId="0" borderId="13" xfId="0" applyFont="1" applyBorder="1">
      <alignment vertical="center"/>
    </xf>
    <xf numFmtId="180" fontId="31" fillId="0" borderId="9" xfId="0" applyNumberFormat="1" applyFont="1" applyBorder="1" applyAlignment="1">
      <alignment horizontal="center" vertical="center" wrapText="1"/>
    </xf>
    <xf numFmtId="0" fontId="37" fillId="0" borderId="13" xfId="0" applyFont="1" applyBorder="1" applyAlignment="1">
      <alignment horizontal="left" vertical="center" wrapText="1"/>
    </xf>
    <xf numFmtId="0" fontId="32" fillId="0" borderId="13" xfId="0" applyFont="1" applyBorder="1">
      <alignment vertical="center"/>
    </xf>
    <xf numFmtId="0" fontId="32" fillId="0" borderId="13" xfId="0" applyFont="1" applyBorder="1" applyAlignment="1">
      <alignment horizontal="center" vertical="center"/>
    </xf>
    <xf numFmtId="180" fontId="31" fillId="0" borderId="33" xfId="0" applyNumberFormat="1" applyFont="1" applyBorder="1" applyAlignment="1">
      <alignment horizontal="center" vertical="center" wrapText="1"/>
    </xf>
    <xf numFmtId="0" fontId="37" fillId="0" borderId="14" xfId="0" applyFont="1" applyBorder="1" applyAlignment="1">
      <alignment vertical="center" wrapText="1"/>
    </xf>
    <xf numFmtId="0" fontId="37" fillId="0" borderId="40" xfId="0" applyFont="1" applyBorder="1">
      <alignment vertical="center"/>
    </xf>
    <xf numFmtId="177" fontId="37" fillId="0" borderId="4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176" fontId="37" fillId="0" borderId="4" xfId="0" applyNumberFormat="1" applyFont="1" applyBorder="1" applyAlignment="1">
      <alignment horizontal="center" vertical="center"/>
    </xf>
    <xf numFmtId="0" fontId="39" fillId="0" borderId="13" xfId="0" applyFont="1" applyBorder="1" applyAlignment="1">
      <alignment vertical="center" wrapText="1"/>
    </xf>
    <xf numFmtId="0" fontId="34" fillId="0" borderId="13" xfId="0" applyFont="1" applyBorder="1" applyAlignment="1">
      <alignment vertical="center" wrapText="1"/>
    </xf>
    <xf numFmtId="176" fontId="37" fillId="0" borderId="5" xfId="0" applyNumberFormat="1" applyFont="1" applyBorder="1" applyAlignment="1">
      <alignment horizontal="center" vertical="center"/>
    </xf>
    <xf numFmtId="0" fontId="43" fillId="0" borderId="0" xfId="0" applyFont="1" applyAlignment="1">
      <alignment vertical="center"/>
    </xf>
    <xf numFmtId="0" fontId="31" fillId="0" borderId="71" xfId="0" applyFont="1" applyBorder="1" applyAlignment="1">
      <alignment horizontal="center" vertical="center"/>
    </xf>
    <xf numFmtId="0" fontId="35" fillId="0" borderId="101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183" fontId="35" fillId="0" borderId="9" xfId="0" applyNumberFormat="1" applyFont="1" applyBorder="1" applyAlignment="1">
      <alignment horizontal="center" vertical="center" wrapText="1"/>
    </xf>
    <xf numFmtId="184" fontId="37" fillId="0" borderId="4" xfId="0" applyNumberFormat="1" applyFont="1" applyBorder="1" applyAlignment="1">
      <alignment horizontal="center" vertical="center"/>
    </xf>
    <xf numFmtId="41" fontId="34" fillId="0" borderId="13" xfId="3" applyFont="1" applyBorder="1">
      <alignment vertical="center"/>
    </xf>
    <xf numFmtId="177" fontId="34" fillId="0" borderId="0" xfId="0" applyNumberFormat="1" applyFont="1">
      <alignment vertical="center"/>
    </xf>
    <xf numFmtId="0" fontId="31" fillId="0" borderId="13" xfId="0" applyFont="1" applyBorder="1" applyAlignment="1">
      <alignment vertical="center" wrapText="1" shrinkToFit="1"/>
    </xf>
    <xf numFmtId="0" fontId="34" fillId="0" borderId="13" xfId="0" applyFont="1" applyBorder="1" applyAlignment="1">
      <alignment vertical="center" shrinkToFit="1"/>
    </xf>
    <xf numFmtId="0" fontId="37" fillId="14" borderId="4" xfId="0" applyFont="1" applyFill="1" applyBorder="1" applyAlignment="1">
      <alignment horizontal="distributed" vertical="center"/>
    </xf>
    <xf numFmtId="0" fontId="31" fillId="0" borderId="13" xfId="0" applyFont="1" applyBorder="1">
      <alignment vertical="center"/>
    </xf>
    <xf numFmtId="0" fontId="31" fillId="0" borderId="13" xfId="0" applyFont="1" applyBorder="1" applyAlignment="1">
      <alignment vertical="center" shrinkToFit="1"/>
    </xf>
    <xf numFmtId="0" fontId="31" fillId="0" borderId="13" xfId="0" applyFont="1" applyBorder="1" applyAlignment="1">
      <alignment vertical="center" wrapText="1"/>
    </xf>
    <xf numFmtId="184" fontId="37" fillId="0" borderId="5" xfId="0" applyNumberFormat="1" applyFont="1" applyBorder="1" applyAlignment="1">
      <alignment horizontal="center" vertical="center"/>
    </xf>
    <xf numFmtId="0" fontId="34" fillId="0" borderId="14" xfId="0" applyFont="1" applyBorder="1">
      <alignment vertical="center"/>
    </xf>
    <xf numFmtId="177" fontId="31" fillId="0" borderId="40" xfId="0" applyNumberFormat="1" applyFont="1" applyBorder="1">
      <alignment vertical="center"/>
    </xf>
    <xf numFmtId="0" fontId="31" fillId="0" borderId="40" xfId="0" applyFont="1" applyBorder="1">
      <alignment vertical="center"/>
    </xf>
    <xf numFmtId="0" fontId="31" fillId="0" borderId="0" xfId="0" applyFont="1">
      <alignment vertical="center"/>
    </xf>
    <xf numFmtId="0" fontId="37" fillId="0" borderId="13" xfId="0" applyFont="1" applyBorder="1" applyAlignment="1">
      <alignment vertical="center" shrinkToFit="1"/>
    </xf>
    <xf numFmtId="41" fontId="50" fillId="0" borderId="0" xfId="3" applyFont="1" applyAlignment="1">
      <alignment horizontal="center" vertical="center"/>
    </xf>
    <xf numFmtId="0" fontId="35" fillId="0" borderId="21" xfId="0" applyFont="1" applyBorder="1" applyAlignment="1">
      <alignment horizontal="center" vertical="center" shrinkToFit="1"/>
    </xf>
    <xf numFmtId="0" fontId="35" fillId="0" borderId="102" xfId="0" applyFont="1" applyBorder="1" applyAlignment="1">
      <alignment horizontal="center" vertical="center" shrinkToFit="1"/>
    </xf>
    <xf numFmtId="183" fontId="35" fillId="0" borderId="9" xfId="0" applyNumberFormat="1" applyFont="1" applyBorder="1" applyAlignment="1">
      <alignment horizontal="center" vertical="center" shrinkToFit="1"/>
    </xf>
    <xf numFmtId="177" fontId="35" fillId="0" borderId="18" xfId="0" applyNumberFormat="1" applyFont="1" applyBorder="1" applyAlignment="1">
      <alignment horizontal="right" vertical="center" shrinkToFit="1"/>
    </xf>
    <xf numFmtId="183" fontId="35" fillId="0" borderId="169" xfId="0" applyNumberFormat="1" applyFont="1" applyBorder="1" applyAlignment="1">
      <alignment horizontal="center" vertical="center" shrinkToFit="1"/>
    </xf>
    <xf numFmtId="0" fontId="31" fillId="0" borderId="3" xfId="0" applyFont="1" applyBorder="1" applyAlignment="1">
      <alignment horizontal="center" vertical="center" shrinkToFit="1"/>
    </xf>
    <xf numFmtId="183" fontId="31" fillId="0" borderId="4" xfId="0" applyNumberFormat="1" applyFont="1" applyBorder="1" applyAlignment="1">
      <alignment horizontal="center" vertical="center" shrinkToFit="1"/>
    </xf>
    <xf numFmtId="177" fontId="31" fillId="0" borderId="13" xfId="0" applyNumberFormat="1" applyFont="1" applyBorder="1" applyAlignment="1">
      <alignment horizontal="right" vertical="center" shrinkToFit="1"/>
    </xf>
    <xf numFmtId="183" fontId="31" fillId="0" borderId="169" xfId="0" applyNumberFormat="1" applyFont="1" applyBorder="1" applyAlignment="1">
      <alignment horizontal="center" vertical="center" shrinkToFit="1"/>
    </xf>
    <xf numFmtId="0" fontId="31" fillId="0" borderId="28" xfId="0" applyFont="1" applyBorder="1" applyAlignment="1">
      <alignment horizontal="center" vertical="center" shrinkToFit="1"/>
    </xf>
    <xf numFmtId="0" fontId="31" fillId="0" borderId="12" xfId="0" applyFont="1" applyBorder="1" applyAlignment="1">
      <alignment horizontal="center" vertical="center" shrinkToFit="1"/>
    </xf>
    <xf numFmtId="0" fontId="31" fillId="0" borderId="30" xfId="0" applyFont="1" applyBorder="1" applyAlignment="1">
      <alignment horizontal="center" vertical="center" shrinkToFit="1"/>
    </xf>
    <xf numFmtId="183" fontId="31" fillId="0" borderId="31" xfId="0" applyNumberFormat="1" applyFont="1" applyBorder="1" applyAlignment="1">
      <alignment vertical="center" shrinkToFit="1"/>
    </xf>
    <xf numFmtId="177" fontId="31" fillId="0" borderId="18" xfId="0" applyNumberFormat="1" applyFont="1" applyBorder="1" applyAlignment="1">
      <alignment horizontal="right" vertical="center" shrinkToFit="1"/>
    </xf>
    <xf numFmtId="0" fontId="31" fillId="0" borderId="32" xfId="0" applyFont="1" applyBorder="1" applyAlignment="1">
      <alignment horizontal="center" vertical="center" shrinkToFit="1"/>
    </xf>
    <xf numFmtId="0" fontId="31" fillId="0" borderId="33" xfId="0" applyFont="1" applyBorder="1" applyAlignment="1">
      <alignment vertical="center" shrinkToFit="1"/>
    </xf>
    <xf numFmtId="0" fontId="31" fillId="0" borderId="54" xfId="0" applyFont="1" applyBorder="1" applyAlignment="1">
      <alignment vertical="center" shrinkToFit="1"/>
    </xf>
    <xf numFmtId="183" fontId="31" fillId="0" borderId="33" xfId="0" applyNumberFormat="1" applyFont="1" applyBorder="1" applyAlignment="1">
      <alignment vertical="center" shrinkToFit="1"/>
    </xf>
    <xf numFmtId="177" fontId="31" fillId="0" borderId="14" xfId="0" applyNumberFormat="1" applyFont="1" applyBorder="1" applyAlignment="1">
      <alignment horizontal="right" vertical="center" shrinkToFit="1"/>
    </xf>
    <xf numFmtId="183" fontId="31" fillId="0" borderId="170" xfId="0" applyNumberFormat="1" applyFont="1" applyBorder="1" applyAlignment="1">
      <alignment horizontal="center" vertical="center" shrinkToFit="1"/>
    </xf>
    <xf numFmtId="0" fontId="34" fillId="0" borderId="0" xfId="0" applyFont="1" applyAlignment="1">
      <alignment horizontal="left" vertical="center"/>
    </xf>
    <xf numFmtId="0" fontId="34" fillId="0" borderId="0" xfId="0" applyNumberFormat="1" applyFont="1" applyAlignment="1">
      <alignment horizontal="left" vertical="center"/>
    </xf>
    <xf numFmtId="177" fontId="32" fillId="0" borderId="0" xfId="0" applyNumberFormat="1" applyFont="1" applyAlignment="1">
      <alignment vertical="center"/>
    </xf>
    <xf numFmtId="177" fontId="34" fillId="0" borderId="0" xfId="7" applyNumberFormat="1" applyFont="1" applyAlignment="1">
      <alignment vertical="center"/>
    </xf>
    <xf numFmtId="0" fontId="34" fillId="0" borderId="0" xfId="0" applyFont="1" applyAlignment="1">
      <alignment horizontal="right" vertical="center" wrapText="1"/>
    </xf>
    <xf numFmtId="177" fontId="34" fillId="0" borderId="0" xfId="10" applyNumberFormat="1" applyFont="1" applyAlignment="1">
      <alignment vertical="center"/>
    </xf>
    <xf numFmtId="177" fontId="34" fillId="0" borderId="0" xfId="0" applyNumberFormat="1" applyFont="1" applyAlignment="1">
      <alignment vertical="center"/>
    </xf>
    <xf numFmtId="0" fontId="34" fillId="0" borderId="0" xfId="22" applyFont="1" applyAlignment="1">
      <alignment vertical="center"/>
    </xf>
    <xf numFmtId="177" fontId="34" fillId="0" borderId="0" xfId="22" applyNumberFormat="1" applyFont="1" applyAlignment="1">
      <alignment vertical="center"/>
    </xf>
    <xf numFmtId="0" fontId="34" fillId="0" borderId="0" xfId="22" applyFont="1"/>
    <xf numFmtId="177" fontId="34" fillId="0" borderId="0" xfId="22" applyNumberFormat="1" applyFont="1" applyAlignment="1">
      <alignment horizontal="left" vertical="center"/>
    </xf>
    <xf numFmtId="41" fontId="34" fillId="0" borderId="0" xfId="3" applyFont="1" applyAlignment="1">
      <alignment horizontal="center" vertical="center"/>
    </xf>
    <xf numFmtId="177" fontId="34" fillId="0" borderId="0" xfId="22" applyNumberFormat="1" applyFont="1" applyAlignment="1">
      <alignment horizontal="right" vertical="center"/>
    </xf>
    <xf numFmtId="3" fontId="34" fillId="0" borderId="0" xfId="19" applyNumberFormat="1" applyFont="1" applyBorder="1" applyAlignment="1">
      <alignment horizontal="center" vertical="center" shrinkToFit="1"/>
    </xf>
    <xf numFmtId="177" fontId="34" fillId="0" borderId="0" xfId="22" applyNumberFormat="1" applyFont="1" applyAlignment="1">
      <alignment horizontal="center" vertical="center"/>
    </xf>
    <xf numFmtId="3" fontId="49" fillId="0" borderId="0" xfId="19" applyNumberFormat="1" applyFont="1" applyBorder="1" applyAlignment="1">
      <alignment horizontal="center" vertical="center" shrinkToFit="1"/>
    </xf>
    <xf numFmtId="0" fontId="52" fillId="0" borderId="0" xfId="0" applyFont="1">
      <alignment vertical="center"/>
    </xf>
    <xf numFmtId="0" fontId="53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 shrinkToFit="1"/>
    </xf>
    <xf numFmtId="0" fontId="54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1" fillId="0" borderId="12" xfId="6" applyFont="1" applyBorder="1" applyAlignment="1">
      <alignment horizontal="center" vertical="center"/>
    </xf>
    <xf numFmtId="0" fontId="31" fillId="0" borderId="44" xfId="6" applyFont="1" applyBorder="1" applyAlignment="1">
      <alignment horizontal="center" vertical="center"/>
    </xf>
    <xf numFmtId="0" fontId="31" fillId="0" borderId="71" xfId="6" applyFont="1" applyBorder="1" applyAlignment="1">
      <alignment horizontal="center" vertical="center" wrapText="1" shrinkToFit="1"/>
    </xf>
    <xf numFmtId="0" fontId="31" fillId="0" borderId="31" xfId="6" applyFont="1" applyBorder="1" applyAlignment="1">
      <alignment horizontal="center" vertical="center" wrapText="1" shrinkToFit="1"/>
    </xf>
    <xf numFmtId="0" fontId="31" fillId="0" borderId="4" xfId="0" applyFont="1" applyBorder="1" applyAlignment="1">
      <alignment horizontal="distributed" vertical="center" shrinkToFit="1"/>
    </xf>
    <xf numFmtId="0" fontId="31" fillId="0" borderId="29" xfId="0" applyFont="1" applyBorder="1" applyAlignment="1">
      <alignment horizontal="distributed" vertical="center" shrinkToFit="1"/>
    </xf>
    <xf numFmtId="0" fontId="31" fillId="0" borderId="31" xfId="0" applyFont="1" applyBorder="1" applyAlignment="1">
      <alignment horizontal="distributed" vertical="center" shrinkToFit="1"/>
    </xf>
    <xf numFmtId="0" fontId="31" fillId="0" borderId="4" xfId="0" applyFont="1" applyFill="1" applyBorder="1" applyAlignment="1">
      <alignment horizontal="distributed" vertical="center" shrinkToFit="1"/>
    </xf>
    <xf numFmtId="0" fontId="31" fillId="0" borderId="31" xfId="0" applyFont="1" applyFill="1" applyBorder="1" applyAlignment="1">
      <alignment horizontal="distributed" vertical="center" shrinkToFit="1"/>
    </xf>
    <xf numFmtId="0" fontId="31" fillId="0" borderId="9" xfId="0" applyFont="1" applyBorder="1" applyAlignment="1">
      <alignment horizontal="distributed" vertical="center" shrinkToFit="1"/>
    </xf>
    <xf numFmtId="0" fontId="31" fillId="0" borderId="5" xfId="0" applyFont="1" applyBorder="1" applyAlignment="1">
      <alignment horizontal="distributed" vertical="center" shrinkToFit="1"/>
    </xf>
    <xf numFmtId="0" fontId="31" fillId="0" borderId="91" xfId="0" applyFont="1" applyBorder="1" applyAlignment="1">
      <alignment horizontal="distributed" vertical="center" shrinkToFit="1"/>
    </xf>
    <xf numFmtId="0" fontId="31" fillId="0" borderId="4" xfId="0" applyFont="1" applyBorder="1" applyAlignment="1">
      <alignment horizontal="distributed" vertical="center" wrapText="1" shrinkToFit="1"/>
    </xf>
    <xf numFmtId="0" fontId="31" fillId="0" borderId="137" xfId="0" applyFont="1" applyBorder="1" applyAlignment="1">
      <alignment horizontal="distributed" vertical="center" shrinkToFit="1"/>
    </xf>
    <xf numFmtId="0" fontId="31" fillId="0" borderId="130" xfId="0" applyFont="1" applyBorder="1" applyAlignment="1">
      <alignment horizontal="distributed" vertical="center" shrinkToFit="1"/>
    </xf>
    <xf numFmtId="0" fontId="31" fillId="0" borderId="131" xfId="0" applyFont="1" applyBorder="1" applyAlignment="1">
      <alignment horizontal="distributed" vertical="center" shrinkToFit="1"/>
    </xf>
    <xf numFmtId="0" fontId="31" fillId="0" borderId="78" xfId="0" applyFont="1" applyBorder="1" applyAlignment="1">
      <alignment horizontal="distributed" vertical="center" shrinkToFit="1"/>
    </xf>
    <xf numFmtId="0" fontId="37" fillId="0" borderId="10" xfId="0" applyFont="1" applyBorder="1" applyAlignment="1">
      <alignment horizontal="distributed" vertical="center"/>
    </xf>
    <xf numFmtId="0" fontId="39" fillId="0" borderId="4" xfId="0" applyFont="1" applyBorder="1" applyAlignment="1">
      <alignment horizontal="distributed" vertical="center" shrinkToFit="1"/>
    </xf>
    <xf numFmtId="0" fontId="49" fillId="0" borderId="4" xfId="0" applyFont="1" applyBorder="1" applyAlignment="1">
      <alignment horizontal="distributed" vertical="center" shrinkToFit="1"/>
    </xf>
    <xf numFmtId="0" fontId="37" fillId="0" borderId="4" xfId="0" applyFont="1" applyBorder="1" applyAlignment="1">
      <alignment horizontal="distributed" vertical="center" shrinkToFit="1"/>
    </xf>
    <xf numFmtId="0" fontId="39" fillId="0" borderId="29" xfId="0" applyFont="1" applyBorder="1" applyAlignment="1">
      <alignment horizontal="distributed" vertical="center" shrinkToFit="1"/>
    </xf>
    <xf numFmtId="0" fontId="49" fillId="0" borderId="5" xfId="0" applyFont="1" applyBorder="1" applyAlignment="1">
      <alignment horizontal="distributed" vertical="center"/>
    </xf>
    <xf numFmtId="0" fontId="40" fillId="0" borderId="4" xfId="0" applyFont="1" applyBorder="1" applyAlignment="1">
      <alignment horizontal="distributed" vertical="center"/>
    </xf>
    <xf numFmtId="0" fontId="37" fillId="0" borderId="29" xfId="0" applyFont="1" applyBorder="1" applyAlignment="1">
      <alignment horizontal="distributed" vertical="center" shrinkToFit="1"/>
    </xf>
    <xf numFmtId="0" fontId="37" fillId="0" borderId="31" xfId="0" applyFont="1" applyBorder="1" applyAlignment="1">
      <alignment horizontal="distributed" vertical="center" shrinkToFit="1"/>
    </xf>
    <xf numFmtId="0" fontId="37" fillId="0" borderId="9" xfId="0" applyFont="1" applyBorder="1" applyAlignment="1">
      <alignment horizontal="distributed" vertical="center" shrinkToFit="1"/>
    </xf>
    <xf numFmtId="0" fontId="37" fillId="0" borderId="29" xfId="0" applyFont="1" applyBorder="1">
      <alignment vertical="center"/>
    </xf>
    <xf numFmtId="0" fontId="37" fillId="0" borderId="4" xfId="0" applyFont="1" applyBorder="1" applyAlignment="1">
      <alignment horizontal="fill" vertical="center" wrapText="1"/>
    </xf>
    <xf numFmtId="0" fontId="37" fillId="0" borderId="12" xfId="0" applyFont="1" applyBorder="1" applyAlignment="1">
      <alignment horizontal="distributed" vertical="center" wrapText="1"/>
    </xf>
    <xf numFmtId="0" fontId="37" fillId="0" borderId="6" xfId="0" applyFont="1" applyBorder="1" applyAlignment="1">
      <alignment horizontal="distributed" vertical="center" wrapText="1"/>
    </xf>
    <xf numFmtId="177" fontId="35" fillId="0" borderId="0" xfId="0" applyNumberFormat="1" applyFont="1" applyAlignment="1">
      <alignment horizontal="center" vertical="center"/>
    </xf>
    <xf numFmtId="41" fontId="31" fillId="0" borderId="4" xfId="3" applyFont="1" applyBorder="1" applyAlignment="1">
      <alignment horizontal="left" vertical="center" shrinkToFit="1"/>
    </xf>
    <xf numFmtId="41" fontId="31" fillId="0" borderId="5" xfId="3" applyFont="1" applyBorder="1" applyAlignment="1">
      <alignment horizontal="left" vertical="center" shrinkToFit="1"/>
    </xf>
    <xf numFmtId="41" fontId="31" fillId="0" borderId="9" xfId="3" applyFont="1" applyBorder="1" applyAlignment="1">
      <alignment horizontal="left" vertical="center" shrinkToFit="1"/>
    </xf>
    <xf numFmtId="41" fontId="35" fillId="0" borderId="9" xfId="3" applyFont="1" applyBorder="1" applyAlignment="1">
      <alignment horizontal="left" vertical="center" shrinkToFit="1"/>
    </xf>
    <xf numFmtId="41" fontId="31" fillId="0" borderId="4" xfId="3" applyFont="1" applyFill="1" applyBorder="1" applyAlignment="1">
      <alignment horizontal="left" vertical="center" shrinkToFit="1"/>
    </xf>
    <xf numFmtId="177" fontId="31" fillId="0" borderId="9" xfId="0" applyNumberFormat="1" applyFont="1" applyBorder="1" applyAlignment="1">
      <alignment horizontal="center" vertical="center" shrinkToFit="1"/>
    </xf>
    <xf numFmtId="177" fontId="31" fillId="0" borderId="30" xfId="0" applyNumberFormat="1" applyFont="1" applyBorder="1" applyAlignment="1">
      <alignment horizontal="center" vertical="center" shrinkToFit="1"/>
    </xf>
    <xf numFmtId="41" fontId="35" fillId="0" borderId="0" xfId="3" applyFont="1">
      <alignment vertical="center"/>
    </xf>
    <xf numFmtId="41" fontId="37" fillId="0" borderId="0" xfId="0" applyNumberFormat="1" applyFont="1">
      <alignment vertical="center"/>
    </xf>
    <xf numFmtId="0" fontId="31" fillId="0" borderId="4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/>
    </xf>
    <xf numFmtId="41" fontId="31" fillId="0" borderId="29" xfId="3" applyFont="1" applyBorder="1" applyAlignment="1">
      <alignment horizontal="center" vertical="center" shrinkToFit="1"/>
    </xf>
    <xf numFmtId="0" fontId="31" fillId="0" borderId="34" xfId="0" applyFont="1" applyBorder="1" applyAlignment="1">
      <alignment vertical="center" wrapText="1" shrinkToFit="1"/>
    </xf>
    <xf numFmtId="0" fontId="31" fillId="0" borderId="52" xfId="0" applyFont="1" applyBorder="1" applyAlignment="1">
      <alignment horizontal="left" vertical="center" wrapText="1"/>
    </xf>
    <xf numFmtId="0" fontId="31" fillId="0" borderId="52" xfId="0" applyFont="1" applyBorder="1" applyAlignment="1">
      <alignment vertical="center" shrinkToFit="1"/>
    </xf>
    <xf numFmtId="0" fontId="31" fillId="0" borderId="124" xfId="0" applyFont="1" applyBorder="1" applyAlignment="1">
      <alignment horizontal="distributed" vertical="center" shrinkToFit="1"/>
    </xf>
    <xf numFmtId="0" fontId="37" fillId="0" borderId="0" xfId="0" applyFont="1" applyBorder="1">
      <alignment vertical="center"/>
    </xf>
    <xf numFmtId="0" fontId="31" fillId="0" borderId="91" xfId="0" applyFont="1" applyBorder="1" applyAlignment="1">
      <alignment horizontal="center" vertical="center" shrinkToFit="1"/>
    </xf>
    <xf numFmtId="0" fontId="31" fillId="0" borderId="91" xfId="0" applyFont="1" applyBorder="1" applyAlignment="1">
      <alignment vertical="center" shrinkToFit="1"/>
    </xf>
    <xf numFmtId="0" fontId="31" fillId="0" borderId="173" xfId="0" applyFont="1" applyBorder="1" applyAlignment="1">
      <alignment vertical="center" shrinkToFit="1"/>
    </xf>
    <xf numFmtId="177" fontId="31" fillId="0" borderId="174" xfId="0" applyNumberFormat="1" applyFont="1" applyBorder="1" applyAlignment="1">
      <alignment vertical="center" shrinkToFit="1"/>
    </xf>
    <xf numFmtId="177" fontId="31" fillId="0" borderId="29" xfId="0" applyNumberFormat="1" applyFont="1" applyBorder="1" applyAlignment="1">
      <alignment horizontal="right" vertical="center" shrinkToFit="1"/>
    </xf>
    <xf numFmtId="41" fontId="31" fillId="0" borderId="29" xfId="3" applyFont="1" applyBorder="1" applyAlignment="1">
      <alignment horizontal="left" vertical="center" shrinkToFit="1"/>
    </xf>
    <xf numFmtId="177" fontId="31" fillId="0" borderId="143" xfId="0" applyNumberFormat="1" applyFont="1" applyBorder="1" applyAlignment="1">
      <alignment horizontal="left" vertical="center" shrinkToFit="1"/>
    </xf>
    <xf numFmtId="177" fontId="31" fillId="0" borderId="76" xfId="0" applyNumberFormat="1" applyFont="1" applyBorder="1" applyAlignment="1">
      <alignment horizontal="right" vertical="center" shrinkToFit="1"/>
    </xf>
    <xf numFmtId="177" fontId="37" fillId="0" borderId="96" xfId="0" quotePrefix="1" applyNumberFormat="1" applyFont="1" applyBorder="1" applyAlignment="1">
      <alignment horizontal="left" vertical="center" wrapText="1" shrinkToFit="1"/>
    </xf>
    <xf numFmtId="177" fontId="31" fillId="0" borderId="76" xfId="0" applyNumberFormat="1" applyFont="1" applyBorder="1" applyAlignment="1">
      <alignment horizontal="left" vertical="center" shrinkToFit="1"/>
    </xf>
    <xf numFmtId="0" fontId="31" fillId="0" borderId="175" xfId="0" applyFont="1" applyBorder="1" applyAlignment="1">
      <alignment horizontal="center" vertical="center" shrinkToFit="1"/>
    </xf>
    <xf numFmtId="0" fontId="31" fillId="0" borderId="5" xfId="0" applyFont="1" applyBorder="1" applyAlignment="1">
      <alignment horizontal="distributed" vertical="center" wrapText="1" shrinkToFit="1"/>
    </xf>
    <xf numFmtId="177" fontId="31" fillId="0" borderId="97" xfId="0" applyNumberFormat="1" applyFont="1" applyBorder="1" applyAlignment="1">
      <alignment horizontal="left" vertical="center" wrapText="1" shrinkToFit="1"/>
    </xf>
    <xf numFmtId="0" fontId="37" fillId="0" borderId="67" xfId="0" applyFont="1" applyBorder="1">
      <alignment vertical="center"/>
    </xf>
    <xf numFmtId="0" fontId="31" fillId="0" borderId="137" xfId="0" applyFont="1" applyBorder="1" applyAlignment="1">
      <alignment horizontal="distributed" vertical="center" wrapText="1" shrinkToFit="1"/>
    </xf>
    <xf numFmtId="177" fontId="34" fillId="0" borderId="0" xfId="22" applyNumberFormat="1" applyFont="1" applyAlignment="1">
      <alignment horizontal="left" vertical="center" shrinkToFit="1"/>
    </xf>
    <xf numFmtId="0" fontId="51" fillId="0" borderId="0" xfId="0" applyFont="1" applyAlignment="1">
      <alignment horizontal="center" vertical="center"/>
    </xf>
    <xf numFmtId="0" fontId="51" fillId="0" borderId="0" xfId="0" applyFont="1" applyAlignment="1">
      <alignment vertical="center"/>
    </xf>
    <xf numFmtId="0" fontId="34" fillId="0" borderId="0" xfId="0" applyNumberFormat="1" applyFont="1" applyAlignment="1">
      <alignment horizontal="left" vertical="center"/>
    </xf>
    <xf numFmtId="0" fontId="34" fillId="0" borderId="0" xfId="0" applyFont="1" applyAlignment="1">
      <alignment horizontal="distributed" vertical="center"/>
    </xf>
    <xf numFmtId="177" fontId="34" fillId="0" borderId="0" xfId="0" applyNumberFormat="1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vertical="center" shrinkToFit="1"/>
    </xf>
    <xf numFmtId="3" fontId="32" fillId="0" borderId="0" xfId="0" applyNumberFormat="1" applyFont="1" applyAlignment="1">
      <alignment horizontal="center" vertical="center"/>
    </xf>
    <xf numFmtId="177" fontId="34" fillId="0" borderId="0" xfId="0" applyNumberFormat="1" applyFont="1" applyAlignment="1">
      <alignment horizontal="right" vertical="center"/>
    </xf>
    <xf numFmtId="0" fontId="34" fillId="0" borderId="0" xfId="22" applyFont="1" applyAlignment="1">
      <alignment horizontal="center"/>
    </xf>
    <xf numFmtId="177" fontId="34" fillId="0" borderId="0" xfId="22" applyNumberFormat="1" applyFont="1" applyAlignment="1">
      <alignment horizontal="left" vertical="center"/>
    </xf>
    <xf numFmtId="0" fontId="41" fillId="0" borderId="105" xfId="0" applyFont="1" applyBorder="1" applyAlignment="1">
      <alignment horizontal="center" vertical="center"/>
    </xf>
    <xf numFmtId="0" fontId="42" fillId="0" borderId="65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43" fillId="0" borderId="0" xfId="0" applyFont="1" applyAlignment="1">
      <alignment horizontal="center" vertical="center" shrinkToFit="1"/>
    </xf>
    <xf numFmtId="0" fontId="35" fillId="0" borderId="106" xfId="0" applyFont="1" applyBorder="1" applyAlignment="1">
      <alignment horizontal="center" vertical="center" shrinkToFit="1"/>
    </xf>
    <xf numFmtId="0" fontId="31" fillId="0" borderId="8" xfId="0" applyFont="1" applyBorder="1" applyAlignment="1">
      <alignment horizontal="center" vertical="center" shrinkToFit="1"/>
    </xf>
    <xf numFmtId="0" fontId="33" fillId="0" borderId="107" xfId="0" applyFont="1" applyBorder="1" applyAlignment="1">
      <alignment horizontal="center" vertical="center"/>
    </xf>
    <xf numFmtId="0" fontId="33" fillId="0" borderId="65" xfId="0" applyFont="1" applyBorder="1" applyAlignment="1">
      <alignment horizontal="center" vertical="center"/>
    </xf>
    <xf numFmtId="0" fontId="33" fillId="0" borderId="108" xfId="0" applyFont="1" applyBorder="1" applyAlignment="1">
      <alignment horizontal="center" vertical="center"/>
    </xf>
    <xf numFmtId="0" fontId="35" fillId="0" borderId="71" xfId="0" applyFont="1" applyBorder="1" applyAlignment="1">
      <alignment horizontal="center" vertical="center" wrapText="1"/>
    </xf>
    <xf numFmtId="0" fontId="35" fillId="0" borderId="101" xfId="0" applyFont="1" applyBorder="1" applyAlignment="1">
      <alignment horizontal="center" vertical="center" wrapText="1"/>
    </xf>
    <xf numFmtId="178" fontId="35" fillId="0" borderId="71" xfId="0" applyNumberFormat="1" applyFont="1" applyBorder="1" applyAlignment="1">
      <alignment horizontal="center" vertical="center" wrapText="1"/>
    </xf>
    <xf numFmtId="178" fontId="35" fillId="0" borderId="101" xfId="0" applyNumberFormat="1" applyFont="1" applyBorder="1" applyAlignment="1">
      <alignment horizontal="center" vertical="center" wrapText="1"/>
    </xf>
    <xf numFmtId="0" fontId="41" fillId="0" borderId="0" xfId="0" applyFont="1" applyAlignment="1">
      <alignment horizontal="center" vertical="center" shrinkToFit="1"/>
    </xf>
    <xf numFmtId="0" fontId="42" fillId="0" borderId="0" xfId="0" applyFont="1" applyAlignment="1">
      <alignment horizontal="center" vertical="center" shrinkToFit="1"/>
    </xf>
    <xf numFmtId="0" fontId="35" fillId="0" borderId="159" xfId="0" applyFont="1" applyBorder="1" applyAlignment="1">
      <alignment horizontal="center" vertical="center" wrapText="1"/>
    </xf>
    <xf numFmtId="0" fontId="35" fillId="0" borderId="35" xfId="0" applyFont="1" applyBorder="1" applyAlignment="1">
      <alignment horizontal="center" vertical="center" shrinkToFit="1"/>
    </xf>
    <xf numFmtId="0" fontId="31" fillId="0" borderId="4" xfId="0" applyFont="1" applyBorder="1" applyAlignment="1">
      <alignment horizontal="center" vertical="center" shrinkToFit="1"/>
    </xf>
    <xf numFmtId="0" fontId="35" fillId="0" borderId="49" xfId="0" applyFont="1" applyBorder="1" applyAlignment="1">
      <alignment horizontal="center" vertical="center" shrinkToFit="1"/>
    </xf>
    <xf numFmtId="0" fontId="35" fillId="0" borderId="9" xfId="0" applyFont="1" applyBorder="1" applyAlignment="1">
      <alignment horizontal="center" vertical="center" shrinkToFit="1"/>
    </xf>
    <xf numFmtId="0" fontId="35" fillId="0" borderId="12" xfId="0" applyFont="1" applyBorder="1" applyAlignment="1">
      <alignment horizontal="center" vertical="center" shrinkToFit="1"/>
    </xf>
    <xf numFmtId="0" fontId="35" fillId="0" borderId="55" xfId="0" applyFont="1" applyBorder="1" applyAlignment="1">
      <alignment horizontal="center" vertical="center"/>
    </xf>
    <xf numFmtId="0" fontId="35" fillId="0" borderId="102" xfId="0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0" fontId="35" fillId="0" borderId="12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35" fillId="0" borderId="35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41" fillId="0" borderId="0" xfId="0" applyFont="1" applyAlignment="1">
      <alignment vertical="center"/>
    </xf>
    <xf numFmtId="0" fontId="42" fillId="0" borderId="0" xfId="0" applyFont="1" applyAlignment="1">
      <alignment vertical="center"/>
    </xf>
    <xf numFmtId="0" fontId="41" fillId="0" borderId="0" xfId="0" applyFont="1" applyAlignment="1">
      <alignment horizontal="left" vertical="center"/>
    </xf>
    <xf numFmtId="0" fontId="31" fillId="0" borderId="10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 vertical="center"/>
    </xf>
    <xf numFmtId="0" fontId="36" fillId="0" borderId="71" xfId="0" applyFont="1" applyBorder="1" applyAlignment="1">
      <alignment horizontal="center" vertical="center"/>
    </xf>
    <xf numFmtId="0" fontId="31" fillId="0" borderId="10" xfId="0" applyFont="1" applyBorder="1" applyAlignment="1">
      <alignment horizontal="distributed" vertical="center"/>
    </xf>
    <xf numFmtId="0" fontId="31" fillId="0" borderId="6" xfId="0" applyFont="1" applyBorder="1" applyAlignment="1">
      <alignment horizontal="distributed" vertical="center"/>
    </xf>
    <xf numFmtId="177" fontId="37" fillId="0" borderId="10" xfId="0" applyNumberFormat="1" applyFont="1" applyBorder="1" applyAlignment="1">
      <alignment horizontal="left" vertical="center"/>
    </xf>
    <xf numFmtId="177" fontId="37" fillId="0" borderId="7" xfId="0" applyNumberFormat="1" applyFont="1" applyBorder="1" applyAlignment="1">
      <alignment horizontal="left" vertical="center"/>
    </xf>
    <xf numFmtId="177" fontId="37" fillId="0" borderId="11" xfId="0" applyNumberFormat="1" applyFont="1" applyBorder="1" applyAlignment="1">
      <alignment horizontal="left" vertical="center"/>
    </xf>
    <xf numFmtId="177" fontId="37" fillId="0" borderId="10" xfId="0" applyNumberFormat="1" applyFont="1" applyBorder="1" applyAlignment="1">
      <alignment horizontal="left" vertical="center" wrapText="1" shrinkToFit="1"/>
    </xf>
    <xf numFmtId="177" fontId="37" fillId="0" borderId="7" xfId="0" applyNumberFormat="1" applyFont="1" applyBorder="1" applyAlignment="1">
      <alignment horizontal="left" vertical="center" shrinkToFit="1"/>
    </xf>
    <xf numFmtId="177" fontId="37" fillId="0" borderId="11" xfId="0" applyNumberFormat="1" applyFont="1" applyBorder="1" applyAlignment="1">
      <alignment horizontal="left" vertical="center" shrinkToFit="1"/>
    </xf>
    <xf numFmtId="177" fontId="39" fillId="0" borderId="10" xfId="0" applyNumberFormat="1" applyFont="1" applyBorder="1" applyAlignment="1">
      <alignment horizontal="center" vertical="center"/>
    </xf>
    <xf numFmtId="177" fontId="39" fillId="0" borderId="7" xfId="0" applyNumberFormat="1" applyFont="1" applyBorder="1" applyAlignment="1">
      <alignment horizontal="center" vertical="center"/>
    </xf>
    <xf numFmtId="177" fontId="39" fillId="0" borderId="11" xfId="0" applyNumberFormat="1" applyFont="1" applyBorder="1" applyAlignment="1">
      <alignment horizontal="center" vertical="center"/>
    </xf>
    <xf numFmtId="177" fontId="37" fillId="0" borderId="17" xfId="0" applyNumberFormat="1" applyFont="1" applyBorder="1" applyAlignment="1">
      <alignment horizontal="left" vertical="center"/>
    </xf>
    <xf numFmtId="0" fontId="37" fillId="0" borderId="15" xfId="0" applyFont="1" applyBorder="1" applyAlignment="1">
      <alignment horizontal="left" vertical="center"/>
    </xf>
    <xf numFmtId="0" fontId="37" fillId="0" borderId="111" xfId="0" applyFont="1" applyBorder="1" applyAlignment="1">
      <alignment horizontal="left" vertical="center"/>
    </xf>
    <xf numFmtId="0" fontId="37" fillId="0" borderId="7" xfId="0" applyFont="1" applyBorder="1" applyAlignment="1">
      <alignment horizontal="left" vertical="center"/>
    </xf>
    <xf numFmtId="0" fontId="37" fillId="0" borderId="11" xfId="0" applyFont="1" applyBorder="1" applyAlignment="1">
      <alignment horizontal="left" vertical="center"/>
    </xf>
    <xf numFmtId="177" fontId="39" fillId="0" borderId="10" xfId="0" applyNumberFormat="1" applyFont="1" applyBorder="1" applyAlignment="1">
      <alignment vertical="center"/>
    </xf>
    <xf numFmtId="0" fontId="34" fillId="0" borderId="7" xfId="0" applyFont="1" applyBorder="1" applyAlignment="1">
      <alignment vertical="center"/>
    </xf>
    <xf numFmtId="0" fontId="34" fillId="0" borderId="11" xfId="0" applyFont="1" applyBorder="1" applyAlignment="1">
      <alignment vertical="center"/>
    </xf>
    <xf numFmtId="177" fontId="39" fillId="0" borderId="157" xfId="0" applyNumberFormat="1" applyFont="1" applyBorder="1" applyAlignment="1">
      <alignment vertical="center" wrapText="1"/>
    </xf>
    <xf numFmtId="0" fontId="34" fillId="0" borderId="59" xfId="0" applyFont="1" applyBorder="1" applyAlignment="1">
      <alignment vertical="center"/>
    </xf>
    <xf numFmtId="0" fontId="34" fillId="0" borderId="158" xfId="0" applyFont="1" applyBorder="1" applyAlignment="1">
      <alignment vertical="center"/>
    </xf>
    <xf numFmtId="177" fontId="39" fillId="0" borderId="10" xfId="0" applyNumberFormat="1" applyFont="1" applyBorder="1" applyAlignment="1">
      <alignment horizontal="left" vertical="center"/>
    </xf>
    <xf numFmtId="177" fontId="39" fillId="0" borderId="7" xfId="0" applyNumberFormat="1" applyFont="1" applyBorder="1" applyAlignment="1">
      <alignment horizontal="left" vertical="center"/>
    </xf>
    <xf numFmtId="177" fontId="39" fillId="0" borderId="11" xfId="0" applyNumberFormat="1" applyFont="1" applyBorder="1" applyAlignment="1">
      <alignment horizontal="left" vertical="center"/>
    </xf>
    <xf numFmtId="177" fontId="39" fillId="0" borderId="10" xfId="0" applyNumberFormat="1" applyFont="1" applyBorder="1" applyAlignment="1">
      <alignment horizontal="left" vertical="center" wrapText="1"/>
    </xf>
    <xf numFmtId="177" fontId="39" fillId="0" borderId="7" xfId="0" applyNumberFormat="1" applyFont="1" applyBorder="1" applyAlignment="1">
      <alignment horizontal="left" vertical="center" wrapText="1"/>
    </xf>
    <xf numFmtId="177" fontId="39" fillId="0" borderId="11" xfId="0" applyNumberFormat="1" applyFont="1" applyBorder="1" applyAlignment="1">
      <alignment horizontal="left" vertical="center" wrapText="1"/>
    </xf>
    <xf numFmtId="0" fontId="31" fillId="0" borderId="9" xfId="0" applyFont="1" applyBorder="1" applyAlignment="1">
      <alignment horizontal="center" vertical="center"/>
    </xf>
    <xf numFmtId="0" fontId="35" fillId="0" borderId="115" xfId="0" applyFont="1" applyBorder="1" applyAlignment="1">
      <alignment horizontal="center" vertical="center"/>
    </xf>
    <xf numFmtId="0" fontId="35" fillId="0" borderId="116" xfId="0" applyFont="1" applyBorder="1" applyAlignment="1">
      <alignment horizontal="center" vertical="center"/>
    </xf>
    <xf numFmtId="0" fontId="35" fillId="0" borderId="117" xfId="0" applyFont="1" applyBorder="1" applyAlignment="1">
      <alignment horizontal="center" vertical="center"/>
    </xf>
    <xf numFmtId="0" fontId="35" fillId="0" borderId="118" xfId="0" applyFont="1" applyBorder="1" applyAlignment="1">
      <alignment horizontal="center" vertical="center" wrapText="1"/>
    </xf>
    <xf numFmtId="0" fontId="35" fillId="0" borderId="40" xfId="0" applyFont="1" applyBorder="1" applyAlignment="1">
      <alignment horizontal="center" vertical="center" wrapText="1"/>
    </xf>
    <xf numFmtId="0" fontId="35" fillId="0" borderId="119" xfId="0" applyFont="1" applyBorder="1" applyAlignment="1">
      <alignment horizontal="center" vertical="center" wrapText="1"/>
    </xf>
    <xf numFmtId="0" fontId="35" fillId="0" borderId="120" xfId="0" applyFont="1" applyBorder="1" applyAlignment="1">
      <alignment horizontal="center" vertical="center" wrapText="1"/>
    </xf>
    <xf numFmtId="0" fontId="35" fillId="0" borderId="121" xfId="0" applyFont="1" applyBorder="1" applyAlignment="1">
      <alignment horizontal="center" vertical="center" wrapText="1"/>
    </xf>
    <xf numFmtId="0" fontId="35" fillId="0" borderId="122" xfId="0" applyFont="1" applyBorder="1" applyAlignment="1">
      <alignment horizontal="center" vertical="center" wrapText="1"/>
    </xf>
    <xf numFmtId="177" fontId="39" fillId="0" borderId="10" xfId="0" applyNumberFormat="1" applyFont="1" applyBorder="1" applyAlignment="1">
      <alignment horizontal="right" vertical="center"/>
    </xf>
    <xf numFmtId="177" fontId="39" fillId="0" borderId="7" xfId="0" applyNumberFormat="1" applyFont="1" applyBorder="1" applyAlignment="1">
      <alignment horizontal="right" vertical="center"/>
    </xf>
    <xf numFmtId="0" fontId="31" fillId="0" borderId="4" xfId="0" applyFont="1" applyBorder="1" applyAlignment="1">
      <alignment horizontal="distributed" vertical="center"/>
    </xf>
    <xf numFmtId="0" fontId="31" fillId="0" borderId="4" xfId="0" applyFont="1" applyBorder="1" applyAlignment="1">
      <alignment vertical="center"/>
    </xf>
    <xf numFmtId="0" fontId="34" fillId="0" borderId="7" xfId="0" applyFont="1" applyBorder="1" applyAlignment="1">
      <alignment horizontal="right" vertical="center"/>
    </xf>
    <xf numFmtId="0" fontId="39" fillId="0" borderId="112" xfId="0" applyFont="1" applyBorder="1" applyAlignment="1">
      <alignment horizontal="left" vertical="center" wrapText="1"/>
    </xf>
    <xf numFmtId="0" fontId="39" fillId="0" borderId="26" xfId="0" applyFont="1" applyBorder="1" applyAlignment="1">
      <alignment horizontal="left" vertical="center" wrapText="1"/>
    </xf>
    <xf numFmtId="0" fontId="39" fillId="0" borderId="113" xfId="0" applyFont="1" applyBorder="1" applyAlignment="1">
      <alignment horizontal="left" vertical="center" wrapText="1"/>
    </xf>
    <xf numFmtId="0" fontId="37" fillId="0" borderId="114" xfId="0" applyFont="1" applyBorder="1" applyAlignment="1">
      <alignment horizontal="right" vertical="center"/>
    </xf>
    <xf numFmtId="177" fontId="37" fillId="0" borderId="10" xfId="0" applyNumberFormat="1" applyFont="1" applyBorder="1" applyAlignment="1">
      <alignment horizontal="left" vertical="center" wrapText="1"/>
    </xf>
    <xf numFmtId="177" fontId="37" fillId="0" borderId="10" xfId="0" applyNumberFormat="1" applyFont="1" applyBorder="1" applyAlignment="1">
      <alignment vertical="center"/>
    </xf>
    <xf numFmtId="0" fontId="37" fillId="0" borderId="7" xfId="0" applyFont="1" applyBorder="1" applyAlignment="1">
      <alignment vertical="center"/>
    </xf>
    <xf numFmtId="0" fontId="37" fillId="0" borderId="11" xfId="0" applyFont="1" applyBorder="1" applyAlignment="1">
      <alignment vertical="center"/>
    </xf>
    <xf numFmtId="0" fontId="31" fillId="0" borderId="36" xfId="0" applyFont="1" applyBorder="1" applyAlignment="1">
      <alignment horizontal="center" vertical="center"/>
    </xf>
    <xf numFmtId="0" fontId="31" fillId="0" borderId="43" xfId="0" applyFont="1" applyBorder="1" applyAlignment="1">
      <alignment horizontal="center" vertical="center"/>
    </xf>
    <xf numFmtId="177" fontId="37" fillId="0" borderId="10" xfId="0" applyNumberFormat="1" applyFont="1" applyBorder="1" applyAlignment="1">
      <alignment horizontal="fill" vertical="center"/>
    </xf>
    <xf numFmtId="177" fontId="37" fillId="0" borderId="7" xfId="0" applyNumberFormat="1" applyFont="1" applyBorder="1" applyAlignment="1">
      <alignment horizontal="fill" vertical="center"/>
    </xf>
    <xf numFmtId="177" fontId="37" fillId="0" borderId="11" xfId="0" applyNumberFormat="1" applyFont="1" applyBorder="1" applyAlignment="1">
      <alignment horizontal="fill" vertical="center"/>
    </xf>
    <xf numFmtId="177" fontId="37" fillId="0" borderId="10" xfId="0" applyNumberFormat="1" applyFont="1" applyBorder="1" applyAlignment="1">
      <alignment horizontal="left" vertical="center" shrinkToFit="1"/>
    </xf>
    <xf numFmtId="177" fontId="37" fillId="0" borderId="15" xfId="0" applyNumberFormat="1" applyFont="1" applyBorder="1" applyAlignment="1">
      <alignment horizontal="left" vertical="center"/>
    </xf>
    <xf numFmtId="177" fontId="37" fillId="0" borderId="111" xfId="0" applyNumberFormat="1" applyFont="1" applyBorder="1" applyAlignment="1">
      <alignment horizontal="left" vertical="center"/>
    </xf>
    <xf numFmtId="177" fontId="37" fillId="0" borderId="36" xfId="0" applyNumberFormat="1" applyFont="1" applyBorder="1" applyAlignment="1">
      <alignment horizontal="left" vertical="center"/>
    </xf>
    <xf numFmtId="177" fontId="37" fillId="0" borderId="37" xfId="0" applyNumberFormat="1" applyFont="1" applyBorder="1" applyAlignment="1">
      <alignment horizontal="left" vertical="center"/>
    </xf>
    <xf numFmtId="177" fontId="37" fillId="0" borderId="38" xfId="0" applyNumberFormat="1" applyFont="1" applyBorder="1" applyAlignment="1">
      <alignment horizontal="left" vertical="center"/>
    </xf>
    <xf numFmtId="177" fontId="39" fillId="0" borderId="36" xfId="0" applyNumberFormat="1" applyFont="1" applyBorder="1" applyAlignment="1">
      <alignment horizontal="left" vertical="center"/>
    </xf>
    <xf numFmtId="177" fontId="39" fillId="0" borderId="37" xfId="0" applyNumberFormat="1" applyFont="1" applyBorder="1" applyAlignment="1">
      <alignment horizontal="left" vertical="center"/>
    </xf>
    <xf numFmtId="177" fontId="39" fillId="0" borderId="38" xfId="0" applyNumberFormat="1" applyFont="1" applyBorder="1" applyAlignment="1">
      <alignment horizontal="left" vertical="center"/>
    </xf>
    <xf numFmtId="177" fontId="40" fillId="0" borderId="10" xfId="0" applyNumberFormat="1" applyFont="1" applyBorder="1" applyAlignment="1">
      <alignment horizontal="left" vertical="center"/>
    </xf>
    <xf numFmtId="177" fontId="40" fillId="0" borderId="7" xfId="0" applyNumberFormat="1" applyFont="1" applyBorder="1" applyAlignment="1">
      <alignment horizontal="left" vertical="center"/>
    </xf>
    <xf numFmtId="177" fontId="40" fillId="0" borderId="11" xfId="0" applyNumberFormat="1" applyFont="1" applyBorder="1" applyAlignment="1">
      <alignment horizontal="left" vertical="center"/>
    </xf>
    <xf numFmtId="0" fontId="35" fillId="0" borderId="10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left" vertical="center"/>
    </xf>
    <xf numFmtId="0" fontId="34" fillId="0" borderId="11" xfId="0" applyFont="1" applyBorder="1" applyAlignment="1">
      <alignment horizontal="left" vertical="center"/>
    </xf>
    <xf numFmtId="178" fontId="39" fillId="0" borderId="10" xfId="0" applyNumberFormat="1" applyFont="1" applyBorder="1" applyAlignment="1">
      <alignment horizontal="left" vertical="center"/>
    </xf>
    <xf numFmtId="178" fontId="39" fillId="0" borderId="7" xfId="0" applyNumberFormat="1" applyFont="1" applyBorder="1" applyAlignment="1">
      <alignment horizontal="left" vertical="center"/>
    </xf>
    <xf numFmtId="178" fontId="39" fillId="0" borderId="11" xfId="0" applyNumberFormat="1" applyFont="1" applyBorder="1" applyAlignment="1">
      <alignment horizontal="left" vertical="center"/>
    </xf>
    <xf numFmtId="178" fontId="39" fillId="0" borderId="4" xfId="0" applyNumberFormat="1" applyFont="1" applyBorder="1" applyAlignment="1">
      <alignment horizontal="left" vertical="center"/>
    </xf>
    <xf numFmtId="178" fontId="39" fillId="0" borderId="13" xfId="0" applyNumberFormat="1" applyFont="1" applyBorder="1" applyAlignment="1">
      <alignment horizontal="left" vertical="center"/>
    </xf>
    <xf numFmtId="178" fontId="37" fillId="0" borderId="4" xfId="0" applyNumberFormat="1" applyFont="1" applyBorder="1" applyAlignment="1">
      <alignment horizontal="left" vertical="center" wrapText="1"/>
    </xf>
    <xf numFmtId="178" fontId="37" fillId="0" borderId="4" xfId="0" applyNumberFormat="1" applyFont="1" applyBorder="1" applyAlignment="1">
      <alignment horizontal="left" vertical="center"/>
    </xf>
    <xf numFmtId="178" fontId="37" fillId="0" borderId="13" xfId="0" applyNumberFormat="1" applyFont="1" applyBorder="1" applyAlignment="1">
      <alignment horizontal="left" vertical="center"/>
    </xf>
    <xf numFmtId="178" fontId="39" fillId="0" borderId="10" xfId="0" applyNumberFormat="1" applyFont="1" applyBorder="1" applyAlignment="1">
      <alignment vertical="center" wrapText="1" shrinkToFit="1"/>
    </xf>
    <xf numFmtId="178" fontId="39" fillId="0" borderId="7" xfId="0" applyNumberFormat="1" applyFont="1" applyBorder="1" applyAlignment="1">
      <alignment vertical="center" shrinkToFit="1"/>
    </xf>
    <xf numFmtId="178" fontId="39" fillId="0" borderId="11" xfId="0" applyNumberFormat="1" applyFont="1" applyBorder="1" applyAlignment="1">
      <alignment vertical="center" shrinkToFit="1"/>
    </xf>
    <xf numFmtId="178" fontId="39" fillId="0" borderId="10" xfId="0" applyNumberFormat="1" applyFont="1" applyBorder="1" applyAlignment="1">
      <alignment horizontal="left" vertical="center" wrapText="1" shrinkToFit="1"/>
    </xf>
    <xf numFmtId="178" fontId="39" fillId="0" borderId="7" xfId="0" applyNumberFormat="1" applyFont="1" applyBorder="1" applyAlignment="1">
      <alignment horizontal="left" vertical="center" wrapText="1" shrinkToFit="1"/>
    </xf>
    <xf numFmtId="178" fontId="39" fillId="0" borderId="11" xfId="0" applyNumberFormat="1" applyFont="1" applyBorder="1" applyAlignment="1">
      <alignment horizontal="left" vertical="center" wrapText="1" shrinkToFit="1"/>
    </xf>
    <xf numFmtId="178" fontId="39" fillId="0" borderId="17" xfId="0" applyNumberFormat="1" applyFont="1" applyBorder="1" applyAlignment="1">
      <alignment horizontal="left" vertical="center"/>
    </xf>
    <xf numFmtId="178" fontId="39" fillId="0" borderId="15" xfId="0" applyNumberFormat="1" applyFont="1" applyBorder="1" applyAlignment="1">
      <alignment horizontal="left" vertical="center"/>
    </xf>
    <xf numFmtId="178" fontId="39" fillId="0" borderId="111" xfId="0" applyNumberFormat="1" applyFont="1" applyBorder="1" applyAlignment="1">
      <alignment horizontal="left" vertical="center"/>
    </xf>
    <xf numFmtId="178" fontId="39" fillId="0" borderId="10" xfId="0" applyNumberFormat="1" applyFont="1" applyBorder="1" applyAlignment="1">
      <alignment horizontal="left" vertical="center" shrinkToFit="1"/>
    </xf>
    <xf numFmtId="178" fontId="39" fillId="0" borderId="7" xfId="0" applyNumberFormat="1" applyFont="1" applyBorder="1" applyAlignment="1">
      <alignment horizontal="left" vertical="center" shrinkToFit="1"/>
    </xf>
    <xf numFmtId="178" fontId="39" fillId="0" borderId="11" xfId="0" applyNumberFormat="1" applyFont="1" applyBorder="1" applyAlignment="1">
      <alignment horizontal="left" vertical="center" shrinkToFit="1"/>
    </xf>
    <xf numFmtId="178" fontId="39" fillId="0" borderId="10" xfId="0" applyNumberFormat="1" applyFont="1" applyBorder="1" applyAlignment="1">
      <alignment horizontal="center" vertical="center"/>
    </xf>
    <xf numFmtId="178" fontId="39" fillId="0" borderId="7" xfId="0" applyNumberFormat="1" applyFont="1" applyBorder="1" applyAlignment="1">
      <alignment horizontal="center" vertical="center"/>
    </xf>
    <xf numFmtId="178" fontId="39" fillId="0" borderId="11" xfId="0" applyNumberFormat="1" applyFont="1" applyBorder="1" applyAlignment="1">
      <alignment horizontal="center" vertical="center"/>
    </xf>
    <xf numFmtId="178" fontId="39" fillId="0" borderId="5" xfId="0" applyNumberFormat="1" applyFont="1" applyBorder="1" applyAlignment="1">
      <alignment horizontal="left" vertical="center"/>
    </xf>
    <xf numFmtId="178" fontId="39" fillId="0" borderId="14" xfId="0" applyNumberFormat="1" applyFont="1" applyBorder="1" applyAlignment="1">
      <alignment horizontal="left" vertical="center"/>
    </xf>
    <xf numFmtId="0" fontId="38" fillId="0" borderId="0" xfId="0" applyFont="1" applyAlignment="1">
      <alignment vertical="center"/>
    </xf>
    <xf numFmtId="0" fontId="37" fillId="0" borderId="0" xfId="0" applyFont="1" applyBorder="1" applyAlignment="1">
      <alignment horizontal="right" vertical="center"/>
    </xf>
    <xf numFmtId="0" fontId="35" fillId="0" borderId="8" xfId="0" applyFont="1" applyBorder="1" applyAlignment="1">
      <alignment horizontal="center" vertical="center" wrapText="1"/>
    </xf>
    <xf numFmtId="0" fontId="35" fillId="0" borderId="55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5" fillId="0" borderId="102" xfId="0" applyFont="1" applyBorder="1" applyAlignment="1">
      <alignment horizontal="center" vertical="center" wrapText="1"/>
    </xf>
    <xf numFmtId="178" fontId="37" fillId="0" borderId="10" xfId="0" applyNumberFormat="1" applyFont="1" applyBorder="1" applyAlignment="1">
      <alignment horizontal="left" vertical="center" wrapText="1"/>
    </xf>
    <xf numFmtId="178" fontId="37" fillId="0" borderId="7" xfId="0" applyNumberFormat="1" applyFont="1" applyBorder="1" applyAlignment="1">
      <alignment horizontal="left" vertical="center" wrapText="1"/>
    </xf>
    <xf numFmtId="178" fontId="37" fillId="0" borderId="11" xfId="0" applyNumberFormat="1" applyFont="1" applyBorder="1" applyAlignment="1">
      <alignment horizontal="left" vertical="center" wrapText="1"/>
    </xf>
    <xf numFmtId="0" fontId="36" fillId="0" borderId="12" xfId="0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0" fontId="35" fillId="0" borderId="71" xfId="0" applyFont="1" applyBorder="1" applyAlignment="1">
      <alignment horizontal="center" vertical="center"/>
    </xf>
    <xf numFmtId="178" fontId="39" fillId="0" borderId="9" xfId="0" applyNumberFormat="1" applyFont="1" applyBorder="1" applyAlignment="1">
      <alignment horizontal="left" vertical="center"/>
    </xf>
    <xf numFmtId="178" fontId="39" fillId="0" borderId="18" xfId="0" applyNumberFormat="1" applyFont="1" applyBorder="1" applyAlignment="1">
      <alignment horizontal="left" vertical="center"/>
    </xf>
    <xf numFmtId="0" fontId="37" fillId="0" borderId="10" xfId="0" applyFont="1" applyBorder="1" applyAlignment="1">
      <alignment horizontal="center" vertical="center"/>
    </xf>
    <xf numFmtId="0" fontId="37" fillId="0" borderId="6" xfId="0" applyFont="1" applyBorder="1" applyAlignment="1">
      <alignment horizontal="center" vertical="center"/>
    </xf>
    <xf numFmtId="177" fontId="39" fillId="0" borderId="10" xfId="0" applyNumberFormat="1" applyFont="1" applyBorder="1" applyAlignment="1">
      <alignment vertical="center" wrapText="1"/>
    </xf>
    <xf numFmtId="177" fontId="39" fillId="0" borderId="7" xfId="0" applyNumberFormat="1" applyFont="1" applyBorder="1" applyAlignment="1">
      <alignment vertical="center" wrapText="1"/>
    </xf>
    <xf numFmtId="177" fontId="39" fillId="0" borderId="11" xfId="0" applyNumberFormat="1" applyFont="1" applyBorder="1" applyAlignment="1">
      <alignment vertical="center" wrapText="1"/>
    </xf>
    <xf numFmtId="177" fontId="49" fillId="0" borderId="10" xfId="0" applyNumberFormat="1" applyFont="1" applyBorder="1" applyAlignment="1">
      <alignment horizontal="left" vertical="center" wrapText="1"/>
    </xf>
    <xf numFmtId="177" fontId="49" fillId="0" borderId="7" xfId="0" applyNumberFormat="1" applyFont="1" applyBorder="1" applyAlignment="1">
      <alignment horizontal="left" vertical="center"/>
    </xf>
    <xf numFmtId="177" fontId="49" fillId="0" borderId="11" xfId="0" applyNumberFormat="1" applyFont="1" applyBorder="1" applyAlignment="1">
      <alignment horizontal="left" vertical="center"/>
    </xf>
    <xf numFmtId="177" fontId="39" fillId="0" borderId="17" xfId="0" applyNumberFormat="1" applyFont="1" applyBorder="1" applyAlignment="1">
      <alignment horizontal="left" vertical="center"/>
    </xf>
    <xf numFmtId="177" fontId="39" fillId="0" borderId="15" xfId="0" applyNumberFormat="1" applyFont="1" applyBorder="1" applyAlignment="1">
      <alignment horizontal="left" vertical="center"/>
    </xf>
    <xf numFmtId="177" fontId="39" fillId="0" borderId="111" xfId="0" applyNumberFormat="1" applyFont="1" applyBorder="1" applyAlignment="1">
      <alignment horizontal="left" vertical="center"/>
    </xf>
    <xf numFmtId="177" fontId="39" fillId="0" borderId="36" xfId="0" applyNumberFormat="1" applyFont="1" applyBorder="1" applyAlignment="1">
      <alignment horizontal="center" vertical="center"/>
    </xf>
    <xf numFmtId="177" fontId="39" fillId="0" borderId="37" xfId="0" applyNumberFormat="1" applyFont="1" applyBorder="1" applyAlignment="1">
      <alignment horizontal="center" vertical="center"/>
    </xf>
    <xf numFmtId="177" fontId="39" fillId="0" borderId="38" xfId="0" applyNumberFormat="1" applyFont="1" applyBorder="1" applyAlignment="1">
      <alignment horizontal="center" vertical="center"/>
    </xf>
    <xf numFmtId="178" fontId="39" fillId="0" borderId="36" xfId="0" applyNumberFormat="1" applyFont="1" applyBorder="1" applyAlignment="1">
      <alignment horizontal="center" vertical="center"/>
    </xf>
    <xf numFmtId="178" fontId="39" fillId="0" borderId="37" xfId="0" applyNumberFormat="1" applyFont="1" applyBorder="1" applyAlignment="1">
      <alignment horizontal="center" vertical="center"/>
    </xf>
    <xf numFmtId="178" fontId="39" fillId="0" borderId="38" xfId="0" applyNumberFormat="1" applyFont="1" applyBorder="1" applyAlignment="1">
      <alignment horizontal="center" vertical="center"/>
    </xf>
    <xf numFmtId="178" fontId="39" fillId="0" borderId="10" xfId="0" applyNumberFormat="1" applyFont="1" applyFill="1" applyBorder="1" applyAlignment="1">
      <alignment horizontal="left" vertical="center" shrinkToFit="1"/>
    </xf>
    <xf numFmtId="178" fontId="39" fillId="0" borderId="7" xfId="0" applyNumberFormat="1" applyFont="1" applyFill="1" applyBorder="1" applyAlignment="1">
      <alignment horizontal="left" vertical="center" shrinkToFit="1"/>
    </xf>
    <xf numFmtId="178" fontId="39" fillId="0" borderId="11" xfId="0" applyNumberFormat="1" applyFont="1" applyFill="1" applyBorder="1" applyAlignment="1">
      <alignment horizontal="left" vertical="center" shrinkToFit="1"/>
    </xf>
    <xf numFmtId="178" fontId="39" fillId="0" borderId="10" xfId="0" applyNumberFormat="1" applyFont="1" applyBorder="1" applyAlignment="1">
      <alignment horizontal="center" vertical="center" shrinkToFit="1"/>
    </xf>
    <xf numFmtId="178" fontId="39" fillId="0" borderId="7" xfId="0" applyNumberFormat="1" applyFont="1" applyBorder="1" applyAlignment="1">
      <alignment horizontal="center" vertical="center" shrinkToFit="1"/>
    </xf>
    <xf numFmtId="178" fontId="39" fillId="0" borderId="11" xfId="0" applyNumberFormat="1" applyFont="1" applyBorder="1" applyAlignment="1">
      <alignment horizontal="center" vertical="center" shrinkToFit="1"/>
    </xf>
    <xf numFmtId="177" fontId="39" fillId="0" borderId="10" xfId="0" applyNumberFormat="1" applyFont="1" applyBorder="1" applyAlignment="1">
      <alignment horizontal="left" vertical="center" shrinkToFit="1"/>
    </xf>
    <xf numFmtId="177" fontId="39" fillId="0" borderId="7" xfId="0" applyNumberFormat="1" applyFont="1" applyBorder="1" applyAlignment="1">
      <alignment horizontal="left" vertical="center" shrinkToFit="1"/>
    </xf>
    <xf numFmtId="177" fontId="39" fillId="0" borderId="11" xfId="0" applyNumberFormat="1" applyFont="1" applyBorder="1" applyAlignment="1">
      <alignment horizontal="left" vertical="center" shrinkToFit="1"/>
    </xf>
    <xf numFmtId="177" fontId="39" fillId="0" borderId="10" xfId="0" applyNumberFormat="1" applyFont="1" applyBorder="1" applyAlignment="1">
      <alignment horizontal="left" vertical="center" wrapText="1" shrinkToFit="1"/>
    </xf>
    <xf numFmtId="177" fontId="37" fillId="0" borderId="7" xfId="0" applyNumberFormat="1" applyFont="1" applyBorder="1" applyAlignment="1">
      <alignment horizontal="left" vertical="center" wrapText="1"/>
    </xf>
    <xf numFmtId="177" fontId="37" fillId="0" borderId="11" xfId="0" applyNumberFormat="1" applyFont="1" applyBorder="1" applyAlignment="1">
      <alignment horizontal="left" vertical="center" wrapText="1"/>
    </xf>
    <xf numFmtId="0" fontId="37" fillId="0" borderId="36" xfId="0" applyFont="1" applyBorder="1" applyAlignment="1">
      <alignment horizontal="center" vertical="center"/>
    </xf>
    <xf numFmtId="0" fontId="37" fillId="0" borderId="43" xfId="0" applyFont="1" applyBorder="1" applyAlignment="1">
      <alignment horizontal="center" vertical="center"/>
    </xf>
    <xf numFmtId="178" fontId="39" fillId="0" borderId="36" xfId="0" applyNumberFormat="1" applyFont="1" applyBorder="1" applyAlignment="1">
      <alignment horizontal="left" vertical="center" shrinkToFit="1"/>
    </xf>
    <xf numFmtId="178" fontId="39" fillId="0" borderId="37" xfId="0" applyNumberFormat="1" applyFont="1" applyBorder="1" applyAlignment="1">
      <alignment horizontal="left" vertical="center" shrinkToFit="1"/>
    </xf>
    <xf numFmtId="178" fontId="39" fillId="0" borderId="38" xfId="0" applyNumberFormat="1" applyFont="1" applyBorder="1" applyAlignment="1">
      <alignment horizontal="left" vertical="center" shrinkToFit="1"/>
    </xf>
    <xf numFmtId="178" fontId="37" fillId="0" borderId="10" xfId="0" applyNumberFormat="1" applyFont="1" applyBorder="1" applyAlignment="1">
      <alignment horizontal="left" vertical="center" wrapText="1" shrinkToFit="1"/>
    </xf>
    <xf numFmtId="178" fontId="37" fillId="0" borderId="7" xfId="0" applyNumberFormat="1" applyFont="1" applyBorder="1" applyAlignment="1">
      <alignment horizontal="left" vertical="center" shrinkToFit="1"/>
    </xf>
    <xf numFmtId="178" fontId="37" fillId="0" borderId="11" xfId="0" applyNumberFormat="1" applyFont="1" applyBorder="1" applyAlignment="1">
      <alignment horizontal="left" vertical="center" shrinkToFit="1"/>
    </xf>
    <xf numFmtId="178" fontId="39" fillId="0" borderId="17" xfId="0" applyNumberFormat="1" applyFont="1" applyBorder="1" applyAlignment="1">
      <alignment horizontal="left" vertical="center" shrinkToFit="1"/>
    </xf>
    <xf numFmtId="178" fontId="39" fillId="0" borderId="15" xfId="0" applyNumberFormat="1" applyFont="1" applyBorder="1" applyAlignment="1">
      <alignment horizontal="left" vertical="center" shrinkToFit="1"/>
    </xf>
    <xf numFmtId="178" fontId="39" fillId="0" borderId="111" xfId="0" applyNumberFormat="1" applyFont="1" applyBorder="1" applyAlignment="1">
      <alignment horizontal="left" vertical="center" shrinkToFit="1"/>
    </xf>
    <xf numFmtId="178" fontId="39" fillId="0" borderId="4" xfId="0" applyNumberFormat="1" applyFont="1" applyBorder="1" applyAlignment="1">
      <alignment horizontal="left" vertical="center" shrinkToFit="1"/>
    </xf>
    <xf numFmtId="178" fontId="39" fillId="0" borderId="13" xfId="0" applyNumberFormat="1" applyFont="1" applyBorder="1" applyAlignment="1">
      <alignment horizontal="left" vertical="center" shrinkToFit="1"/>
    </xf>
    <xf numFmtId="177" fontId="39" fillId="0" borderId="10" xfId="0" applyNumberFormat="1" applyFont="1" applyBorder="1" applyAlignment="1">
      <alignment horizontal="center" vertical="center" shrinkToFit="1"/>
    </xf>
    <xf numFmtId="177" fontId="39" fillId="0" borderId="7" xfId="0" applyNumberFormat="1" applyFont="1" applyBorder="1" applyAlignment="1">
      <alignment horizontal="center" vertical="center" shrinkToFit="1"/>
    </xf>
    <xf numFmtId="177" fontId="39" fillId="0" borderId="11" xfId="0" applyNumberFormat="1" applyFont="1" applyBorder="1" applyAlignment="1">
      <alignment horizontal="center" vertical="center" shrinkToFit="1"/>
    </xf>
    <xf numFmtId="177" fontId="39" fillId="0" borderId="10" xfId="0" applyNumberFormat="1" applyFont="1" applyBorder="1" applyAlignment="1">
      <alignment vertical="center" wrapText="1" shrinkToFit="1"/>
    </xf>
    <xf numFmtId="177" fontId="39" fillId="0" borderId="7" xfId="0" applyNumberFormat="1" applyFont="1" applyBorder="1" applyAlignment="1">
      <alignment vertical="center" wrapText="1" shrinkToFit="1"/>
    </xf>
    <xf numFmtId="177" fontId="39" fillId="0" borderId="11" xfId="0" applyNumberFormat="1" applyFont="1" applyBorder="1" applyAlignment="1">
      <alignment vertical="center" wrapText="1" shrinkToFit="1"/>
    </xf>
    <xf numFmtId="178" fontId="39" fillId="0" borderId="29" xfId="0" applyNumberFormat="1" applyFont="1" applyBorder="1" applyAlignment="1">
      <alignment horizontal="left" vertical="center" shrinkToFit="1"/>
    </xf>
    <xf numFmtId="178" fontId="39" fillId="0" borderId="34" xfId="0" applyNumberFormat="1" applyFont="1" applyBorder="1" applyAlignment="1">
      <alignment horizontal="left" vertical="center" shrinkToFit="1"/>
    </xf>
    <xf numFmtId="178" fontId="39" fillId="0" borderId="9" xfId="0" applyNumberFormat="1" applyFont="1" applyBorder="1" applyAlignment="1">
      <alignment horizontal="left" vertical="center" shrinkToFit="1"/>
    </xf>
    <xf numFmtId="178" fontId="39" fillId="0" borderId="18" xfId="0" applyNumberFormat="1" applyFont="1" applyBorder="1" applyAlignment="1">
      <alignment horizontal="left" vertical="center" shrinkToFit="1"/>
    </xf>
    <xf numFmtId="0" fontId="37" fillId="0" borderId="10" xfId="0" applyFont="1" applyBorder="1" applyAlignment="1">
      <alignment horizontal="distributed" vertical="center"/>
    </xf>
    <xf numFmtId="0" fontId="37" fillId="0" borderId="6" xfId="0" applyFont="1" applyBorder="1" applyAlignment="1">
      <alignment horizontal="distributed" vertical="center"/>
    </xf>
    <xf numFmtId="178" fontId="39" fillId="0" borderId="5" xfId="0" applyNumberFormat="1" applyFont="1" applyBorder="1" applyAlignment="1">
      <alignment horizontal="left" vertical="center" shrinkToFit="1"/>
    </xf>
    <xf numFmtId="178" fontId="39" fillId="0" borderId="14" xfId="0" applyNumberFormat="1" applyFont="1" applyBorder="1" applyAlignment="1">
      <alignment horizontal="left" vertical="center" shrinkToFit="1"/>
    </xf>
    <xf numFmtId="178" fontId="39" fillId="0" borderId="36" xfId="0" applyNumberFormat="1" applyFont="1" applyBorder="1" applyAlignment="1">
      <alignment horizontal="center" vertical="center" shrinkToFit="1"/>
    </xf>
    <xf numFmtId="178" fontId="39" fillId="0" borderId="37" xfId="0" applyNumberFormat="1" applyFont="1" applyBorder="1" applyAlignment="1">
      <alignment horizontal="center" vertical="center" shrinkToFit="1"/>
    </xf>
    <xf numFmtId="178" fontId="39" fillId="0" borderId="38" xfId="0" applyNumberFormat="1" applyFont="1" applyBorder="1" applyAlignment="1">
      <alignment horizontal="center" vertical="center" shrinkToFit="1"/>
    </xf>
    <xf numFmtId="0" fontId="33" fillId="7" borderId="162" xfId="0" applyFont="1" applyFill="1" applyBorder="1" applyAlignment="1">
      <alignment horizontal="center" vertical="center"/>
    </xf>
    <xf numFmtId="0" fontId="33" fillId="7" borderId="163" xfId="0" applyFont="1" applyFill="1" applyBorder="1" applyAlignment="1">
      <alignment horizontal="center" vertical="center"/>
    </xf>
    <xf numFmtId="0" fontId="33" fillId="7" borderId="164" xfId="0" applyFont="1" applyFill="1" applyBorder="1" applyAlignment="1">
      <alignment horizontal="center" vertical="center"/>
    </xf>
    <xf numFmtId="177" fontId="33" fillId="7" borderId="165" xfId="0" applyNumberFormat="1" applyFont="1" applyFill="1" applyBorder="1" applyAlignment="1">
      <alignment horizontal="center" vertical="center"/>
    </xf>
    <xf numFmtId="177" fontId="33" fillId="7" borderId="166" xfId="0" applyNumberFormat="1" applyFont="1" applyFill="1" applyBorder="1" applyAlignment="1">
      <alignment horizontal="center" vertical="center"/>
    </xf>
    <xf numFmtId="177" fontId="33" fillId="7" borderId="172" xfId="0" applyNumberFormat="1" applyFont="1" applyFill="1" applyBorder="1" applyAlignment="1">
      <alignment horizontal="center" vertical="center"/>
    </xf>
    <xf numFmtId="177" fontId="33" fillId="7" borderId="167" xfId="0" applyNumberFormat="1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0" fontId="35" fillId="0" borderId="71" xfId="25" applyFont="1" applyBorder="1" applyAlignment="1">
      <alignment horizontal="center" vertical="center" wrapText="1"/>
    </xf>
    <xf numFmtId="0" fontId="32" fillId="0" borderId="101" xfId="25" applyFont="1" applyBorder="1"/>
    <xf numFmtId="0" fontId="35" fillId="0" borderId="131" xfId="0" applyFont="1" applyBorder="1" applyAlignment="1">
      <alignment horizontal="center" vertical="center" shrinkToFit="1"/>
    </xf>
    <xf numFmtId="0" fontId="35" fillId="0" borderId="156" xfId="0" applyFont="1" applyBorder="1" applyAlignment="1">
      <alignment horizontal="center" vertical="center"/>
    </xf>
    <xf numFmtId="0" fontId="35" fillId="0" borderId="147" xfId="0" applyFont="1" applyBorder="1" applyAlignment="1">
      <alignment horizontal="center" vertical="center"/>
    </xf>
    <xf numFmtId="0" fontId="35" fillId="0" borderId="149" xfId="0" applyFont="1" applyBorder="1" applyAlignment="1">
      <alignment horizontal="center" vertical="center"/>
    </xf>
    <xf numFmtId="0" fontId="35" fillId="0" borderId="148" xfId="0" applyFont="1" applyBorder="1" applyAlignment="1">
      <alignment horizontal="center" vertical="center"/>
    </xf>
    <xf numFmtId="0" fontId="35" fillId="0" borderId="144" xfId="0" applyFont="1" applyBorder="1" applyAlignment="1">
      <alignment horizontal="center" vertical="center" shrinkToFit="1"/>
    </xf>
    <xf numFmtId="3" fontId="35" fillId="0" borderId="71" xfId="0" applyNumberFormat="1" applyFont="1" applyBorder="1" applyAlignment="1">
      <alignment horizontal="center" vertical="center" wrapText="1"/>
    </xf>
    <xf numFmtId="3" fontId="35" fillId="0" borderId="101" xfId="0" applyNumberFormat="1" applyFont="1" applyBorder="1" applyAlignment="1">
      <alignment horizontal="center" vertical="center" wrapText="1"/>
    </xf>
    <xf numFmtId="0" fontId="35" fillId="0" borderId="109" xfId="0" applyFont="1" applyBorder="1" applyAlignment="1">
      <alignment horizontal="center" vertical="center" wrapText="1"/>
    </xf>
    <xf numFmtId="0" fontId="35" fillId="0" borderId="110" xfId="0" applyFont="1" applyBorder="1" applyAlignment="1">
      <alignment horizontal="center" vertical="center" wrapText="1"/>
    </xf>
    <xf numFmtId="0" fontId="35" fillId="0" borderId="145" xfId="0" applyFont="1" applyBorder="1" applyAlignment="1">
      <alignment horizontal="center" vertical="center" wrapText="1"/>
    </xf>
    <xf numFmtId="0" fontId="35" fillId="0" borderId="151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shrinkToFit="1"/>
    </xf>
    <xf numFmtId="0" fontId="10" fillId="0" borderId="102" xfId="0" applyFont="1" applyBorder="1" applyAlignment="1">
      <alignment horizontal="center" vertical="center" shrinkToFit="1"/>
    </xf>
    <xf numFmtId="0" fontId="17" fillId="0" borderId="28" xfId="0" applyFont="1" applyBorder="1" applyAlignment="1">
      <alignment horizontal="center" vertical="center" shrinkToFit="1"/>
    </xf>
    <xf numFmtId="0" fontId="17" fillId="0" borderId="30" xfId="0" applyFont="1" applyBorder="1" applyAlignment="1">
      <alignment horizontal="center" vertical="center" shrinkToFit="1"/>
    </xf>
    <xf numFmtId="0" fontId="17" fillId="0" borderId="32" xfId="0" applyFont="1" applyBorder="1" applyAlignment="1">
      <alignment horizontal="center" vertical="center" shrinkToFit="1"/>
    </xf>
    <xf numFmtId="0" fontId="17" fillId="0" borderId="29" xfId="0" applyFont="1" applyBorder="1" applyAlignment="1">
      <alignment horizontal="center"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12" xfId="0" applyFont="1" applyBorder="1" applyAlignment="1">
      <alignment horizontal="center" vertical="center" shrinkToFit="1"/>
    </xf>
    <xf numFmtId="0" fontId="17" fillId="0" borderId="31" xfId="0" applyFont="1" applyBorder="1" applyAlignment="1">
      <alignment horizontal="center" vertical="center" shrinkToFit="1"/>
    </xf>
    <xf numFmtId="0" fontId="17" fillId="0" borderId="100" xfId="0" applyFont="1" applyBorder="1" applyAlignment="1">
      <alignment horizontal="center" vertical="center" shrinkToFit="1"/>
    </xf>
    <xf numFmtId="0" fontId="17" fillId="0" borderId="56" xfId="0" applyFont="1" applyBorder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3" fontId="10" fillId="0" borderId="8" xfId="0" applyNumberFormat="1" applyFont="1" applyBorder="1" applyAlignment="1">
      <alignment horizontal="center" vertical="center" wrapText="1"/>
    </xf>
    <xf numFmtId="3" fontId="10" fillId="0" borderId="20" xfId="0" applyNumberFormat="1" applyFont="1" applyBorder="1" applyAlignment="1">
      <alignment horizontal="center" vertical="center" wrapText="1"/>
    </xf>
    <xf numFmtId="0" fontId="15" fillId="0" borderId="10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04" xfId="0" applyFont="1" applyBorder="1" applyAlignment="1">
      <alignment horizontal="center" vertical="center"/>
    </xf>
    <xf numFmtId="3" fontId="10" fillId="0" borderId="71" xfId="0" applyNumberFormat="1" applyFont="1" applyBorder="1" applyAlignment="1">
      <alignment horizontal="center" vertical="center" wrapText="1"/>
    </xf>
    <xf numFmtId="3" fontId="10" fillId="0" borderId="101" xfId="0" applyNumberFormat="1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 shrinkToFit="1"/>
    </xf>
    <xf numFmtId="3" fontId="10" fillId="0" borderId="101" xfId="0" applyNumberFormat="1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29" fillId="0" borderId="0" xfId="6" applyFont="1" applyAlignment="1">
      <alignment horizontal="center" vertical="center"/>
    </xf>
    <xf numFmtId="0" fontId="31" fillId="0" borderId="3" xfId="6" applyFont="1" applyBorder="1" applyAlignment="1">
      <alignment horizontal="center" vertical="center"/>
    </xf>
    <xf numFmtId="0" fontId="32" fillId="0" borderId="0" xfId="6" applyFont="1" applyBorder="1" applyAlignment="1">
      <alignment horizontal="center" vertical="center"/>
    </xf>
    <xf numFmtId="0" fontId="35" fillId="2" borderId="12" xfId="6" applyFont="1" applyFill="1" applyBorder="1" applyAlignment="1">
      <alignment horizontal="center" vertical="center"/>
    </xf>
    <xf numFmtId="0" fontId="35" fillId="2" borderId="9" xfId="6" applyFont="1" applyFill="1" applyBorder="1" applyAlignment="1">
      <alignment horizontal="center" vertical="center"/>
    </xf>
    <xf numFmtId="0" fontId="32" fillId="0" borderId="114" xfId="6" applyFont="1" applyBorder="1" applyAlignment="1">
      <alignment horizontal="center" vertical="center"/>
    </xf>
    <xf numFmtId="0" fontId="35" fillId="2" borderId="123" xfId="6" applyFont="1" applyFill="1" applyBorder="1" applyAlignment="1">
      <alignment horizontal="center" vertical="center"/>
    </xf>
    <xf numFmtId="0" fontId="35" fillId="2" borderId="26" xfId="6" applyFont="1" applyFill="1" applyBorder="1" applyAlignment="1">
      <alignment horizontal="center" vertical="center"/>
    </xf>
    <xf numFmtId="0" fontId="35" fillId="2" borderId="27" xfId="6" applyFont="1" applyFill="1" applyBorder="1" applyAlignment="1">
      <alignment horizontal="center" vertical="center"/>
    </xf>
    <xf numFmtId="0" fontId="32" fillId="0" borderId="132" xfId="6" applyFont="1" applyBorder="1" applyAlignment="1">
      <alignment horizontal="center" vertical="center"/>
    </xf>
    <xf numFmtId="0" fontId="35" fillId="2" borderId="131" xfId="6" applyFont="1" applyFill="1" applyBorder="1" applyAlignment="1">
      <alignment horizontal="center" vertical="center"/>
    </xf>
    <xf numFmtId="0" fontId="31" fillId="0" borderId="130" xfId="6" applyFont="1" applyBorder="1" applyAlignment="1">
      <alignment horizontal="center" vertical="center"/>
    </xf>
    <xf numFmtId="0" fontId="34" fillId="0" borderId="78" xfId="0" applyFont="1" applyBorder="1" applyAlignment="1">
      <alignment vertical="center"/>
    </xf>
    <xf numFmtId="0" fontId="34" fillId="0" borderId="140" xfId="0" applyFont="1" applyBorder="1" applyAlignment="1">
      <alignment vertical="center"/>
    </xf>
    <xf numFmtId="0" fontId="31" fillId="0" borderId="78" xfId="6" applyFont="1" applyBorder="1" applyAlignment="1">
      <alignment horizontal="center" vertical="center"/>
    </xf>
    <xf numFmtId="0" fontId="31" fillId="0" borderId="79" xfId="6" applyFont="1" applyBorder="1" applyAlignment="1">
      <alignment horizontal="center" vertical="center"/>
    </xf>
    <xf numFmtId="0" fontId="31" fillId="0" borderId="125" xfId="6" applyFont="1" applyBorder="1" applyAlignment="1">
      <alignment horizontal="center" vertical="center" wrapText="1" shrinkToFit="1"/>
    </xf>
    <xf numFmtId="0" fontId="31" fillId="0" borderId="126" xfId="6" applyFont="1" applyBorder="1" applyAlignment="1">
      <alignment horizontal="center" vertical="center" wrapText="1" shrinkToFit="1"/>
    </xf>
    <xf numFmtId="0" fontId="35" fillId="2" borderId="78" xfId="6" applyFont="1" applyFill="1" applyBorder="1" applyAlignment="1">
      <alignment horizontal="center" vertical="center"/>
    </xf>
    <xf numFmtId="0" fontId="31" fillId="0" borderId="78" xfId="6" applyFont="1" applyBorder="1" applyAlignment="1">
      <alignment horizontal="center" vertical="center" wrapText="1" shrinkToFit="1"/>
    </xf>
    <xf numFmtId="0" fontId="31" fillId="0" borderId="79" xfId="6" applyFont="1" applyBorder="1" applyAlignment="1">
      <alignment horizontal="center" vertical="center" wrapText="1" shrinkToFit="1"/>
    </xf>
    <xf numFmtId="0" fontId="31" fillId="0" borderId="127" xfId="6" applyFont="1" applyBorder="1" applyAlignment="1">
      <alignment horizontal="center" vertical="center" wrapText="1" shrinkToFit="1"/>
    </xf>
    <xf numFmtId="0" fontId="31" fillId="0" borderId="128" xfId="6" applyFont="1" applyBorder="1" applyAlignment="1">
      <alignment horizontal="center" vertical="center" wrapText="1" shrinkToFit="1"/>
    </xf>
    <xf numFmtId="0" fontId="31" fillId="0" borderId="129" xfId="6" applyFont="1" applyBorder="1" applyAlignment="1">
      <alignment horizontal="center" vertical="center" wrapText="1" shrinkToFit="1"/>
    </xf>
    <xf numFmtId="0" fontId="31" fillId="0" borderId="124" xfId="6" applyFont="1" applyBorder="1" applyAlignment="1">
      <alignment horizontal="center" vertical="center" wrapText="1" shrinkToFit="1"/>
    </xf>
    <xf numFmtId="0" fontId="14" fillId="0" borderId="114" xfId="6" applyFont="1" applyBorder="1" applyAlignment="1">
      <alignment horizontal="center" vertical="center"/>
    </xf>
    <xf numFmtId="0" fontId="10" fillId="2" borderId="12" xfId="6" applyFont="1" applyFill="1" applyBorder="1" applyAlignment="1">
      <alignment horizontal="center" vertical="center"/>
    </xf>
    <xf numFmtId="0" fontId="10" fillId="2" borderId="9" xfId="6" applyFont="1" applyFill="1" applyBorder="1" applyAlignment="1">
      <alignment horizontal="center" vertical="center"/>
    </xf>
    <xf numFmtId="0" fontId="16" fillId="0" borderId="3" xfId="6" applyFont="1" applyBorder="1" applyAlignment="1">
      <alignment horizontal="center" vertical="center"/>
    </xf>
    <xf numFmtId="0" fontId="16" fillId="0" borderId="44" xfId="6" applyFont="1" applyBorder="1" applyAlignment="1">
      <alignment horizontal="center" vertical="center"/>
    </xf>
    <xf numFmtId="0" fontId="10" fillId="2" borderId="123" xfId="6" applyFont="1" applyFill="1" applyBorder="1" applyAlignment="1">
      <alignment horizontal="center" vertical="center"/>
    </xf>
    <xf numFmtId="0" fontId="10" fillId="2" borderId="26" xfId="6" applyFont="1" applyFill="1" applyBorder="1" applyAlignment="1">
      <alignment horizontal="center" vertical="center"/>
    </xf>
    <xf numFmtId="0" fontId="10" fillId="2" borderId="27" xfId="6" applyFont="1" applyFill="1" applyBorder="1" applyAlignment="1">
      <alignment horizontal="center" vertical="center"/>
    </xf>
    <xf numFmtId="0" fontId="16" fillId="0" borderId="12" xfId="6" applyFont="1" applyBorder="1" applyAlignment="1">
      <alignment horizontal="center" vertical="center"/>
    </xf>
    <xf numFmtId="0" fontId="16" fillId="0" borderId="28" xfId="6" applyFont="1" applyBorder="1" applyAlignment="1">
      <alignment horizontal="center" vertical="center"/>
    </xf>
    <xf numFmtId="0" fontId="16" fillId="0" borderId="30" xfId="6" applyFont="1" applyBorder="1" applyAlignment="1">
      <alignment horizontal="center" vertical="center"/>
    </xf>
    <xf numFmtId="0" fontId="16" fillId="0" borderId="32" xfId="6" applyFont="1" applyBorder="1" applyAlignment="1">
      <alignment horizontal="center" vertical="center"/>
    </xf>
    <xf numFmtId="0" fontId="39" fillId="0" borderId="78" xfId="0" applyFont="1" applyBorder="1" applyAlignment="1">
      <alignment horizontal="center" vertical="center"/>
    </xf>
    <xf numFmtId="0" fontId="39" fillId="0" borderId="131" xfId="0" applyFont="1" applyBorder="1" applyAlignment="1">
      <alignment horizontal="center" vertical="center"/>
    </xf>
    <xf numFmtId="0" fontId="39" fillId="0" borderId="36" xfId="0" applyFont="1" applyBorder="1" applyAlignment="1">
      <alignment horizontal="distributed" vertical="center"/>
    </xf>
    <xf numFmtId="0" fontId="39" fillId="0" borderId="43" xfId="0" applyFont="1" applyBorder="1" applyAlignment="1">
      <alignment horizontal="distributed" vertical="center"/>
    </xf>
    <xf numFmtId="0" fontId="39" fillId="0" borderId="29" xfId="0" applyFont="1" applyBorder="1" applyAlignment="1">
      <alignment horizontal="distributed" vertical="center"/>
    </xf>
    <xf numFmtId="0" fontId="39" fillId="0" borderId="31" xfId="0" applyFont="1" applyBorder="1" applyAlignment="1">
      <alignment horizontal="distributed" vertical="center"/>
    </xf>
    <xf numFmtId="0" fontId="39" fillId="0" borderId="9" xfId="0" applyFont="1" applyBorder="1" applyAlignment="1">
      <alignment horizontal="distributed" vertical="center"/>
    </xf>
    <xf numFmtId="0" fontId="35" fillId="0" borderId="0" xfId="0" applyFont="1" applyAlignment="1">
      <alignment horizontal="left" vertical="center"/>
    </xf>
    <xf numFmtId="0" fontId="38" fillId="0" borderId="133" xfId="0" applyFont="1" applyBorder="1" applyAlignment="1">
      <alignment horizontal="center" vertical="center"/>
    </xf>
    <xf numFmtId="0" fontId="38" fillId="0" borderId="134" xfId="0" applyFont="1" applyBorder="1" applyAlignment="1">
      <alignment horizontal="center" vertical="center"/>
    </xf>
    <xf numFmtId="178" fontId="38" fillId="0" borderId="135" xfId="0" applyNumberFormat="1" applyFont="1" applyBorder="1" applyAlignment="1">
      <alignment horizontal="center" vertical="center"/>
    </xf>
    <xf numFmtId="178" fontId="38" fillId="0" borderId="134" xfId="0" applyNumberFormat="1" applyFont="1" applyBorder="1" applyAlignment="1">
      <alignment horizontal="center" vertical="center"/>
    </xf>
    <xf numFmtId="0" fontId="38" fillId="3" borderId="136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9" fillId="0" borderId="10" xfId="0" applyFont="1" applyBorder="1" applyAlignment="1">
      <alignment horizontal="distributed" vertical="center"/>
    </xf>
    <xf numFmtId="0" fontId="39" fillId="0" borderId="6" xfId="0" applyFont="1" applyBorder="1" applyAlignment="1">
      <alignment horizontal="distributed" vertical="center"/>
    </xf>
    <xf numFmtId="0" fontId="39" fillId="0" borderId="130" xfId="0" applyFont="1" applyBorder="1" applyAlignment="1">
      <alignment horizontal="center" vertical="center"/>
    </xf>
    <xf numFmtId="0" fontId="39" fillId="0" borderId="79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9" xfId="0" applyFont="1" applyBorder="1" applyAlignment="1">
      <alignment horizontal="center" vertical="center"/>
    </xf>
    <xf numFmtId="0" fontId="40" fillId="0" borderId="29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0" fontId="39" fillId="0" borderId="4" xfId="0" applyFont="1" applyBorder="1" applyAlignment="1">
      <alignment horizontal="distributed" vertical="center"/>
    </xf>
    <xf numFmtId="0" fontId="34" fillId="0" borderId="78" xfId="0" applyFont="1" applyBorder="1">
      <alignment vertical="center"/>
    </xf>
    <xf numFmtId="0" fontId="34" fillId="0" borderId="131" xfId="0" applyFont="1" applyBorder="1">
      <alignment vertical="center"/>
    </xf>
    <xf numFmtId="0" fontId="39" fillId="0" borderId="137" xfId="0" applyFont="1" applyBorder="1" applyAlignment="1">
      <alignment vertical="center"/>
    </xf>
    <xf numFmtId="0" fontId="39" fillId="0" borderId="137" xfId="0" applyFont="1" applyBorder="1" applyAlignment="1">
      <alignment horizontal="center" vertical="center" wrapText="1"/>
    </xf>
    <xf numFmtId="0" fontId="39" fillId="0" borderId="138" xfId="0" applyFont="1" applyBorder="1" applyAlignment="1">
      <alignment vertical="center"/>
    </xf>
    <xf numFmtId="0" fontId="39" fillId="0" borderId="91" xfId="0" applyFont="1" applyBorder="1" applyAlignment="1">
      <alignment horizontal="distributed" vertical="center"/>
    </xf>
    <xf numFmtId="178" fontId="36" fillId="0" borderId="10" xfId="0" applyNumberFormat="1" applyFont="1" applyBorder="1" applyAlignment="1">
      <alignment horizontal="center" vertical="center"/>
    </xf>
    <xf numFmtId="0" fontId="36" fillId="0" borderId="7" xfId="0" applyFont="1" applyBorder="1" applyAlignment="1">
      <alignment vertical="center"/>
    </xf>
    <xf numFmtId="0" fontId="36" fillId="0" borderId="6" xfId="0" applyFont="1" applyBorder="1" applyAlignment="1">
      <alignment vertical="center"/>
    </xf>
    <xf numFmtId="178" fontId="36" fillId="0" borderId="7" xfId="0" applyNumberFormat="1" applyFont="1" applyBorder="1" applyAlignment="1">
      <alignment horizontal="center" vertical="center"/>
    </xf>
    <xf numFmtId="178" fontId="36" fillId="0" borderId="6" xfId="0" applyNumberFormat="1" applyFont="1" applyBorder="1" applyAlignment="1">
      <alignment horizontal="center" vertical="center"/>
    </xf>
    <xf numFmtId="178" fontId="36" fillId="3" borderId="12" xfId="0" applyNumberFormat="1" applyFont="1" applyFill="1" applyBorder="1" applyAlignment="1">
      <alignment horizontal="center" vertical="center"/>
    </xf>
    <xf numFmtId="0" fontId="37" fillId="3" borderId="9" xfId="0" applyFont="1" applyFill="1" applyBorder="1" applyAlignment="1">
      <alignment vertical="center"/>
    </xf>
    <xf numFmtId="178" fontId="35" fillId="0" borderId="23" xfId="0" applyNumberFormat="1" applyFont="1" applyBorder="1" applyAlignment="1">
      <alignment horizontal="center" vertical="center"/>
    </xf>
    <xf numFmtId="0" fontId="35" fillId="0" borderId="23" xfId="0" applyFont="1" applyBorder="1" applyAlignment="1">
      <alignment vertical="center"/>
    </xf>
    <xf numFmtId="178" fontId="36" fillId="0" borderId="4" xfId="0" applyNumberFormat="1" applyFont="1" applyBorder="1" applyAlignment="1">
      <alignment horizontal="center" vertical="center"/>
    </xf>
    <xf numFmtId="0" fontId="36" fillId="0" borderId="4" xfId="0" applyFont="1" applyBorder="1" applyAlignment="1">
      <alignment vertical="center"/>
    </xf>
  </cellXfs>
  <cellStyles count="29">
    <cellStyle name="Header1" xfId="1"/>
    <cellStyle name="Header2" xfId="2"/>
    <cellStyle name="쉼표 [0]" xfId="3" builtinId="6"/>
    <cellStyle name="쉼표 [0] 2 2" xfId="8"/>
    <cellStyle name="쉼표 [0] 2 2 2" xfId="18"/>
    <cellStyle name="쉼표 [0] 2 3" xfId="16"/>
    <cellStyle name="쉼표 [0] 2 4" xfId="14"/>
    <cellStyle name="쉼표 [0] 2 5" xfId="19"/>
    <cellStyle name="쉼표 [0] 2 6" xfId="26"/>
    <cellStyle name="쉼표 [0] 3" xfId="9"/>
    <cellStyle name="쉼표 [0] 3 2" xfId="17"/>
    <cellStyle name="쉼표 [0] 4" xfId="15"/>
    <cellStyle name="콤마 [0]_95" xfId="4"/>
    <cellStyle name="콤마_95" xfId="5"/>
    <cellStyle name="표준" xfId="0" builtinId="0"/>
    <cellStyle name="표준 2" xfId="7"/>
    <cellStyle name="표준 2 2" xfId="11"/>
    <cellStyle name="표준 2 2 2" xfId="12"/>
    <cellStyle name="표준 2 2 3" xfId="21"/>
    <cellStyle name="표준 2 2 4" xfId="24"/>
    <cellStyle name="표준 2 2 5" xfId="28"/>
    <cellStyle name="표준 2 3" xfId="20"/>
    <cellStyle name="표준 2 4" xfId="23"/>
    <cellStyle name="표준 2 5" xfId="27"/>
    <cellStyle name="표준 3" xfId="13"/>
    <cellStyle name="표준 4" xfId="10"/>
    <cellStyle name="표준 5" xfId="22"/>
    <cellStyle name="표준 6" xfId="25"/>
    <cellStyle name="표준_운영비신청세부내역080331" xfId="6"/>
  </cellStyles>
  <dxfs count="0"/>
  <tableStyles count="0" defaultTableStyle="TableStyleMedium9" defaultPivotStyle="PivotStyleLight16"/>
  <colors>
    <mruColors>
      <color rgb="FFFFFF99"/>
      <color rgb="FFFF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workbookViewId="0">
      <selection activeCell="A15" sqref="A15"/>
    </sheetView>
  </sheetViews>
  <sheetFormatPr defaultRowHeight="13.5"/>
  <cols>
    <col min="1" max="1" width="101.77734375" style="271" customWidth="1"/>
    <col min="2" max="2" width="35.77734375" style="271" customWidth="1"/>
    <col min="3" max="3" width="41.44140625" style="271" customWidth="1"/>
    <col min="4" max="16384" width="8.88671875" style="271"/>
  </cols>
  <sheetData>
    <row r="4" spans="1:1" ht="20.25">
      <c r="A4" s="905" t="s">
        <v>1025</v>
      </c>
    </row>
    <row r="5" spans="1:1" ht="20.25">
      <c r="A5" s="905"/>
    </row>
    <row r="6" spans="1:1" ht="20.25">
      <c r="A6" s="905"/>
    </row>
    <row r="7" spans="1:1" ht="20.25">
      <c r="A7" s="905"/>
    </row>
    <row r="8" spans="1:1" ht="20.25">
      <c r="A8" s="905"/>
    </row>
    <row r="9" spans="1:1" ht="20.25">
      <c r="A9" s="905"/>
    </row>
    <row r="10" spans="1:1" ht="20.25">
      <c r="A10" s="905"/>
    </row>
    <row r="11" spans="1:1" ht="79.5" customHeight="1">
      <c r="A11" s="906" t="s">
        <v>989</v>
      </c>
    </row>
    <row r="12" spans="1:1" ht="46.5">
      <c r="A12" s="907" t="s">
        <v>724</v>
      </c>
    </row>
    <row r="13" spans="1:1" ht="46.5">
      <c r="A13" s="906"/>
    </row>
    <row r="14" spans="1:1" ht="46.5">
      <c r="A14" s="906"/>
    </row>
    <row r="15" spans="1:1" ht="46.5">
      <c r="A15" s="906"/>
    </row>
    <row r="16" spans="1:1" ht="46.5">
      <c r="A16" s="906"/>
    </row>
    <row r="17" spans="1:1" ht="19.5" customHeight="1">
      <c r="A17" s="906"/>
    </row>
    <row r="18" spans="1:1" ht="19.5" customHeight="1">
      <c r="A18" s="906"/>
    </row>
    <row r="19" spans="1:1" ht="19.5" customHeight="1">
      <c r="A19" s="906"/>
    </row>
    <row r="23" spans="1:1" ht="19.5">
      <c r="A23" s="908" t="s">
        <v>264</v>
      </c>
    </row>
    <row r="24" spans="1:1" ht="31.5">
      <c r="A24" s="909" t="s">
        <v>263</v>
      </c>
    </row>
    <row r="67" spans="5:5" hidden="1">
      <c r="E67" s="271">
        <v>0</v>
      </c>
    </row>
    <row r="73" spans="5:5" hidden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workbookViewId="0">
      <selection activeCell="M27" sqref="M27"/>
    </sheetView>
  </sheetViews>
  <sheetFormatPr defaultRowHeight="13.5"/>
  <cols>
    <col min="1" max="1" width="8.5546875" style="304" customWidth="1"/>
    <col min="2" max="2" width="1.21875" style="271" customWidth="1"/>
    <col min="3" max="3" width="2.21875" style="889" customWidth="1"/>
    <col min="4" max="4" width="2.33203125" style="889" customWidth="1"/>
    <col min="5" max="5" width="7.33203125" style="889" customWidth="1"/>
    <col min="6" max="6" width="9.77734375" style="889" customWidth="1"/>
    <col min="7" max="7" width="9.21875" style="271" customWidth="1"/>
    <col min="8" max="8" width="8.33203125" style="271" customWidth="1"/>
    <col min="9" max="9" width="10.6640625" style="271" customWidth="1"/>
    <col min="10" max="10" width="8.88671875" style="271"/>
    <col min="11" max="11" width="16" style="271" customWidth="1"/>
    <col min="12" max="12" width="12.44140625" style="271" customWidth="1"/>
    <col min="13" max="13" width="15.109375" style="271" customWidth="1"/>
    <col min="14" max="16384" width="8.88671875" style="271"/>
  </cols>
  <sheetData>
    <row r="1" spans="1:13" ht="27.75" customHeight="1">
      <c r="A1" s="975" t="s">
        <v>651</v>
      </c>
      <c r="B1" s="976"/>
      <c r="C1" s="976"/>
      <c r="D1" s="976"/>
      <c r="E1" s="976"/>
      <c r="F1" s="976"/>
      <c r="G1" s="976"/>
      <c r="H1" s="976"/>
      <c r="I1" s="976"/>
      <c r="J1" s="976"/>
      <c r="K1" s="976"/>
      <c r="L1" s="976"/>
    </row>
    <row r="4" spans="1:13" ht="21" customHeight="1">
      <c r="A4" s="304" t="s">
        <v>58</v>
      </c>
      <c r="C4" s="980" t="s">
        <v>967</v>
      </c>
      <c r="D4" s="980"/>
      <c r="E4" s="980"/>
      <c r="F4" s="980"/>
      <c r="G4" s="980"/>
      <c r="H4" s="980"/>
      <c r="I4" s="980"/>
      <c r="J4" s="980"/>
      <c r="K4" s="980"/>
      <c r="L4" s="980"/>
    </row>
    <row r="5" spans="1:13" ht="21" customHeight="1">
      <c r="C5" s="981" t="s">
        <v>1014</v>
      </c>
      <c r="D5" s="981"/>
      <c r="E5" s="981"/>
      <c r="F5" s="981"/>
      <c r="G5" s="981"/>
      <c r="H5" s="981"/>
      <c r="I5" s="981"/>
      <c r="J5" s="981"/>
      <c r="K5" s="981"/>
      <c r="L5" s="981"/>
    </row>
    <row r="6" spans="1:13" ht="21" customHeight="1">
      <c r="C6" s="980" t="s">
        <v>707</v>
      </c>
      <c r="D6" s="980"/>
      <c r="E6" s="980"/>
      <c r="F6" s="980"/>
      <c r="G6" s="980"/>
      <c r="H6" s="980"/>
      <c r="I6" s="980"/>
      <c r="J6" s="980"/>
      <c r="K6" s="980"/>
      <c r="L6" s="980"/>
    </row>
    <row r="7" spans="1:13" ht="12" customHeight="1"/>
    <row r="8" spans="1:13" ht="21" customHeight="1">
      <c r="A8" s="304" t="s">
        <v>59</v>
      </c>
      <c r="C8" s="565" t="s">
        <v>652</v>
      </c>
      <c r="D8" s="565"/>
      <c r="E8" s="565"/>
      <c r="G8" s="982">
        <f>'나.세입세출(총괄)'!E6</f>
        <v>3230720000</v>
      </c>
      <c r="H8" s="982"/>
      <c r="I8" s="980" t="s">
        <v>968</v>
      </c>
      <c r="J8" s="980"/>
      <c r="K8" s="980"/>
      <c r="L8" s="980"/>
    </row>
    <row r="9" spans="1:13" ht="13.5" customHeight="1">
      <c r="C9" s="890"/>
      <c r="D9" s="977"/>
      <c r="E9" s="977"/>
      <c r="F9" s="977"/>
      <c r="G9" s="565"/>
      <c r="H9" s="891"/>
      <c r="I9" s="891"/>
      <c r="J9" s="565"/>
      <c r="K9" s="565"/>
      <c r="L9" s="565"/>
    </row>
    <row r="10" spans="1:13" ht="21" customHeight="1">
      <c r="C10" s="892" t="s">
        <v>653</v>
      </c>
      <c r="D10" s="890"/>
      <c r="E10" s="890"/>
      <c r="F10" s="890"/>
      <c r="G10" s="565"/>
      <c r="H10" s="891"/>
      <c r="I10" s="891"/>
      <c r="J10" s="565"/>
      <c r="K10" s="565"/>
      <c r="L10" s="565"/>
    </row>
    <row r="11" spans="1:13" ht="21" customHeight="1">
      <c r="D11" s="304" t="s">
        <v>654</v>
      </c>
      <c r="E11" s="978" t="s">
        <v>41</v>
      </c>
      <c r="F11" s="978"/>
      <c r="G11" s="893"/>
      <c r="H11" s="979">
        <f>'나.세입세출(총괄)'!E7</f>
        <v>134400000</v>
      </c>
      <c r="I11" s="979"/>
      <c r="J11" s="271" t="s">
        <v>34</v>
      </c>
      <c r="M11" s="855"/>
    </row>
    <row r="12" spans="1:13" ht="21" customHeight="1">
      <c r="D12" s="304" t="s">
        <v>655</v>
      </c>
      <c r="E12" s="978" t="s">
        <v>329</v>
      </c>
      <c r="F12" s="978"/>
      <c r="G12" s="893"/>
      <c r="H12" s="979">
        <f>'나.세입세출(총괄)'!E10</f>
        <v>0</v>
      </c>
      <c r="I12" s="979"/>
      <c r="J12" s="271" t="s">
        <v>34</v>
      </c>
      <c r="M12" s="855"/>
    </row>
    <row r="13" spans="1:13" ht="21" customHeight="1">
      <c r="D13" s="304" t="s">
        <v>657</v>
      </c>
      <c r="E13" s="978" t="s">
        <v>292</v>
      </c>
      <c r="F13" s="978"/>
      <c r="G13" s="893"/>
      <c r="H13" s="979">
        <f>'나.세입세출(총괄)'!E17+'나.세입세출(총괄)'!E21+'나.세입세출(총괄)'!E21</f>
        <v>2591323820</v>
      </c>
      <c r="I13" s="979"/>
      <c r="J13" s="271" t="s">
        <v>34</v>
      </c>
      <c r="M13" s="855"/>
    </row>
    <row r="14" spans="1:13" ht="21" customHeight="1">
      <c r="D14" s="304" t="s">
        <v>658</v>
      </c>
      <c r="E14" s="978" t="s">
        <v>94</v>
      </c>
      <c r="F14" s="978"/>
      <c r="H14" s="979">
        <f>'다-3.후원금세입'!E16</f>
        <v>364200000</v>
      </c>
      <c r="I14" s="979"/>
      <c r="J14" s="271" t="s">
        <v>34</v>
      </c>
    </row>
    <row r="15" spans="1:13" ht="21" customHeight="1">
      <c r="D15" s="304" t="s">
        <v>659</v>
      </c>
      <c r="E15" s="978" t="s">
        <v>239</v>
      </c>
      <c r="F15" s="978"/>
      <c r="H15" s="979"/>
      <c r="I15" s="979"/>
      <c r="J15" s="271" t="s">
        <v>34</v>
      </c>
    </row>
    <row r="16" spans="1:13" ht="21" customHeight="1">
      <c r="D16" s="304" t="s">
        <v>660</v>
      </c>
      <c r="E16" s="978" t="s">
        <v>95</v>
      </c>
      <c r="F16" s="978"/>
      <c r="H16" s="979">
        <f>'다-2.자부담세입'!E23</f>
        <v>40000000</v>
      </c>
      <c r="I16" s="979"/>
      <c r="J16" s="271" t="s">
        <v>34</v>
      </c>
    </row>
    <row r="17" spans="1:13" ht="21" customHeight="1">
      <c r="D17" s="304" t="s">
        <v>661</v>
      </c>
      <c r="E17" s="978" t="s">
        <v>262</v>
      </c>
      <c r="F17" s="978"/>
      <c r="H17" s="979">
        <f>'나.세입세출(총괄)'!E39</f>
        <v>53487000</v>
      </c>
      <c r="I17" s="979"/>
      <c r="J17" s="271" t="s">
        <v>34</v>
      </c>
    </row>
    <row r="18" spans="1:13" ht="21" customHeight="1">
      <c r="D18" s="304" t="s">
        <v>662</v>
      </c>
      <c r="E18" s="978" t="s">
        <v>45</v>
      </c>
      <c r="F18" s="978"/>
      <c r="H18" s="979">
        <f>'나.세입세출(총괄)'!E43</f>
        <v>47309180</v>
      </c>
      <c r="I18" s="979"/>
      <c r="J18" s="271" t="s">
        <v>34</v>
      </c>
    </row>
    <row r="19" spans="1:13" ht="21" customHeight="1">
      <c r="C19" s="894" t="s">
        <v>663</v>
      </c>
      <c r="D19" s="304"/>
      <c r="E19" s="433"/>
      <c r="F19" s="433"/>
      <c r="H19" s="895"/>
      <c r="I19" s="895"/>
    </row>
    <row r="20" spans="1:13" ht="21" customHeight="1">
      <c r="D20" s="304" t="s">
        <v>664</v>
      </c>
      <c r="E20" s="978" t="s">
        <v>666</v>
      </c>
      <c r="F20" s="978"/>
      <c r="H20" s="979">
        <f>'나.세입세출(총괄)'!L7</f>
        <v>2628751180</v>
      </c>
      <c r="I20" s="979"/>
      <c r="J20" s="565" t="s">
        <v>34</v>
      </c>
      <c r="K20" s="565"/>
    </row>
    <row r="21" spans="1:13" ht="21" customHeight="1">
      <c r="D21" s="304" t="s">
        <v>665</v>
      </c>
      <c r="E21" s="978" t="s">
        <v>667</v>
      </c>
      <c r="F21" s="978"/>
      <c r="H21" s="979">
        <f>'나.세입세출(총괄)'!L24</f>
        <v>167900000</v>
      </c>
      <c r="I21" s="979"/>
      <c r="J21" s="565" t="s">
        <v>34</v>
      </c>
      <c r="K21" s="565"/>
    </row>
    <row r="22" spans="1:13" ht="21" customHeight="1">
      <c r="D22" s="304" t="s">
        <v>656</v>
      </c>
      <c r="E22" s="978" t="s">
        <v>668</v>
      </c>
      <c r="F22" s="978"/>
      <c r="H22" s="979">
        <f>'나.세입세출(총괄)'!L29</f>
        <v>401372640</v>
      </c>
      <c r="I22" s="979"/>
      <c r="J22" s="565" t="s">
        <v>34</v>
      </c>
      <c r="K22" s="565"/>
    </row>
    <row r="23" spans="1:13" ht="21" customHeight="1">
      <c r="D23" s="304" t="s">
        <v>877</v>
      </c>
      <c r="E23" s="978" t="s">
        <v>669</v>
      </c>
      <c r="F23" s="978"/>
      <c r="H23" s="979">
        <f>'나.세입세출(총괄)'!L48</f>
        <v>609180</v>
      </c>
      <c r="I23" s="979"/>
      <c r="J23" s="565" t="s">
        <v>34</v>
      </c>
      <c r="K23" s="565"/>
    </row>
    <row r="24" spans="1:13" ht="21" customHeight="1">
      <c r="D24" s="304" t="s">
        <v>878</v>
      </c>
      <c r="E24" s="978" t="s">
        <v>670</v>
      </c>
      <c r="F24" s="978"/>
      <c r="H24" s="983">
        <f>'나.세입세출(총괄)'!L45</f>
        <v>800000</v>
      </c>
      <c r="I24" s="983"/>
      <c r="J24" s="565" t="s">
        <v>34</v>
      </c>
      <c r="K24" s="565"/>
    </row>
    <row r="25" spans="1:13" ht="21" customHeight="1">
      <c r="D25" s="304" t="s">
        <v>879</v>
      </c>
      <c r="E25" s="978" t="s">
        <v>671</v>
      </c>
      <c r="F25" s="978"/>
      <c r="H25" s="979">
        <f>'나.세입세출(총괄)'!L51</f>
        <v>31287000</v>
      </c>
      <c r="I25" s="979"/>
      <c r="J25" s="565" t="s">
        <v>34</v>
      </c>
      <c r="K25" s="565"/>
    </row>
    <row r="26" spans="1:13" ht="12" customHeight="1">
      <c r="D26" s="304"/>
      <c r="F26" s="433"/>
      <c r="G26" s="565"/>
      <c r="H26" s="895"/>
      <c r="I26" s="895"/>
      <c r="J26" s="565"/>
    </row>
    <row r="27" spans="1:13">
      <c r="A27" s="896"/>
      <c r="B27" s="897" t="s">
        <v>692</v>
      </c>
      <c r="C27" s="897"/>
      <c r="D27" s="897"/>
      <c r="E27" s="897"/>
      <c r="F27" s="897"/>
      <c r="G27" s="984" t="s">
        <v>706</v>
      </c>
      <c r="H27" s="984"/>
      <c r="I27" s="985" t="s">
        <v>912</v>
      </c>
      <c r="J27" s="985"/>
      <c r="K27" s="985"/>
      <c r="L27" s="898" t="s">
        <v>693</v>
      </c>
      <c r="M27" s="898"/>
    </row>
    <row r="28" spans="1:13" hidden="1">
      <c r="A28" s="896"/>
      <c r="B28" s="897"/>
      <c r="C28" s="897"/>
      <c r="D28" s="897"/>
      <c r="E28" s="897"/>
      <c r="F28" s="897"/>
      <c r="G28" s="899"/>
      <c r="H28" s="898"/>
      <c r="I28" s="897"/>
      <c r="J28" s="897"/>
      <c r="K28" s="896"/>
      <c r="L28" s="898"/>
      <c r="M28" s="898"/>
    </row>
    <row r="29" spans="1:13">
      <c r="A29" s="896"/>
      <c r="B29" s="897" t="s">
        <v>694</v>
      </c>
      <c r="C29" s="897"/>
      <c r="D29" s="897"/>
      <c r="E29" s="897"/>
      <c r="F29" s="974" t="s">
        <v>1011</v>
      </c>
      <c r="G29" s="974"/>
      <c r="H29" s="974"/>
      <c r="I29" s="974"/>
      <c r="J29" s="974"/>
      <c r="K29" s="900">
        <v>10000000</v>
      </c>
      <c r="L29" s="898" t="s">
        <v>693</v>
      </c>
      <c r="M29" s="898"/>
    </row>
    <row r="30" spans="1:13">
      <c r="A30" s="896"/>
      <c r="B30" s="897"/>
      <c r="C30" s="897"/>
      <c r="D30" s="901"/>
      <c r="E30" s="897"/>
      <c r="F30" s="974" t="s">
        <v>1013</v>
      </c>
      <c r="G30" s="974"/>
      <c r="H30" s="974"/>
      <c r="I30" s="974"/>
      <c r="J30" s="974"/>
      <c r="K30" s="900">
        <v>2100000</v>
      </c>
      <c r="L30" s="898" t="s">
        <v>693</v>
      </c>
      <c r="M30" s="902"/>
    </row>
    <row r="31" spans="1:13" hidden="1">
      <c r="A31" s="896"/>
      <c r="B31" s="897"/>
      <c r="C31" s="897"/>
      <c r="D31" s="901"/>
      <c r="E31" s="897"/>
      <c r="F31" s="974" t="s">
        <v>940</v>
      </c>
      <c r="G31" s="974"/>
      <c r="H31" s="974"/>
      <c r="I31" s="974"/>
      <c r="J31" s="974"/>
      <c r="K31" s="900"/>
      <c r="L31" s="898" t="s">
        <v>693</v>
      </c>
      <c r="M31" s="902"/>
    </row>
    <row r="32" spans="1:13" hidden="1">
      <c r="A32" s="896"/>
      <c r="B32" s="897"/>
      <c r="C32" s="897"/>
      <c r="D32" s="901"/>
      <c r="E32" s="897"/>
      <c r="F32" s="974" t="s">
        <v>1012</v>
      </c>
      <c r="G32" s="974"/>
      <c r="H32" s="974"/>
      <c r="I32" s="974"/>
      <c r="J32" s="974"/>
      <c r="K32" s="900"/>
      <c r="L32" s="898" t="s">
        <v>693</v>
      </c>
      <c r="M32" s="902"/>
    </row>
    <row r="33" spans="1:13">
      <c r="A33" s="896"/>
      <c r="B33" s="897"/>
      <c r="C33" s="897"/>
      <c r="D33" s="901"/>
      <c r="E33" s="897"/>
      <c r="F33" s="897"/>
      <c r="G33" s="897"/>
      <c r="H33" s="897"/>
      <c r="I33" s="901"/>
      <c r="J33" s="903"/>
      <c r="K33" s="903"/>
      <c r="L33" s="898"/>
      <c r="M33" s="904"/>
    </row>
    <row r="34" spans="1:13">
      <c r="A34" s="896" t="s">
        <v>672</v>
      </c>
      <c r="B34" s="896" t="s">
        <v>723</v>
      </c>
      <c r="C34" s="896"/>
      <c r="D34" s="896"/>
      <c r="E34" s="896"/>
      <c r="F34" s="896"/>
      <c r="G34" s="896"/>
      <c r="H34" s="896"/>
      <c r="I34" s="896"/>
      <c r="J34" s="896"/>
      <c r="K34" s="896"/>
      <c r="L34" s="898"/>
      <c r="M34" s="898"/>
    </row>
    <row r="35" spans="1:13">
      <c r="A35" s="896"/>
      <c r="B35" s="896"/>
      <c r="C35" s="896"/>
      <c r="D35" s="896"/>
      <c r="E35" s="896"/>
      <c r="F35" s="896"/>
      <c r="G35" s="896"/>
      <c r="H35" s="896"/>
      <c r="I35" s="896"/>
      <c r="J35" s="896"/>
      <c r="K35" s="896"/>
      <c r="L35" s="898"/>
      <c r="M35" s="898"/>
    </row>
    <row r="36" spans="1:13">
      <c r="A36" s="896" t="s">
        <v>673</v>
      </c>
      <c r="B36" s="896" t="s">
        <v>674</v>
      </c>
      <c r="C36" s="896"/>
      <c r="D36" s="896"/>
      <c r="E36" s="896"/>
      <c r="F36" s="896"/>
      <c r="G36" s="896"/>
      <c r="H36" s="896"/>
      <c r="I36" s="896"/>
      <c r="J36" s="896"/>
      <c r="K36" s="896"/>
      <c r="L36" s="898"/>
      <c r="M36" s="898"/>
    </row>
    <row r="37" spans="1:13">
      <c r="A37" s="896"/>
      <c r="B37" s="896" t="s">
        <v>675</v>
      </c>
      <c r="C37" s="896"/>
      <c r="D37" s="896"/>
      <c r="E37" s="896"/>
      <c r="F37" s="896"/>
      <c r="G37" s="896"/>
      <c r="H37" s="896"/>
      <c r="I37" s="896"/>
      <c r="J37" s="896"/>
      <c r="K37" s="896"/>
      <c r="L37" s="898"/>
      <c r="M37" s="898"/>
    </row>
    <row r="38" spans="1:13">
      <c r="A38" s="896"/>
      <c r="B38" s="896"/>
      <c r="C38" s="896"/>
      <c r="D38" s="896"/>
      <c r="E38" s="896"/>
      <c r="F38" s="896"/>
      <c r="G38" s="896"/>
      <c r="H38" s="896"/>
      <c r="I38" s="896"/>
      <c r="J38" s="896"/>
      <c r="K38" s="896"/>
      <c r="L38" s="898"/>
      <c r="M38" s="898"/>
    </row>
    <row r="39" spans="1:13">
      <c r="A39" s="896" t="s">
        <v>676</v>
      </c>
      <c r="B39" s="896" t="s">
        <v>677</v>
      </c>
      <c r="C39" s="896"/>
      <c r="D39" s="896"/>
      <c r="E39" s="896"/>
      <c r="F39" s="896"/>
      <c r="G39" s="896"/>
      <c r="H39" s="896"/>
      <c r="I39" s="896"/>
      <c r="J39" s="896"/>
      <c r="K39" s="896"/>
      <c r="L39" s="898"/>
      <c r="M39" s="898"/>
    </row>
    <row r="40" spans="1:13">
      <c r="A40" s="896"/>
      <c r="B40" s="896" t="s">
        <v>678</v>
      </c>
      <c r="C40" s="896"/>
      <c r="D40" s="896"/>
      <c r="E40" s="896"/>
      <c r="F40" s="896"/>
      <c r="G40" s="896"/>
      <c r="H40" s="896"/>
      <c r="I40" s="896"/>
      <c r="J40" s="896"/>
      <c r="K40" s="896"/>
      <c r="L40" s="898"/>
      <c r="M40" s="898"/>
    </row>
    <row r="41" spans="1:13">
      <c r="A41" s="896"/>
      <c r="B41" s="896"/>
      <c r="C41" s="896"/>
      <c r="D41" s="896"/>
      <c r="E41" s="896"/>
      <c r="F41" s="896"/>
      <c r="G41" s="896"/>
      <c r="H41" s="896"/>
      <c r="I41" s="896"/>
      <c r="J41" s="896"/>
      <c r="K41" s="896"/>
    </row>
    <row r="42" spans="1:13">
      <c r="A42" s="896" t="s">
        <v>679</v>
      </c>
      <c r="B42" s="896" t="s">
        <v>680</v>
      </c>
      <c r="C42" s="896"/>
      <c r="D42" s="896"/>
      <c r="E42" s="896"/>
      <c r="F42" s="896"/>
      <c r="G42" s="896"/>
      <c r="H42" s="896"/>
      <c r="I42" s="896"/>
      <c r="J42" s="896"/>
      <c r="K42" s="896"/>
    </row>
    <row r="43" spans="1:13">
      <c r="A43" s="896"/>
      <c r="B43" s="896" t="s">
        <v>681</v>
      </c>
      <c r="C43" s="896"/>
      <c r="D43" s="896"/>
      <c r="E43" s="896"/>
      <c r="F43" s="896"/>
      <c r="G43" s="896"/>
      <c r="H43" s="896"/>
      <c r="I43" s="896"/>
      <c r="J43" s="896"/>
      <c r="K43" s="896"/>
    </row>
    <row r="44" spans="1:13">
      <c r="A44" s="896"/>
      <c r="B44" s="896"/>
      <c r="C44" s="896"/>
      <c r="D44" s="896"/>
      <c r="E44" s="896"/>
      <c r="F44" s="896"/>
      <c r="G44" s="896"/>
      <c r="H44" s="896"/>
      <c r="I44" s="896"/>
      <c r="J44" s="896"/>
      <c r="K44" s="896"/>
    </row>
    <row r="45" spans="1:13">
      <c r="A45" s="896" t="s">
        <v>682</v>
      </c>
      <c r="B45" s="896" t="s">
        <v>683</v>
      </c>
      <c r="C45" s="896"/>
      <c r="D45" s="896"/>
      <c r="E45" s="896"/>
      <c r="F45" s="896"/>
      <c r="G45" s="896"/>
      <c r="H45" s="896"/>
      <c r="I45" s="896"/>
      <c r="J45" s="896"/>
      <c r="K45" s="896"/>
    </row>
    <row r="46" spans="1:13">
      <c r="A46" s="896"/>
      <c r="B46" s="896" t="s">
        <v>684</v>
      </c>
      <c r="C46" s="896"/>
      <c r="D46" s="896"/>
      <c r="E46" s="896"/>
      <c r="F46" s="896"/>
      <c r="G46" s="896"/>
      <c r="H46" s="896"/>
      <c r="I46" s="896"/>
      <c r="J46" s="896"/>
      <c r="K46" s="896"/>
    </row>
    <row r="47" spans="1:13">
      <c r="A47" s="896"/>
      <c r="B47" s="896" t="s">
        <v>685</v>
      </c>
      <c r="C47" s="896"/>
      <c r="D47" s="896"/>
      <c r="E47" s="896"/>
      <c r="F47" s="896"/>
      <c r="G47" s="896"/>
      <c r="H47" s="896"/>
      <c r="I47" s="896"/>
      <c r="J47" s="896"/>
      <c r="K47" s="896"/>
    </row>
    <row r="48" spans="1:13">
      <c r="A48" s="896"/>
      <c r="B48" s="896"/>
      <c r="C48" s="896"/>
      <c r="D48" s="896"/>
      <c r="E48" s="896"/>
      <c r="F48" s="896"/>
      <c r="G48" s="896"/>
      <c r="H48" s="896"/>
      <c r="I48" s="896"/>
      <c r="J48" s="896"/>
      <c r="K48" s="896"/>
    </row>
    <row r="49" spans="1:11">
      <c r="A49" s="896" t="s">
        <v>686</v>
      </c>
      <c r="B49" s="896" t="s">
        <v>687</v>
      </c>
      <c r="C49" s="896"/>
      <c r="D49" s="896"/>
      <c r="E49" s="896"/>
      <c r="F49" s="896"/>
      <c r="G49" s="896"/>
      <c r="H49" s="896"/>
      <c r="I49" s="896"/>
      <c r="J49" s="896"/>
      <c r="K49" s="896"/>
    </row>
    <row r="50" spans="1:11">
      <c r="A50" s="896"/>
      <c r="B50" s="896" t="s">
        <v>688</v>
      </c>
      <c r="C50" s="896"/>
      <c r="D50" s="896"/>
      <c r="E50" s="896"/>
      <c r="F50" s="896"/>
      <c r="G50" s="896"/>
      <c r="H50" s="896"/>
      <c r="I50" s="896"/>
      <c r="J50" s="896"/>
      <c r="K50" s="896"/>
    </row>
    <row r="51" spans="1:11">
      <c r="A51" s="898"/>
      <c r="B51" s="898"/>
      <c r="C51" s="898"/>
      <c r="D51" s="898"/>
      <c r="E51" s="898"/>
      <c r="F51" s="898"/>
      <c r="G51" s="898"/>
      <c r="H51" s="898"/>
      <c r="I51" s="898"/>
      <c r="J51" s="898"/>
      <c r="K51" s="898"/>
    </row>
    <row r="52" spans="1:11">
      <c r="A52" s="898"/>
      <c r="B52" s="898"/>
      <c r="C52" s="898"/>
      <c r="D52" s="898"/>
      <c r="E52" s="898"/>
      <c r="F52" s="898"/>
      <c r="G52" s="898"/>
      <c r="H52" s="898"/>
      <c r="I52" s="898"/>
      <c r="J52" s="898"/>
      <c r="K52" s="898"/>
    </row>
    <row r="53" spans="1:11">
      <c r="A53" s="898" t="s">
        <v>913</v>
      </c>
      <c r="B53" s="898" t="s">
        <v>689</v>
      </c>
    </row>
    <row r="54" spans="1:11">
      <c r="A54" s="898"/>
      <c r="B54" s="898" t="s">
        <v>690</v>
      </c>
    </row>
    <row r="55" spans="1:11" ht="13.5" customHeight="1">
      <c r="A55" s="898"/>
      <c r="B55" s="898" t="s">
        <v>691</v>
      </c>
    </row>
  </sheetData>
  <mergeCells count="41">
    <mergeCell ref="G27:H27"/>
    <mergeCell ref="I27:K27"/>
    <mergeCell ref="F29:J29"/>
    <mergeCell ref="F30:J30"/>
    <mergeCell ref="F31:J31"/>
    <mergeCell ref="E14:F14"/>
    <mergeCell ref="E15:F15"/>
    <mergeCell ref="E22:F22"/>
    <mergeCell ref="H14:I14"/>
    <mergeCell ref="H15:I15"/>
    <mergeCell ref="H16:I16"/>
    <mergeCell ref="H17:I17"/>
    <mergeCell ref="E18:F18"/>
    <mergeCell ref="E16:F16"/>
    <mergeCell ref="E17:F17"/>
    <mergeCell ref="H20:I20"/>
    <mergeCell ref="H21:I21"/>
    <mergeCell ref="E20:F20"/>
    <mergeCell ref="E21:F21"/>
    <mergeCell ref="H25:I25"/>
    <mergeCell ref="H23:I23"/>
    <mergeCell ref="H24:I24"/>
    <mergeCell ref="H22:I22"/>
    <mergeCell ref="E23:F23"/>
    <mergeCell ref="E24:F24"/>
    <mergeCell ref="F32:J32"/>
    <mergeCell ref="A1:L1"/>
    <mergeCell ref="D9:F9"/>
    <mergeCell ref="E13:F13"/>
    <mergeCell ref="H13:I13"/>
    <mergeCell ref="H11:I11"/>
    <mergeCell ref="C4:L4"/>
    <mergeCell ref="C5:L5"/>
    <mergeCell ref="E11:F11"/>
    <mergeCell ref="C6:L6"/>
    <mergeCell ref="E12:F12"/>
    <mergeCell ref="H12:I12"/>
    <mergeCell ref="I8:L8"/>
    <mergeCell ref="G8:H8"/>
    <mergeCell ref="E25:F25"/>
    <mergeCell ref="H18:I18"/>
  </mergeCells>
  <phoneticPr fontId="2" type="noConversion"/>
  <pageMargins left="0.56999999999999995" right="0.15748031496062992" top="0.74803149606299213" bottom="0.17" header="0.19685039370078741" footer="0.25"/>
  <pageSetup paperSize="9" scale="8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workbookViewId="0">
      <selection activeCell="E20" sqref="E20"/>
    </sheetView>
  </sheetViews>
  <sheetFormatPr defaultRowHeight="13.5"/>
  <cols>
    <col min="1" max="2" width="8.77734375" style="557" customWidth="1"/>
    <col min="3" max="3" width="10.77734375" style="557" customWidth="1"/>
    <col min="4" max="4" width="10.77734375" style="409" customWidth="1"/>
    <col min="5" max="5" width="10.77734375" style="561" customWidth="1"/>
    <col min="6" max="6" width="9.88671875" style="561" customWidth="1"/>
    <col min="7" max="7" width="5.77734375" style="561" customWidth="1"/>
    <col min="8" max="9" width="8.77734375" style="557" customWidth="1"/>
    <col min="10" max="10" width="11.21875" style="557" customWidth="1"/>
    <col min="11" max="11" width="10.77734375" style="409" customWidth="1"/>
    <col min="12" max="12" width="10.77734375" style="561" customWidth="1"/>
    <col min="13" max="13" width="9.77734375" style="561" customWidth="1"/>
    <col min="14" max="14" width="5.33203125" style="562" customWidth="1"/>
    <col min="15" max="15" width="10" style="271" hidden="1" customWidth="1"/>
    <col min="16" max="16" width="14" style="271" hidden="1" customWidth="1"/>
    <col min="17" max="16384" width="8.88671875" style="271"/>
  </cols>
  <sheetData>
    <row r="1" spans="1:16" s="496" customFormat="1" ht="22.5" customHeight="1">
      <c r="A1" s="999" t="s">
        <v>708</v>
      </c>
      <c r="B1" s="1000"/>
      <c r="C1" s="1000"/>
      <c r="D1" s="492"/>
      <c r="E1" s="493"/>
      <c r="F1" s="494"/>
      <c r="G1" s="494"/>
      <c r="H1" s="988"/>
      <c r="I1" s="989"/>
      <c r="J1" s="989"/>
      <c r="K1" s="492"/>
      <c r="L1" s="494"/>
      <c r="M1" s="494"/>
      <c r="N1" s="495"/>
    </row>
    <row r="2" spans="1:16" s="496" customFormat="1" ht="18" customHeight="1">
      <c r="A2" s="497"/>
      <c r="B2" s="497"/>
      <c r="C2" s="497"/>
      <c r="D2" s="868"/>
      <c r="E2" s="753"/>
      <c r="F2" s="494"/>
      <c r="G2" s="494"/>
      <c r="H2" s="497"/>
      <c r="I2" s="497"/>
      <c r="J2" s="497"/>
      <c r="K2" s="492"/>
      <c r="L2" s="758"/>
      <c r="M2" s="498" t="s">
        <v>0</v>
      </c>
      <c r="N2" s="495"/>
    </row>
    <row r="3" spans="1:16" s="499" customFormat="1" ht="26.25" customHeight="1">
      <c r="A3" s="986" t="s">
        <v>749</v>
      </c>
      <c r="B3" s="987"/>
      <c r="C3" s="987"/>
      <c r="D3" s="987"/>
      <c r="E3" s="987"/>
      <c r="F3" s="987"/>
      <c r="G3" s="987"/>
      <c r="H3" s="992" t="s">
        <v>242</v>
      </c>
      <c r="I3" s="993"/>
      <c r="J3" s="993"/>
      <c r="K3" s="993"/>
      <c r="L3" s="993"/>
      <c r="M3" s="993"/>
      <c r="N3" s="994"/>
      <c r="P3" s="949"/>
    </row>
    <row r="4" spans="1:16" s="500" customFormat="1" ht="20.100000000000001" customHeight="1">
      <c r="A4" s="1002" t="s">
        <v>4</v>
      </c>
      <c r="B4" s="991"/>
      <c r="C4" s="991"/>
      <c r="D4" s="997" t="s">
        <v>1022</v>
      </c>
      <c r="E4" s="995" t="s">
        <v>1023</v>
      </c>
      <c r="F4" s="995" t="s">
        <v>750</v>
      </c>
      <c r="G4" s="995"/>
      <c r="H4" s="990" t="s">
        <v>4</v>
      </c>
      <c r="I4" s="991"/>
      <c r="J4" s="991"/>
      <c r="K4" s="997" t="str">
        <f>D4</f>
        <v>전년도예산
( A )</v>
      </c>
      <c r="L4" s="995" t="str">
        <f>E4</f>
        <v>2020년예산
( B )</v>
      </c>
      <c r="M4" s="995" t="s">
        <v>753</v>
      </c>
      <c r="N4" s="1001"/>
    </row>
    <row r="5" spans="1:16" s="500" customFormat="1" ht="20.100000000000001" customHeight="1" thickBot="1">
      <c r="A5" s="869" t="s">
        <v>1</v>
      </c>
      <c r="B5" s="502" t="s">
        <v>2</v>
      </c>
      <c r="C5" s="502" t="s">
        <v>3</v>
      </c>
      <c r="D5" s="998"/>
      <c r="E5" s="996"/>
      <c r="F5" s="629" t="s">
        <v>751</v>
      </c>
      <c r="G5" s="502" t="s">
        <v>752</v>
      </c>
      <c r="H5" s="503" t="s">
        <v>1</v>
      </c>
      <c r="I5" s="502" t="s">
        <v>2</v>
      </c>
      <c r="J5" s="502" t="s">
        <v>3</v>
      </c>
      <c r="K5" s="998"/>
      <c r="L5" s="996"/>
      <c r="M5" s="629" t="s">
        <v>751</v>
      </c>
      <c r="N5" s="870" t="s">
        <v>752</v>
      </c>
      <c r="P5" s="941"/>
    </row>
    <row r="6" spans="1:16" s="509" customFormat="1" ht="18" customHeight="1" thickTop="1">
      <c r="A6" s="1006" t="s">
        <v>33</v>
      </c>
      <c r="B6" s="1005"/>
      <c r="C6" s="1005"/>
      <c r="D6" s="504">
        <f>D7+D13+D16+D36+D39+D43+D10+D30</f>
        <v>3319000000</v>
      </c>
      <c r="E6" s="504">
        <f>E7+E13+E16+E36+E39+E43+E10+E30</f>
        <v>3230720000</v>
      </c>
      <c r="F6" s="506">
        <f>F7+F13+F16+F36+F39+F43+F10+F30</f>
        <v>-88280000</v>
      </c>
      <c r="G6" s="871">
        <f>F6/D6*100</f>
        <v>-2.6598373003916844</v>
      </c>
      <c r="H6" s="1004" t="s">
        <v>33</v>
      </c>
      <c r="I6" s="1005"/>
      <c r="J6" s="1005"/>
      <c r="K6" s="507">
        <f>SUM(K7,K24,K29,K45,K48,K51)</f>
        <v>3319000000</v>
      </c>
      <c r="L6" s="507">
        <f>SUM(L7,L24,L29,L45,L48,L51)</f>
        <v>3230720000</v>
      </c>
      <c r="M6" s="872">
        <f>L6-K6</f>
        <v>-88280000</v>
      </c>
      <c r="N6" s="873">
        <f>M6/K6*100</f>
        <v>-2.6598373003916844</v>
      </c>
      <c r="O6" s="510">
        <f>K6-D6</f>
        <v>0</v>
      </c>
      <c r="P6" s="510">
        <f>E6-L6</f>
        <v>0</v>
      </c>
    </row>
    <row r="7" spans="1:16" s="516" customFormat="1" ht="18" customHeight="1">
      <c r="A7" s="874" t="s">
        <v>265</v>
      </c>
      <c r="B7" s="1003" t="s">
        <v>28</v>
      </c>
      <c r="C7" s="1003"/>
      <c r="D7" s="511">
        <v>134400000</v>
      </c>
      <c r="E7" s="511">
        <f t="shared" ref="E7:E8" si="0">E8</f>
        <v>134400000</v>
      </c>
      <c r="F7" s="513">
        <f>F8</f>
        <v>0</v>
      </c>
      <c r="G7" s="875">
        <f>F7/D7*100</f>
        <v>0</v>
      </c>
      <c r="H7" s="514" t="s">
        <v>9</v>
      </c>
      <c r="I7" s="1003" t="s">
        <v>28</v>
      </c>
      <c r="J7" s="1003"/>
      <c r="K7" s="511">
        <f>SUM(K8,K15,K17)</f>
        <v>2640134180</v>
      </c>
      <c r="L7" s="511">
        <f>SUM(L8,L15,L17)</f>
        <v>2628751180</v>
      </c>
      <c r="M7" s="876">
        <f>M8+M15+M17</f>
        <v>-11383000</v>
      </c>
      <c r="N7" s="877">
        <f>M7/K7*100</f>
        <v>-0.43115232878050164</v>
      </c>
      <c r="P7" s="950"/>
    </row>
    <row r="8" spans="1:16" s="516" customFormat="1" ht="18" customHeight="1">
      <c r="A8" s="878"/>
      <c r="B8" s="951" t="s">
        <v>222</v>
      </c>
      <c r="C8" s="951" t="s">
        <v>6</v>
      </c>
      <c r="D8" s="511">
        <v>134400000</v>
      </c>
      <c r="E8" s="511">
        <f t="shared" si="0"/>
        <v>134400000</v>
      </c>
      <c r="F8" s="513">
        <f>F9</f>
        <v>0</v>
      </c>
      <c r="G8" s="875">
        <f t="shared" ref="G8:G47" si="1">F8/D8*100</f>
        <v>0</v>
      </c>
      <c r="H8" s="517"/>
      <c r="I8" s="951" t="s">
        <v>50</v>
      </c>
      <c r="J8" s="951" t="s">
        <v>6</v>
      </c>
      <c r="K8" s="511">
        <f>SUM(K9:K14)</f>
        <v>2393247270</v>
      </c>
      <c r="L8" s="511">
        <f>SUM(L9:L14)</f>
        <v>2393247270</v>
      </c>
      <c r="M8" s="876">
        <f>SUM(M9:M14)</f>
        <v>0</v>
      </c>
      <c r="N8" s="877">
        <f t="shared" ref="N8:N12" si="2">M8/K8*100</f>
        <v>0</v>
      </c>
    </row>
    <row r="9" spans="1:16" s="516" customFormat="1" ht="18" customHeight="1">
      <c r="A9" s="879"/>
      <c r="B9" s="951"/>
      <c r="C9" s="951" t="s">
        <v>222</v>
      </c>
      <c r="D9" s="511">
        <v>134400000</v>
      </c>
      <c r="E9" s="511">
        <f>'다-2.자부담세입'!E9</f>
        <v>134400000</v>
      </c>
      <c r="F9" s="513">
        <f>E9-D9</f>
        <v>0</v>
      </c>
      <c r="G9" s="875">
        <f t="shared" si="1"/>
        <v>0</v>
      </c>
      <c r="H9" s="520"/>
      <c r="I9" s="521"/>
      <c r="J9" s="951" t="s">
        <v>10</v>
      </c>
      <c r="K9" s="511">
        <f>라.국도비세출!E9+'라-1.도시(군)세출'!E8+'라-3.후원금세출'!E9</f>
        <v>1479465000</v>
      </c>
      <c r="L9" s="511">
        <f>라.국도비세출!F9+'라-3.후원금세출'!F9+'라-1.도시(군)세출'!F8</f>
        <v>1479465000</v>
      </c>
      <c r="M9" s="876">
        <f t="shared" ref="M9:M13" si="3">L9-K9</f>
        <v>0</v>
      </c>
      <c r="N9" s="877">
        <f t="shared" si="2"/>
        <v>0</v>
      </c>
    </row>
    <row r="10" spans="1:16" s="516" customFormat="1" ht="18" customHeight="1">
      <c r="A10" s="874" t="s">
        <v>329</v>
      </c>
      <c r="B10" s="1003" t="s">
        <v>203</v>
      </c>
      <c r="C10" s="1003"/>
      <c r="D10" s="511">
        <v>0</v>
      </c>
      <c r="E10" s="511">
        <f t="shared" ref="E10:F11" si="4">E11</f>
        <v>0</v>
      </c>
      <c r="F10" s="513">
        <f t="shared" si="4"/>
        <v>0</v>
      </c>
      <c r="G10" s="875" t="e">
        <f t="shared" si="1"/>
        <v>#DIV/0!</v>
      </c>
      <c r="H10" s="520"/>
      <c r="I10" s="522"/>
      <c r="J10" s="951" t="s">
        <v>243</v>
      </c>
      <c r="K10" s="511">
        <f>'라-3.후원금세출'!E11</f>
        <v>9600000</v>
      </c>
      <c r="L10" s="511">
        <f>'라-3.후원금세출'!F11</f>
        <v>9600000</v>
      </c>
      <c r="M10" s="876">
        <f t="shared" si="3"/>
        <v>0</v>
      </c>
      <c r="N10" s="877">
        <f t="shared" si="2"/>
        <v>0</v>
      </c>
    </row>
    <row r="11" spans="1:16" s="516" customFormat="1" ht="18" customHeight="1">
      <c r="A11" s="878"/>
      <c r="B11" s="951" t="s">
        <v>329</v>
      </c>
      <c r="C11" s="951" t="s">
        <v>6</v>
      </c>
      <c r="D11" s="511">
        <v>0</v>
      </c>
      <c r="E11" s="511">
        <f t="shared" si="4"/>
        <v>0</v>
      </c>
      <c r="F11" s="513">
        <f t="shared" si="4"/>
        <v>0</v>
      </c>
      <c r="G11" s="875" t="e">
        <f t="shared" si="1"/>
        <v>#DIV/0!</v>
      </c>
      <c r="H11" s="520"/>
      <c r="I11" s="522"/>
      <c r="J11" s="951" t="s">
        <v>13</v>
      </c>
      <c r="K11" s="511">
        <f>라.국도비세출!E10+'라-1.도시(군)세출'!E9+'라-2.자부담세출'!E12</f>
        <v>509510880</v>
      </c>
      <c r="L11" s="511">
        <f>라.국도비세출!F10+'라-3.후원금세출'!F12+'라-2.자부담세출'!F12+'라-1.도시(군)세출'!F9</f>
        <v>509510880</v>
      </c>
      <c r="M11" s="876">
        <f t="shared" si="3"/>
        <v>0</v>
      </c>
      <c r="N11" s="877">
        <f t="shared" si="2"/>
        <v>0</v>
      </c>
    </row>
    <row r="12" spans="1:16" s="516" customFormat="1" ht="18" customHeight="1">
      <c r="A12" s="879"/>
      <c r="B12" s="951"/>
      <c r="C12" s="951" t="s">
        <v>330</v>
      </c>
      <c r="D12" s="511">
        <v>0</v>
      </c>
      <c r="E12" s="511">
        <f>'다-2.자부담세입'!E12</f>
        <v>0</v>
      </c>
      <c r="F12" s="513">
        <f>E12-D12</f>
        <v>0</v>
      </c>
      <c r="G12" s="875" t="e">
        <f t="shared" si="1"/>
        <v>#DIV/0!</v>
      </c>
      <c r="H12" s="520"/>
      <c r="I12" s="522"/>
      <c r="J12" s="951" t="s">
        <v>244</v>
      </c>
      <c r="K12" s="511">
        <f>라.국도비세출!E15+'라-1.도시(군)세출'!E14+'라-2.자부담세출'!E26+'라-3.후원금세출'!E26</f>
        <v>164978100</v>
      </c>
      <c r="L12" s="511">
        <f>라.국도비세출!F15+'라-3.후원금세출'!F26+'라-2.자부담세출'!F26+'라-1.도시(군)세출'!F14</f>
        <v>164978100</v>
      </c>
      <c r="M12" s="876">
        <f t="shared" si="3"/>
        <v>0</v>
      </c>
      <c r="N12" s="877">
        <f t="shared" si="2"/>
        <v>0</v>
      </c>
    </row>
    <row r="13" spans="1:16" s="516" customFormat="1" ht="18" customHeight="1">
      <c r="A13" s="874" t="s">
        <v>44</v>
      </c>
      <c r="B13" s="1003" t="s">
        <v>203</v>
      </c>
      <c r="C13" s="1003"/>
      <c r="D13" s="511">
        <v>0</v>
      </c>
      <c r="E13" s="511">
        <f t="shared" ref="E13:F13" si="5">E14</f>
        <v>0</v>
      </c>
      <c r="F13" s="513">
        <f t="shared" si="5"/>
        <v>0</v>
      </c>
      <c r="G13" s="875" t="e">
        <f t="shared" si="1"/>
        <v>#DIV/0!</v>
      </c>
      <c r="H13" s="520"/>
      <c r="I13" s="522"/>
      <c r="J13" s="951" t="s">
        <v>245</v>
      </c>
      <c r="K13" s="511">
        <f>라.국도비세출!E16+'라-1.도시(군)세출'!E15+'라-2.자부담세출'!E27+'라-3.후원금세출'!E27</f>
        <v>187693290</v>
      </c>
      <c r="L13" s="511">
        <f>라.국도비세출!F16+'라-3.후원금세출'!F27+'라-2.자부담세출'!F27+'라-1.도시(군)세출'!F15</f>
        <v>187693290</v>
      </c>
      <c r="M13" s="876">
        <f t="shared" si="3"/>
        <v>0</v>
      </c>
      <c r="N13" s="877">
        <f>M13/K13*100</f>
        <v>0</v>
      </c>
    </row>
    <row r="14" spans="1:16" s="516" customFormat="1" ht="18" customHeight="1">
      <c r="A14" s="878"/>
      <c r="B14" s="951" t="s">
        <v>205</v>
      </c>
      <c r="C14" s="951" t="s">
        <v>6</v>
      </c>
      <c r="D14" s="511">
        <v>0</v>
      </c>
      <c r="E14" s="511">
        <f>E15</f>
        <v>0</v>
      </c>
      <c r="F14" s="513">
        <f>F15</f>
        <v>0</v>
      </c>
      <c r="G14" s="875" t="e">
        <f t="shared" si="1"/>
        <v>#DIV/0!</v>
      </c>
      <c r="H14" s="520"/>
      <c r="I14" s="526"/>
      <c r="J14" s="951" t="s">
        <v>109</v>
      </c>
      <c r="K14" s="511">
        <f>라.국도비세출!E21+'라-2.자부담세출'!E32+'라-3.후원금세출'!E32</f>
        <v>42000000</v>
      </c>
      <c r="L14" s="511">
        <f>라.국도비세출!F21+'라-2.자부담세출'!F32+'라-3.후원금세출'!F32</f>
        <v>42000000</v>
      </c>
      <c r="M14" s="876">
        <f>L14-K14</f>
        <v>0</v>
      </c>
      <c r="N14" s="877">
        <f t="shared" ref="N14:N36" si="6">M14/K14*100</f>
        <v>0</v>
      </c>
    </row>
    <row r="15" spans="1:16" s="516" customFormat="1" ht="18" customHeight="1">
      <c r="A15" s="879"/>
      <c r="B15" s="951"/>
      <c r="C15" s="951" t="s">
        <v>205</v>
      </c>
      <c r="D15" s="511">
        <v>0</v>
      </c>
      <c r="E15" s="511">
        <f>다.국도시세입!F12+'다-2.자부담세입'!E15</f>
        <v>0</v>
      </c>
      <c r="F15" s="513">
        <f>E15-D15</f>
        <v>0</v>
      </c>
      <c r="G15" s="875" t="e">
        <f t="shared" si="1"/>
        <v>#DIV/0!</v>
      </c>
      <c r="H15" s="520"/>
      <c r="I15" s="951" t="s">
        <v>51</v>
      </c>
      <c r="J15" s="951" t="s">
        <v>6</v>
      </c>
      <c r="K15" s="511">
        <f>K16</f>
        <v>2490000</v>
      </c>
      <c r="L15" s="511">
        <f>L16</f>
        <v>2490000</v>
      </c>
      <c r="M15" s="876">
        <f>L15-K15</f>
        <v>0</v>
      </c>
      <c r="N15" s="877">
        <f t="shared" si="6"/>
        <v>0</v>
      </c>
    </row>
    <row r="16" spans="1:16" s="516" customFormat="1" ht="18" customHeight="1">
      <c r="A16" s="874" t="s">
        <v>42</v>
      </c>
      <c r="B16" s="951" t="s">
        <v>28</v>
      </c>
      <c r="C16" s="951"/>
      <c r="D16" s="528">
        <f>D17+D21+D23+D28</f>
        <v>2651468750</v>
      </c>
      <c r="E16" s="528">
        <f>E17+E21+E23+E28</f>
        <v>2591323820</v>
      </c>
      <c r="F16" s="529">
        <f>F17+F21+F23+F28</f>
        <v>-60144930</v>
      </c>
      <c r="G16" s="875">
        <f t="shared" si="1"/>
        <v>-2.2683627706342002</v>
      </c>
      <c r="H16" s="520"/>
      <c r="I16" s="526"/>
      <c r="J16" s="951" t="s">
        <v>112</v>
      </c>
      <c r="K16" s="511">
        <f>라.국도비세출!E25+'라-2.자부담세출'!E37+'라-3.후원금세출'!E37</f>
        <v>2490000</v>
      </c>
      <c r="L16" s="511">
        <f>라.국도비세출!F25+'라-2.자부담세출'!F37+'라-3.후원금세출'!F37</f>
        <v>2490000</v>
      </c>
      <c r="M16" s="876">
        <f>L16-K16</f>
        <v>0</v>
      </c>
      <c r="N16" s="877">
        <f t="shared" si="6"/>
        <v>0</v>
      </c>
    </row>
    <row r="17" spans="1:14" s="516" customFormat="1" ht="18" customHeight="1">
      <c r="A17" s="878"/>
      <c r="B17" s="951" t="str">
        <f>다.국도시세입!B14</f>
        <v>보조금수입</v>
      </c>
      <c r="C17" s="951" t="s">
        <v>204</v>
      </c>
      <c r="D17" s="528">
        <f>SUM(D18:D20)</f>
        <v>2651468750</v>
      </c>
      <c r="E17" s="528">
        <f>SUM(E18:E20)</f>
        <v>2591323820</v>
      </c>
      <c r="F17" s="529">
        <f>SUM(F18:F20)</f>
        <v>-60144930</v>
      </c>
      <c r="G17" s="875">
        <f t="shared" si="1"/>
        <v>-2.2683627706342002</v>
      </c>
      <c r="H17" s="520"/>
      <c r="I17" s="951" t="s">
        <v>15</v>
      </c>
      <c r="J17" s="951" t="s">
        <v>6</v>
      </c>
      <c r="K17" s="511">
        <f>SUM(K18:K23)</f>
        <v>244396910</v>
      </c>
      <c r="L17" s="511">
        <f>SUM(L18:L23)</f>
        <v>233013910</v>
      </c>
      <c r="M17" s="876">
        <f>SUM(M18:M23)</f>
        <v>-11383000</v>
      </c>
      <c r="N17" s="877">
        <f t="shared" si="6"/>
        <v>-4.657587528418424</v>
      </c>
    </row>
    <row r="18" spans="1:14" s="516" customFormat="1" ht="18" customHeight="1">
      <c r="A18" s="880"/>
      <c r="B18" s="521"/>
      <c r="C18" s="951" t="str">
        <f>다.국도시세입!C15</f>
        <v>국고보조금(70%)</v>
      </c>
      <c r="D18" s="528">
        <f>다.국도시세입!E15</f>
        <v>1703326015</v>
      </c>
      <c r="E18" s="528">
        <f>다.국도시세입!F15</f>
        <v>1672616764</v>
      </c>
      <c r="F18" s="513">
        <f>E18-D18</f>
        <v>-30709251</v>
      </c>
      <c r="G18" s="875">
        <f t="shared" si="1"/>
        <v>-1.8028991942567143</v>
      </c>
      <c r="H18" s="520"/>
      <c r="I18" s="521"/>
      <c r="J18" s="951" t="s">
        <v>16</v>
      </c>
      <c r="K18" s="511">
        <f>라.국도비세출!E27+'라-3.후원금세출'!E39</f>
        <v>5000000</v>
      </c>
      <c r="L18" s="511">
        <f>라.국도비세출!F27+'라-3.후원금세출'!F39</f>
        <v>5000000</v>
      </c>
      <c r="M18" s="876">
        <f t="shared" ref="M18:M23" si="7">L18-K18</f>
        <v>0</v>
      </c>
      <c r="N18" s="877">
        <f t="shared" si="6"/>
        <v>0</v>
      </c>
    </row>
    <row r="19" spans="1:14" s="516" customFormat="1" ht="18" customHeight="1">
      <c r="A19" s="948"/>
      <c r="B19" s="522"/>
      <c r="C19" s="951" t="str">
        <f>다.국도시세입!C20</f>
        <v>시도보조금</v>
      </c>
      <c r="D19" s="528">
        <f>다.국도시세입!E20+'다-1.도시(군)세입'!E13-D20</f>
        <v>941842735</v>
      </c>
      <c r="E19" s="528">
        <f>다.국도시세입!F20+'다-1.도시(군)세입'!F13-E20</f>
        <v>911987056</v>
      </c>
      <c r="F19" s="513">
        <f>E19-D19</f>
        <v>-29855679</v>
      </c>
      <c r="G19" s="875">
        <f t="shared" si="1"/>
        <v>-3.1699218872246226</v>
      </c>
      <c r="H19" s="520"/>
      <c r="I19" s="522"/>
      <c r="J19" s="951" t="s">
        <v>256</v>
      </c>
      <c r="K19" s="511">
        <f>라.국도비세출!E28+'라-2.자부담세출'!E40+'라-3.후원금세출'!E40</f>
        <v>59771080</v>
      </c>
      <c r="L19" s="511">
        <f>라.국도비세출!F28+'라-2.자부담세출'!F40+'라-3.후원금세출'!F40</f>
        <v>55288080</v>
      </c>
      <c r="M19" s="876">
        <f t="shared" si="7"/>
        <v>-4483000</v>
      </c>
      <c r="N19" s="877">
        <f t="shared" si="6"/>
        <v>-7.500282745434748</v>
      </c>
    </row>
    <row r="20" spans="1:14" s="516" customFormat="1" ht="18" customHeight="1">
      <c r="A20" s="880"/>
      <c r="B20" s="947"/>
      <c r="C20" s="952" t="str">
        <f>다.국도시세입!C26</f>
        <v>기타보조금</v>
      </c>
      <c r="D20" s="528">
        <v>6300000</v>
      </c>
      <c r="E20" s="528">
        <f>'다-1.도시(군)세입'!F21</f>
        <v>6720000</v>
      </c>
      <c r="F20" s="513">
        <f>E20-D20</f>
        <v>420000</v>
      </c>
      <c r="G20" s="875">
        <f t="shared" si="1"/>
        <v>6.666666666666667</v>
      </c>
      <c r="H20" s="520"/>
      <c r="I20" s="522"/>
      <c r="J20" s="951" t="s">
        <v>17</v>
      </c>
      <c r="K20" s="511">
        <f>라.국도비세출!E29+'라-2.자부담세출'!E41+'라-3.후원금세출'!E43</f>
        <v>126000000</v>
      </c>
      <c r="L20" s="511">
        <f>라.국도비세출!F29+'라-2.자부담세출'!F41+'라-3.후원금세출'!F43</f>
        <v>119100000</v>
      </c>
      <c r="M20" s="876">
        <f t="shared" si="7"/>
        <v>-6900000</v>
      </c>
      <c r="N20" s="877">
        <f t="shared" si="6"/>
        <v>-5.4761904761904763</v>
      </c>
    </row>
    <row r="21" spans="1:14" s="516" customFormat="1" ht="18" customHeight="1">
      <c r="A21" s="880"/>
      <c r="B21" s="951"/>
      <c r="C21" s="951"/>
      <c r="D21" s="528">
        <v>0</v>
      </c>
      <c r="E21" s="528">
        <v>0</v>
      </c>
      <c r="F21" s="529">
        <f>F22</f>
        <v>0</v>
      </c>
      <c r="G21" s="875">
        <v>0</v>
      </c>
      <c r="H21" s="520"/>
      <c r="I21" s="522"/>
      <c r="J21" s="951" t="s">
        <v>18</v>
      </c>
      <c r="K21" s="511">
        <f>라.국도비세출!E30+'라-2.자부담세출'!E42+'라-3.후원금세출'!E44</f>
        <v>13625830</v>
      </c>
      <c r="L21" s="511">
        <f>라.국도비세출!F30+'라-2.자부담세출'!F42+'라-3.후원금세출'!F44</f>
        <v>13625830</v>
      </c>
      <c r="M21" s="876">
        <f t="shared" si="7"/>
        <v>0</v>
      </c>
      <c r="N21" s="877">
        <f t="shared" si="6"/>
        <v>0</v>
      </c>
    </row>
    <row r="22" spans="1:14" s="516" customFormat="1" ht="18" customHeight="1">
      <c r="A22" s="880"/>
      <c r="B22" s="951"/>
      <c r="C22" s="951"/>
      <c r="D22" s="528">
        <v>0</v>
      </c>
      <c r="E22" s="528">
        <v>0</v>
      </c>
      <c r="F22" s="529">
        <f>C22-B22</f>
        <v>0</v>
      </c>
      <c r="G22" s="875">
        <v>0</v>
      </c>
      <c r="H22" s="520"/>
      <c r="I22" s="522"/>
      <c r="J22" s="951" t="s">
        <v>19</v>
      </c>
      <c r="K22" s="511">
        <f>라.국도비세출!E34+'라-2.자부담세출'!E43+'라-3.후원금세출'!E45</f>
        <v>26000000</v>
      </c>
      <c r="L22" s="511">
        <f>라.국도비세출!F34+'라-2.자부담세출'!F43+'라-3.후원금세출'!F45</f>
        <v>26000000</v>
      </c>
      <c r="M22" s="876">
        <f t="shared" si="7"/>
        <v>0</v>
      </c>
      <c r="N22" s="877">
        <f t="shared" si="6"/>
        <v>0</v>
      </c>
    </row>
    <row r="23" spans="1:14" s="516" customFormat="1" ht="18" customHeight="1">
      <c r="A23" s="880"/>
      <c r="B23" s="951"/>
      <c r="C23" s="951"/>
      <c r="D23" s="528">
        <v>0</v>
      </c>
      <c r="E23" s="528">
        <f>SUM(E24:E27)</f>
        <v>0</v>
      </c>
      <c r="F23" s="529">
        <f>SUM(F24:F27)</f>
        <v>0</v>
      </c>
      <c r="G23" s="875">
        <v>0</v>
      </c>
      <c r="H23" s="532"/>
      <c r="I23" s="526"/>
      <c r="J23" s="951" t="s">
        <v>248</v>
      </c>
      <c r="K23" s="511">
        <f>라.국도비세출!E35+'라-2.자부담세출'!E44+'라-3.후원금세출'!E46</f>
        <v>14000000</v>
      </c>
      <c r="L23" s="511">
        <f>라.국도비세출!F35+'라-2.자부담세출'!F44+'라-3.후원금세출'!F46</f>
        <v>14000000</v>
      </c>
      <c r="M23" s="876">
        <f t="shared" si="7"/>
        <v>0</v>
      </c>
      <c r="N23" s="877">
        <f t="shared" si="6"/>
        <v>0</v>
      </c>
    </row>
    <row r="24" spans="1:14" s="516" customFormat="1" ht="18" customHeight="1">
      <c r="A24" s="880"/>
      <c r="B24" s="521"/>
      <c r="C24" s="951"/>
      <c r="D24" s="528">
        <v>0</v>
      </c>
      <c r="E24" s="528">
        <f>다.국도시세입!F28</f>
        <v>0</v>
      </c>
      <c r="F24" s="529">
        <f>C24-B24</f>
        <v>0</v>
      </c>
      <c r="G24" s="875">
        <v>0</v>
      </c>
      <c r="H24" s="514" t="s">
        <v>249</v>
      </c>
      <c r="I24" s="951" t="s">
        <v>28</v>
      </c>
      <c r="J24" s="951"/>
      <c r="K24" s="511">
        <f>SUM(K25)</f>
        <v>162000000</v>
      </c>
      <c r="L24" s="511">
        <f>SUM(L25)</f>
        <v>167900000</v>
      </c>
      <c r="M24" s="876">
        <f>M25</f>
        <v>5900000</v>
      </c>
      <c r="N24" s="877">
        <f t="shared" si="6"/>
        <v>3.6419753086419751</v>
      </c>
    </row>
    <row r="25" spans="1:14" s="531" customFormat="1" ht="18" customHeight="1">
      <c r="A25" s="880"/>
      <c r="B25" s="522"/>
      <c r="C25" s="951"/>
      <c r="D25" s="528">
        <v>0</v>
      </c>
      <c r="E25" s="528">
        <f>다.국도시세입!F29</f>
        <v>0</v>
      </c>
      <c r="F25" s="529">
        <f>C25-B25</f>
        <v>0</v>
      </c>
      <c r="G25" s="875">
        <v>0</v>
      </c>
      <c r="H25" s="517"/>
      <c r="I25" s="951" t="s">
        <v>21</v>
      </c>
      <c r="J25" s="951" t="s">
        <v>6</v>
      </c>
      <c r="K25" s="511">
        <f>SUM(K26:K28)</f>
        <v>162000000</v>
      </c>
      <c r="L25" s="511">
        <f>SUM(L26:L28)</f>
        <v>167900000</v>
      </c>
      <c r="M25" s="876">
        <f>SUM(M26:M28)</f>
        <v>5900000</v>
      </c>
      <c r="N25" s="877">
        <f t="shared" si="6"/>
        <v>3.6419753086419751</v>
      </c>
    </row>
    <row r="26" spans="1:14" s="531" customFormat="1" ht="18" customHeight="1">
      <c r="A26" s="880"/>
      <c r="B26" s="522"/>
      <c r="C26" s="951"/>
      <c r="D26" s="528">
        <v>0</v>
      </c>
      <c r="E26" s="528">
        <f>다.국도시세입!F30</f>
        <v>0</v>
      </c>
      <c r="F26" s="529">
        <f>C26-B26</f>
        <v>0</v>
      </c>
      <c r="G26" s="875">
        <v>0</v>
      </c>
      <c r="H26" s="520"/>
      <c r="I26" s="521"/>
      <c r="J26" s="951" t="s">
        <v>21</v>
      </c>
      <c r="K26" s="511">
        <f>라.국도비세출!E38+'라-2.자부담세출'!E47+'라-3.후원금세출'!E49</f>
        <v>10000000</v>
      </c>
      <c r="L26" s="511">
        <f>라.국도비세출!F38+'라-2.자부담세출'!F47+'라-3.후원금세출'!F49</f>
        <v>10000000</v>
      </c>
      <c r="M26" s="876">
        <f>L26-K26</f>
        <v>0</v>
      </c>
      <c r="N26" s="877">
        <f t="shared" si="6"/>
        <v>0</v>
      </c>
    </row>
    <row r="27" spans="1:14" s="509" customFormat="1" ht="18" customHeight="1">
      <c r="A27" s="880"/>
      <c r="B27" s="526"/>
      <c r="C27" s="951"/>
      <c r="D27" s="528">
        <v>0</v>
      </c>
      <c r="E27" s="528">
        <f>다.국도시세입!F31</f>
        <v>0</v>
      </c>
      <c r="F27" s="529">
        <f>C27-B27</f>
        <v>0</v>
      </c>
      <c r="G27" s="875">
        <v>0</v>
      </c>
      <c r="H27" s="520"/>
      <c r="I27" s="522"/>
      <c r="J27" s="951" t="s">
        <v>52</v>
      </c>
      <c r="K27" s="511">
        <f>라.국도비세출!E39+'라-2.자부담세출'!E48+'라-3.후원금세출'!E50</f>
        <v>20000000</v>
      </c>
      <c r="L27" s="511">
        <f>라.국도비세출!F39+'라-2.자부담세출'!F48+'라-3.후원금세출'!F50</f>
        <v>65900000</v>
      </c>
      <c r="M27" s="876">
        <f>L27-K27</f>
        <v>45900000</v>
      </c>
      <c r="N27" s="877">
        <f t="shared" si="6"/>
        <v>229.5</v>
      </c>
    </row>
    <row r="28" spans="1:14" s="509" customFormat="1" ht="18" customHeight="1">
      <c r="A28" s="880"/>
      <c r="B28" s="951"/>
      <c r="C28" s="951"/>
      <c r="D28" s="528">
        <v>0</v>
      </c>
      <c r="E28" s="528">
        <f>E29</f>
        <v>0</v>
      </c>
      <c r="F28" s="529">
        <f>F29</f>
        <v>0</v>
      </c>
      <c r="G28" s="875">
        <v>0</v>
      </c>
      <c r="H28" s="532"/>
      <c r="I28" s="526"/>
      <c r="J28" s="951" t="s">
        <v>257</v>
      </c>
      <c r="K28" s="511">
        <f>라.국도비세출!E40+'라-2.자부담세출'!E49+'라-3.후원금세출'!E51</f>
        <v>132000000</v>
      </c>
      <c r="L28" s="511">
        <f>라.국도비세출!F40+'라-2.자부담세출'!F49+'라-3.후원금세출'!F51</f>
        <v>92000000</v>
      </c>
      <c r="M28" s="876">
        <f>L28-K28</f>
        <v>-40000000</v>
      </c>
      <c r="N28" s="877">
        <f t="shared" si="6"/>
        <v>-30.303030303030305</v>
      </c>
    </row>
    <row r="29" spans="1:14" s="516" customFormat="1" ht="18" customHeight="1">
      <c r="A29" s="879"/>
      <c r="B29" s="951"/>
      <c r="C29" s="951"/>
      <c r="D29" s="528">
        <v>0</v>
      </c>
      <c r="E29" s="528">
        <f>'다-3.후원금세입'!E14</f>
        <v>0</v>
      </c>
      <c r="F29" s="513">
        <f>E29-D29</f>
        <v>0</v>
      </c>
      <c r="G29" s="875">
        <v>0</v>
      </c>
      <c r="H29" s="514" t="s">
        <v>23</v>
      </c>
      <c r="I29" s="951" t="s">
        <v>28</v>
      </c>
      <c r="J29" s="951"/>
      <c r="K29" s="511">
        <f>SUM(K30,K36,K43)</f>
        <v>462937570</v>
      </c>
      <c r="L29" s="511">
        <f>SUM(L30,L36,L43)</f>
        <v>401372640</v>
      </c>
      <c r="M29" s="876">
        <f>L29-K29</f>
        <v>-61564930</v>
      </c>
      <c r="N29" s="877">
        <f t="shared" si="6"/>
        <v>-13.298754300714888</v>
      </c>
    </row>
    <row r="30" spans="1:14" s="516" customFormat="1" ht="18" customHeight="1">
      <c r="A30" s="874" t="s">
        <v>335</v>
      </c>
      <c r="B30" s="951" t="s">
        <v>203</v>
      </c>
      <c r="C30" s="951"/>
      <c r="D30" s="528">
        <v>364200000</v>
      </c>
      <c r="E30" s="528">
        <f>E31+E34</f>
        <v>364200000</v>
      </c>
      <c r="F30" s="529">
        <f>F31+F34</f>
        <v>0</v>
      </c>
      <c r="G30" s="875">
        <f t="shared" si="1"/>
        <v>0</v>
      </c>
      <c r="H30" s="517"/>
      <c r="I30" s="951" t="s">
        <v>15</v>
      </c>
      <c r="J30" s="951" t="s">
        <v>6</v>
      </c>
      <c r="K30" s="511">
        <f>SUM(K31:K35)</f>
        <v>256466570</v>
      </c>
      <c r="L30" s="511">
        <f>SUM(L31:L35)</f>
        <v>254332640</v>
      </c>
      <c r="M30" s="876">
        <f>SUM(M31:M35)</f>
        <v>-2133930</v>
      </c>
      <c r="N30" s="877">
        <f t="shared" si="6"/>
        <v>-0.83204996269104392</v>
      </c>
    </row>
    <row r="31" spans="1:14" s="516" customFormat="1" ht="18" customHeight="1">
      <c r="A31" s="878"/>
      <c r="B31" s="951" t="s">
        <v>332</v>
      </c>
      <c r="C31" s="951" t="s">
        <v>204</v>
      </c>
      <c r="D31" s="528">
        <v>364200000</v>
      </c>
      <c r="E31" s="528">
        <f>SUM(E32:E33)</f>
        <v>364200000</v>
      </c>
      <c r="F31" s="529">
        <f>SUM(F32:F33)</f>
        <v>0</v>
      </c>
      <c r="G31" s="875">
        <f t="shared" si="1"/>
        <v>0</v>
      </c>
      <c r="H31" s="520"/>
      <c r="I31" s="521"/>
      <c r="J31" s="525" t="s">
        <v>97</v>
      </c>
      <c r="K31" s="511">
        <f>라.국도비세출!E44+라.국도비세출!E45+라.국도비세출!E46+'라-2.자부담세출'!E52+'라-3.후원금세출'!E54</f>
        <v>211496570</v>
      </c>
      <c r="L31" s="511">
        <f>라.국도비세출!F44+라.국도비세출!F45+라.국도비세출!F46+'라-2.자부담세출'!F52+'라-3.후원금세출'!F54</f>
        <v>209362640</v>
      </c>
      <c r="M31" s="876">
        <f t="shared" ref="M31:M35" si="8">L31-K31</f>
        <v>-2133930</v>
      </c>
      <c r="N31" s="877">
        <f t="shared" si="6"/>
        <v>-1.0089667175217074</v>
      </c>
    </row>
    <row r="32" spans="1:14" s="516" customFormat="1" ht="18" customHeight="1">
      <c r="A32" s="880"/>
      <c r="B32" s="521"/>
      <c r="C32" s="951" t="s">
        <v>333</v>
      </c>
      <c r="D32" s="528">
        <v>14200000</v>
      </c>
      <c r="E32" s="528">
        <f>'다-3.후원금세입'!E18</f>
        <v>14200000</v>
      </c>
      <c r="F32" s="513">
        <f>E32-D32</f>
        <v>0</v>
      </c>
      <c r="G32" s="875">
        <f t="shared" si="1"/>
        <v>0</v>
      </c>
      <c r="H32" s="520"/>
      <c r="I32" s="522"/>
      <c r="J32" s="951" t="s">
        <v>24</v>
      </c>
      <c r="K32" s="511">
        <f>'라-2.자부담세출'!E53</f>
        <v>4000000</v>
      </c>
      <c r="L32" s="511">
        <f>'라-2.자부담세출'!F53</f>
        <v>4000000</v>
      </c>
      <c r="M32" s="876">
        <f t="shared" si="8"/>
        <v>0</v>
      </c>
      <c r="N32" s="877">
        <f t="shared" si="6"/>
        <v>0</v>
      </c>
    </row>
    <row r="33" spans="1:14" s="516" customFormat="1" ht="18" customHeight="1">
      <c r="A33" s="880"/>
      <c r="B33" s="526"/>
      <c r="C33" s="951" t="s">
        <v>334</v>
      </c>
      <c r="D33" s="528">
        <v>350000000</v>
      </c>
      <c r="E33" s="528">
        <f>'다-3.후원금세입'!E19</f>
        <v>350000000</v>
      </c>
      <c r="F33" s="513">
        <f>E33-D33</f>
        <v>0</v>
      </c>
      <c r="G33" s="875">
        <f t="shared" si="1"/>
        <v>0</v>
      </c>
      <c r="H33" s="520"/>
      <c r="I33" s="522"/>
      <c r="J33" s="951" t="str">
        <f>'라-2.자부담세출'!C54</f>
        <v>수용기관경비</v>
      </c>
      <c r="K33" s="511">
        <f>라.국도비세출!E47+'라-2.자부담세출'!E54+'라-3.후원금세출'!E55</f>
        <v>37970000</v>
      </c>
      <c r="L33" s="511">
        <f>라.국도비세출!F47+'라-2.자부담세출'!F54+'라-3.후원금세출'!F55</f>
        <v>37970000</v>
      </c>
      <c r="M33" s="876">
        <f t="shared" si="8"/>
        <v>0</v>
      </c>
      <c r="N33" s="877">
        <f t="shared" si="6"/>
        <v>0</v>
      </c>
    </row>
    <row r="34" spans="1:14" s="516" customFormat="1" ht="18" customHeight="1">
      <c r="A34" s="880"/>
      <c r="B34" s="951"/>
      <c r="C34" s="951"/>
      <c r="D34" s="528">
        <v>0</v>
      </c>
      <c r="E34" s="528">
        <f t="shared" ref="E34:F37" si="9">E35</f>
        <v>0</v>
      </c>
      <c r="F34" s="529">
        <f t="shared" si="9"/>
        <v>0</v>
      </c>
      <c r="G34" s="875">
        <v>0</v>
      </c>
      <c r="H34" s="520"/>
      <c r="I34" s="522"/>
      <c r="J34" s="951" t="s">
        <v>25</v>
      </c>
      <c r="K34" s="511">
        <f>'라-2.자부담세출'!E57+'라-3.후원금세출'!E59</f>
        <v>3000000</v>
      </c>
      <c r="L34" s="511">
        <f>'라-2.자부담세출'!F57+'라-3.후원금세출'!F59</f>
        <v>3000000</v>
      </c>
      <c r="M34" s="876">
        <f t="shared" si="8"/>
        <v>0</v>
      </c>
      <c r="N34" s="877">
        <f t="shared" si="6"/>
        <v>0</v>
      </c>
    </row>
    <row r="35" spans="1:14" s="516" customFormat="1" ht="18" hidden="1" customHeight="1">
      <c r="A35" s="879"/>
      <c r="B35" s="951"/>
      <c r="C35" s="951"/>
      <c r="D35" s="528">
        <v>0</v>
      </c>
      <c r="E35" s="528">
        <f>'다-3.후원금세입'!E20</f>
        <v>0</v>
      </c>
      <c r="F35" s="513">
        <f>E35-D35</f>
        <v>0</v>
      </c>
      <c r="G35" s="875">
        <v>0</v>
      </c>
      <c r="H35" s="520"/>
      <c r="I35" s="526"/>
      <c r="J35" s="951" t="s">
        <v>20</v>
      </c>
      <c r="K35" s="511">
        <f>'라-3.후원금세출'!E64</f>
        <v>0</v>
      </c>
      <c r="L35" s="511">
        <f>'라-3.후원금세출'!F64</f>
        <v>0</v>
      </c>
      <c r="M35" s="876">
        <f t="shared" si="8"/>
        <v>0</v>
      </c>
      <c r="N35" s="877" t="e">
        <f t="shared" si="6"/>
        <v>#DIV/0!</v>
      </c>
    </row>
    <row r="36" spans="1:14" s="516" customFormat="1" ht="18" customHeight="1">
      <c r="A36" s="874" t="s">
        <v>336</v>
      </c>
      <c r="B36" s="951" t="s">
        <v>203</v>
      </c>
      <c r="C36" s="951"/>
      <c r="D36" s="528">
        <v>40000000</v>
      </c>
      <c r="E36" s="528">
        <f t="shared" si="9"/>
        <v>40000000</v>
      </c>
      <c r="F36" s="529">
        <f t="shared" si="9"/>
        <v>0</v>
      </c>
      <c r="G36" s="875">
        <f>F36/D36*100</f>
        <v>0</v>
      </c>
      <c r="H36" s="520"/>
      <c r="I36" s="951" t="s">
        <v>23</v>
      </c>
      <c r="J36" s="951" t="s">
        <v>6</v>
      </c>
      <c r="K36" s="511">
        <f>SUM(K37:K42)</f>
        <v>204971000</v>
      </c>
      <c r="L36" s="511">
        <f>SUM(L37:L42)</f>
        <v>145540000</v>
      </c>
      <c r="M36" s="876">
        <f t="shared" ref="M36:M42" si="10">L36-K36</f>
        <v>-59431000</v>
      </c>
      <c r="N36" s="877">
        <f t="shared" si="6"/>
        <v>-28.994833415458771</v>
      </c>
    </row>
    <row r="37" spans="1:14" s="516" customFormat="1" ht="18" customHeight="1">
      <c r="A37" s="878"/>
      <c r="B37" s="951" t="s">
        <v>208</v>
      </c>
      <c r="C37" s="951" t="s">
        <v>204</v>
      </c>
      <c r="D37" s="528">
        <v>40000000</v>
      </c>
      <c r="E37" s="528">
        <f t="shared" si="9"/>
        <v>40000000</v>
      </c>
      <c r="F37" s="529">
        <f t="shared" si="9"/>
        <v>0</v>
      </c>
      <c r="G37" s="875">
        <f t="shared" si="1"/>
        <v>0</v>
      </c>
      <c r="H37" s="520"/>
      <c r="I37" s="522"/>
      <c r="J37" s="951" t="s">
        <v>258</v>
      </c>
      <c r="K37" s="511">
        <f>라.국도비세출!E51+'라-2.자부담세출'!E75+'라-3.후원금세출'!E78</f>
        <v>93000000</v>
      </c>
      <c r="L37" s="511">
        <f>라.국도비세출!F51+'라-2.자부담세출'!F75+'라-3.후원금세출'!F78</f>
        <v>89000000</v>
      </c>
      <c r="M37" s="876">
        <f t="shared" si="10"/>
        <v>-4000000</v>
      </c>
      <c r="N37" s="877">
        <f t="shared" ref="N37:N44" si="11">M37/K37*100</f>
        <v>-4.3010752688172049</v>
      </c>
    </row>
    <row r="38" spans="1:14" s="516" customFormat="1" ht="18" customHeight="1">
      <c r="A38" s="879"/>
      <c r="B38" s="951"/>
      <c r="C38" s="951" t="s">
        <v>209</v>
      </c>
      <c r="D38" s="528">
        <v>40000000</v>
      </c>
      <c r="E38" s="528">
        <f>'다-2.자부담세입'!E25</f>
        <v>40000000</v>
      </c>
      <c r="F38" s="513">
        <f>E38-D38</f>
        <v>0</v>
      </c>
      <c r="G38" s="875">
        <f t="shared" si="1"/>
        <v>0</v>
      </c>
      <c r="H38" s="520"/>
      <c r="I38" s="522"/>
      <c r="J38" s="951" t="s">
        <v>869</v>
      </c>
      <c r="K38" s="511">
        <f>'라-2.자부담세출'!E77+'라-3.후원금세출'!E80</f>
        <v>5000000</v>
      </c>
      <c r="L38" s="511">
        <f>'라-2.자부담세출'!F77+'라-3.후원금세출'!F80</f>
        <v>5000000</v>
      </c>
      <c r="M38" s="876">
        <f t="shared" si="10"/>
        <v>0</v>
      </c>
      <c r="N38" s="877">
        <f t="shared" si="11"/>
        <v>0</v>
      </c>
    </row>
    <row r="39" spans="1:14" s="516" customFormat="1" ht="18" customHeight="1">
      <c r="A39" s="874" t="s">
        <v>210</v>
      </c>
      <c r="B39" s="951" t="s">
        <v>203</v>
      </c>
      <c r="C39" s="951"/>
      <c r="D39" s="528">
        <v>81659584</v>
      </c>
      <c r="E39" s="528">
        <f>E40</f>
        <v>53487000</v>
      </c>
      <c r="F39" s="529">
        <f>F40</f>
        <v>-28172584</v>
      </c>
      <c r="G39" s="875">
        <f t="shared" si="1"/>
        <v>-34.500033700881943</v>
      </c>
      <c r="H39" s="520"/>
      <c r="I39" s="522"/>
      <c r="J39" s="951" t="s">
        <v>870</v>
      </c>
      <c r="K39" s="511">
        <f>'라-1.도시(군)세출'!E25</f>
        <v>32840000</v>
      </c>
      <c r="L39" s="511">
        <f>'라-1.도시(군)세출'!F25</f>
        <v>32840000</v>
      </c>
      <c r="M39" s="876">
        <f t="shared" si="10"/>
        <v>0</v>
      </c>
      <c r="N39" s="877">
        <f t="shared" si="11"/>
        <v>0</v>
      </c>
    </row>
    <row r="40" spans="1:14" s="516" customFormat="1" ht="18" customHeight="1">
      <c r="A40" s="878"/>
      <c r="B40" s="951" t="s">
        <v>210</v>
      </c>
      <c r="C40" s="951" t="s">
        <v>204</v>
      </c>
      <c r="D40" s="528">
        <v>81659584</v>
      </c>
      <c r="E40" s="528">
        <f>SUM(E41:E42)</f>
        <v>53487000</v>
      </c>
      <c r="F40" s="529">
        <f>SUM(F41:F42)</f>
        <v>-28172584</v>
      </c>
      <c r="G40" s="875">
        <f t="shared" si="1"/>
        <v>-34.500033700881943</v>
      </c>
      <c r="H40" s="520"/>
      <c r="I40" s="522"/>
      <c r="J40" s="951" t="s">
        <v>871</v>
      </c>
      <c r="K40" s="511">
        <f>'라-1.도시(군)세출'!E21</f>
        <v>6600000</v>
      </c>
      <c r="L40" s="511">
        <f>'라-1.도시(군)세출'!F21</f>
        <v>6600000</v>
      </c>
      <c r="M40" s="876">
        <f t="shared" si="10"/>
        <v>0</v>
      </c>
      <c r="N40" s="877">
        <f t="shared" si="11"/>
        <v>0</v>
      </c>
    </row>
    <row r="41" spans="1:14" s="516" customFormat="1" ht="18" customHeight="1">
      <c r="A41" s="880"/>
      <c r="B41" s="521"/>
      <c r="C41" s="951" t="s">
        <v>212</v>
      </c>
      <c r="D41" s="528">
        <v>81659584</v>
      </c>
      <c r="E41" s="528">
        <f>다.국도시세입!F34+'다-2.자부담세입'!E28+'다-3.후원금세입'!E31+'다-1.도시(군)세입'!F23</f>
        <v>53487000</v>
      </c>
      <c r="F41" s="513">
        <f>E41-D41</f>
        <v>-28172584</v>
      </c>
      <c r="G41" s="875">
        <f t="shared" si="1"/>
        <v>-34.500033700881943</v>
      </c>
      <c r="H41" s="520"/>
      <c r="I41" s="522"/>
      <c r="J41" s="951" t="s">
        <v>954</v>
      </c>
      <c r="K41" s="511">
        <f>'라-1.도시(군)세출'!E32+'라-3.후원금세출'!E81</f>
        <v>7000000</v>
      </c>
      <c r="L41" s="511">
        <f>'라-1.도시(군)세출'!F32+'라-3.후원금세출'!F81</f>
        <v>10000000</v>
      </c>
      <c r="M41" s="876">
        <f t="shared" si="10"/>
        <v>3000000</v>
      </c>
      <c r="N41" s="877">
        <f t="shared" si="11"/>
        <v>42.857142857142854</v>
      </c>
    </row>
    <row r="42" spans="1:14" s="516" customFormat="1" ht="18" customHeight="1">
      <c r="A42" s="879"/>
      <c r="B42" s="526"/>
      <c r="C42" s="951" t="s">
        <v>211</v>
      </c>
      <c r="D42" s="528">
        <v>0</v>
      </c>
      <c r="E42" s="528">
        <f>다.국도시세입!F35+'다-2.자부담세입'!E29</f>
        <v>0</v>
      </c>
      <c r="F42" s="513">
        <f>E42-D42</f>
        <v>0</v>
      </c>
      <c r="G42" s="875"/>
      <c r="H42" s="520"/>
      <c r="I42" s="522"/>
      <c r="J42" s="951" t="s">
        <v>872</v>
      </c>
      <c r="K42" s="511">
        <f>라.국도비세출!E52</f>
        <v>60531000</v>
      </c>
      <c r="L42" s="511">
        <f>라.국도비세출!F52</f>
        <v>2100000</v>
      </c>
      <c r="M42" s="876">
        <f t="shared" si="10"/>
        <v>-58431000</v>
      </c>
      <c r="N42" s="877">
        <f t="shared" si="11"/>
        <v>-96.53070327600733</v>
      </c>
    </row>
    <row r="43" spans="1:14" s="516" customFormat="1" ht="18" customHeight="1">
      <c r="A43" s="874" t="s">
        <v>213</v>
      </c>
      <c r="B43" s="951" t="s">
        <v>203</v>
      </c>
      <c r="C43" s="951"/>
      <c r="D43" s="528">
        <f>D44</f>
        <v>47271666</v>
      </c>
      <c r="E43" s="528">
        <f>E44</f>
        <v>47309180</v>
      </c>
      <c r="F43" s="529">
        <f>F44</f>
        <v>37514</v>
      </c>
      <c r="G43" s="875">
        <f t="shared" si="1"/>
        <v>7.9358320055823717E-2</v>
      </c>
      <c r="H43" s="520"/>
      <c r="I43" s="951" t="s">
        <v>880</v>
      </c>
      <c r="J43" s="951" t="s">
        <v>885</v>
      </c>
      <c r="K43" s="511">
        <f>K44</f>
        <v>1500000</v>
      </c>
      <c r="L43" s="511">
        <f>L44</f>
        <v>1500000</v>
      </c>
      <c r="M43" s="876">
        <f>M44</f>
        <v>0</v>
      </c>
      <c r="N43" s="877">
        <f t="shared" si="11"/>
        <v>0</v>
      </c>
    </row>
    <row r="44" spans="1:14" s="516" customFormat="1" ht="18" customHeight="1">
      <c r="A44" s="878"/>
      <c r="B44" s="951" t="s">
        <v>213</v>
      </c>
      <c r="C44" s="951" t="s">
        <v>204</v>
      </c>
      <c r="D44" s="528">
        <f>SUM(D45:D47)</f>
        <v>47271666</v>
      </c>
      <c r="E44" s="528">
        <f>SUM(E45:E47)</f>
        <v>47309180</v>
      </c>
      <c r="F44" s="529">
        <f>SUM(F45:F47)</f>
        <v>37514</v>
      </c>
      <c r="G44" s="875">
        <f t="shared" si="1"/>
        <v>7.9358320055823717E-2</v>
      </c>
      <c r="H44" s="532"/>
      <c r="I44" s="951"/>
      <c r="J44" s="951" t="s">
        <v>868</v>
      </c>
      <c r="K44" s="511">
        <f>'라-3.후원금세출'!E88</f>
        <v>1500000</v>
      </c>
      <c r="L44" s="511">
        <f>'라-3.후원금세출'!F88</f>
        <v>1500000</v>
      </c>
      <c r="M44" s="876">
        <f>L44-K44</f>
        <v>0</v>
      </c>
      <c r="N44" s="877">
        <f t="shared" si="11"/>
        <v>0</v>
      </c>
    </row>
    <row r="45" spans="1:14" s="516" customFormat="1" ht="18" customHeight="1">
      <c r="A45" s="880"/>
      <c r="B45" s="521"/>
      <c r="C45" s="951" t="s">
        <v>48</v>
      </c>
      <c r="D45" s="528">
        <v>500000</v>
      </c>
      <c r="E45" s="528">
        <f>다.국도시세입!F38+'다-2.자부담세입'!E32</f>
        <v>500000</v>
      </c>
      <c r="F45" s="513">
        <f>E45-D45</f>
        <v>0</v>
      </c>
      <c r="G45" s="875">
        <f t="shared" si="1"/>
        <v>0</v>
      </c>
      <c r="H45" s="514" t="s">
        <v>254</v>
      </c>
      <c r="I45" s="951" t="s">
        <v>28</v>
      </c>
      <c r="J45" s="951"/>
      <c r="K45" s="511">
        <f>K46</f>
        <v>1897000</v>
      </c>
      <c r="L45" s="511">
        <f>L46</f>
        <v>800000</v>
      </c>
      <c r="M45" s="876">
        <f>M46</f>
        <v>-1097000</v>
      </c>
      <c r="N45" s="877">
        <f t="shared" ref="N45:N53" si="12">M44/K44*100</f>
        <v>0</v>
      </c>
    </row>
    <row r="46" spans="1:14" s="516" customFormat="1" ht="18" customHeight="1">
      <c r="A46" s="880"/>
      <c r="B46" s="522"/>
      <c r="C46" s="951" t="s">
        <v>49</v>
      </c>
      <c r="D46" s="528">
        <f>다.국도시세입!E39+'다-2.자부담세입'!D33+'다-3.후원금세입'!D36+'다-1.도시(군)세입'!E28</f>
        <v>1721666</v>
      </c>
      <c r="E46" s="528">
        <f>다.국도시세입!F39+'다-2.자부담세입'!E33+'다-3.후원금세입'!E36+'다-1.도시(군)세입'!F28</f>
        <v>1759180</v>
      </c>
      <c r="F46" s="513">
        <f>E46-D46</f>
        <v>37514</v>
      </c>
      <c r="G46" s="875">
        <f t="shared" si="1"/>
        <v>2.1789359840991227</v>
      </c>
      <c r="H46" s="517"/>
      <c r="I46" s="951" t="s">
        <v>148</v>
      </c>
      <c r="J46" s="951" t="s">
        <v>6</v>
      </c>
      <c r="K46" s="511">
        <f>SUM(K47)</f>
        <v>1897000</v>
      </c>
      <c r="L46" s="511">
        <f>SUM(L47)</f>
        <v>800000</v>
      </c>
      <c r="M46" s="876">
        <f>M47</f>
        <v>-1097000</v>
      </c>
      <c r="N46" s="877">
        <f t="shared" si="12"/>
        <v>-57.82814971006853</v>
      </c>
    </row>
    <row r="47" spans="1:14" s="516" customFormat="1" ht="18" customHeight="1">
      <c r="A47" s="880"/>
      <c r="B47" s="526"/>
      <c r="C47" s="521" t="s">
        <v>214</v>
      </c>
      <c r="D47" s="546">
        <v>45050000</v>
      </c>
      <c r="E47" s="546">
        <f>다.국도시세입!F40+'다-2.자부담세입'!E34</f>
        <v>45050000</v>
      </c>
      <c r="F47" s="513">
        <f>E47-D47</f>
        <v>0</v>
      </c>
      <c r="G47" s="875">
        <f t="shared" si="1"/>
        <v>0</v>
      </c>
      <c r="H47" s="532"/>
      <c r="I47" s="951"/>
      <c r="J47" s="951" t="s">
        <v>148</v>
      </c>
      <c r="K47" s="511">
        <f>'라-3.후원금세출'!E90</f>
        <v>1897000</v>
      </c>
      <c r="L47" s="511">
        <f>'라-3.후원금세출'!F90</f>
        <v>800000</v>
      </c>
      <c r="M47" s="876">
        <f>L47-K47</f>
        <v>-1097000</v>
      </c>
      <c r="N47" s="877">
        <f t="shared" si="12"/>
        <v>-57.82814971006853</v>
      </c>
    </row>
    <row r="48" spans="1:14" s="516" customFormat="1" ht="18" customHeight="1">
      <c r="A48" s="972"/>
      <c r="B48" s="958"/>
      <c r="C48" s="958"/>
      <c r="D48" s="958"/>
      <c r="E48" s="958"/>
      <c r="F48" s="549"/>
      <c r="G48" s="875"/>
      <c r="H48" s="514" t="s">
        <v>255</v>
      </c>
      <c r="I48" s="951" t="s">
        <v>28</v>
      </c>
      <c r="J48" s="951"/>
      <c r="K48" s="511">
        <f>SUM(K49)</f>
        <v>625462</v>
      </c>
      <c r="L48" s="511">
        <f>SUM(L49)</f>
        <v>609180</v>
      </c>
      <c r="M48" s="876">
        <f>M49</f>
        <v>-16282</v>
      </c>
      <c r="N48" s="877">
        <f t="shared" si="12"/>
        <v>-57.82814971006853</v>
      </c>
    </row>
    <row r="49" spans="1:14" s="516" customFormat="1" ht="18" customHeight="1">
      <c r="A49" s="878"/>
      <c r="B49" s="521"/>
      <c r="C49" s="521"/>
      <c r="D49" s="547"/>
      <c r="E49" s="547"/>
      <c r="F49" s="549"/>
      <c r="G49" s="875"/>
      <c r="H49" s="517"/>
      <c r="I49" s="951" t="s">
        <v>7</v>
      </c>
      <c r="J49" s="951" t="s">
        <v>6</v>
      </c>
      <c r="K49" s="511">
        <f>SUM(K50)</f>
        <v>625462</v>
      </c>
      <c r="L49" s="511">
        <f>SUM(L50)</f>
        <v>609180</v>
      </c>
      <c r="M49" s="876">
        <f>M50</f>
        <v>-16282</v>
      </c>
      <c r="N49" s="877">
        <f t="shared" si="12"/>
        <v>-2.6031957177254572</v>
      </c>
    </row>
    <row r="50" spans="1:14" s="516" customFormat="1" ht="18" customHeight="1">
      <c r="A50" s="880"/>
      <c r="B50" s="522"/>
      <c r="C50" s="522"/>
      <c r="D50" s="548"/>
      <c r="E50" s="548"/>
      <c r="F50" s="549"/>
      <c r="G50" s="875"/>
      <c r="H50" s="532"/>
      <c r="I50" s="951"/>
      <c r="J50" s="951" t="s">
        <v>7</v>
      </c>
      <c r="K50" s="511">
        <f>라.국도비세출!E58+'라-1.도시(군)세출'!E36</f>
        <v>625462</v>
      </c>
      <c r="L50" s="511">
        <f>라.국도비세출!F58+'라-1.도시(군)세출'!F36</f>
        <v>609180</v>
      </c>
      <c r="M50" s="876">
        <f>L50-K50</f>
        <v>-16282</v>
      </c>
      <c r="N50" s="877">
        <f t="shared" si="12"/>
        <v>-2.6031957177254572</v>
      </c>
    </row>
    <row r="51" spans="1:14" s="516" customFormat="1" ht="18" customHeight="1">
      <c r="A51" s="880"/>
      <c r="B51" s="522"/>
      <c r="C51" s="522"/>
      <c r="D51" s="548"/>
      <c r="E51" s="548"/>
      <c r="F51" s="549"/>
      <c r="G51" s="881"/>
      <c r="H51" s="532" t="s">
        <v>882</v>
      </c>
      <c r="I51" s="526" t="s">
        <v>28</v>
      </c>
      <c r="J51" s="526"/>
      <c r="K51" s="543">
        <f>SUM(K52)</f>
        <v>51405788</v>
      </c>
      <c r="L51" s="543">
        <f>SUM(L52)</f>
        <v>31287000</v>
      </c>
      <c r="M51" s="882">
        <f t="shared" ref="M51:M52" si="13">M52</f>
        <v>-20118788</v>
      </c>
      <c r="N51" s="877">
        <f t="shared" si="12"/>
        <v>-2.6031957177254572</v>
      </c>
    </row>
    <row r="52" spans="1:14" s="516" customFormat="1" ht="18" customHeight="1">
      <c r="A52" s="880"/>
      <c r="B52" s="522"/>
      <c r="C52" s="522"/>
      <c r="D52" s="548"/>
      <c r="E52" s="548"/>
      <c r="F52" s="549"/>
      <c r="G52" s="881"/>
      <c r="H52" s="517"/>
      <c r="I52" s="951" t="s">
        <v>883</v>
      </c>
      <c r="J52" s="951" t="s">
        <v>6</v>
      </c>
      <c r="K52" s="511">
        <f>SUM(K53)</f>
        <v>51405788</v>
      </c>
      <c r="L52" s="511">
        <f>SUM(L53)</f>
        <v>31287000</v>
      </c>
      <c r="M52" s="876">
        <f t="shared" si="13"/>
        <v>-20118788</v>
      </c>
      <c r="N52" s="877">
        <f t="shared" si="12"/>
        <v>-39.137203771684234</v>
      </c>
    </row>
    <row r="53" spans="1:14" s="516" customFormat="1" ht="18" customHeight="1">
      <c r="A53" s="883"/>
      <c r="B53" s="538"/>
      <c r="C53" s="538"/>
      <c r="D53" s="884"/>
      <c r="E53" s="884"/>
      <c r="F53" s="885"/>
      <c r="G53" s="886"/>
      <c r="H53" s="537"/>
      <c r="I53" s="533"/>
      <c r="J53" s="533" t="s">
        <v>884</v>
      </c>
      <c r="K53" s="539">
        <f>라.국도비세출!E61+'라-1.도시(군)세출'!E39</f>
        <v>51405788</v>
      </c>
      <c r="L53" s="539">
        <f>라.국도비세출!F61+'라-1.도시(군)세출'!F39</f>
        <v>31287000</v>
      </c>
      <c r="M53" s="887">
        <f>L53-K53</f>
        <v>-20118788</v>
      </c>
      <c r="N53" s="888">
        <f t="shared" si="12"/>
        <v>-39.137203771684234</v>
      </c>
    </row>
    <row r="54" spans="1:14">
      <c r="D54" s="557"/>
      <c r="E54" s="558"/>
      <c r="F54" s="558"/>
      <c r="G54" s="558"/>
      <c r="K54" s="557"/>
      <c r="L54" s="558"/>
      <c r="M54" s="558"/>
      <c r="N54" s="560"/>
    </row>
    <row r="55" spans="1:14">
      <c r="D55" s="557"/>
      <c r="E55" s="558"/>
      <c r="F55" s="558"/>
      <c r="G55" s="558"/>
      <c r="K55" s="557"/>
      <c r="L55" s="558"/>
      <c r="M55" s="558"/>
      <c r="N55" s="560"/>
    </row>
    <row r="56" spans="1:14">
      <c r="D56" s="557"/>
      <c r="E56" s="558"/>
      <c r="F56" s="558"/>
      <c r="G56" s="558"/>
      <c r="K56" s="557"/>
      <c r="L56" s="558"/>
      <c r="M56" s="558"/>
      <c r="N56" s="560"/>
    </row>
    <row r="57" spans="1:14">
      <c r="D57" s="557"/>
      <c r="E57" s="558"/>
      <c r="F57" s="558"/>
      <c r="G57" s="558"/>
      <c r="K57" s="557"/>
      <c r="L57" s="558"/>
      <c r="M57" s="558"/>
      <c r="N57" s="560"/>
    </row>
    <row r="58" spans="1:14">
      <c r="D58" s="557"/>
      <c r="E58" s="558"/>
      <c r="F58" s="558"/>
      <c r="G58" s="558"/>
      <c r="K58" s="557"/>
      <c r="L58" s="558"/>
      <c r="M58" s="558"/>
      <c r="N58" s="560"/>
    </row>
    <row r="59" spans="1:14">
      <c r="D59" s="557"/>
      <c r="E59" s="558"/>
      <c r="F59" s="558"/>
      <c r="G59" s="558"/>
      <c r="K59" s="557"/>
      <c r="L59" s="558"/>
      <c r="M59" s="558"/>
      <c r="N59" s="560"/>
    </row>
    <row r="60" spans="1:14">
      <c r="D60" s="557"/>
      <c r="E60" s="558"/>
      <c r="F60" s="558"/>
      <c r="G60" s="558"/>
      <c r="K60" s="557"/>
      <c r="L60" s="558"/>
      <c r="M60" s="558"/>
      <c r="N60" s="560"/>
    </row>
    <row r="61" spans="1:14">
      <c r="D61" s="557"/>
      <c r="E61" s="558"/>
      <c r="F61" s="558"/>
      <c r="G61" s="558"/>
      <c r="K61" s="557"/>
      <c r="L61" s="558"/>
      <c r="M61" s="558"/>
      <c r="N61" s="560"/>
    </row>
    <row r="62" spans="1:14">
      <c r="D62" s="557"/>
      <c r="E62" s="558"/>
      <c r="F62" s="558"/>
      <c r="G62" s="558"/>
      <c r="K62" s="557"/>
      <c r="L62" s="558"/>
      <c r="M62" s="558"/>
      <c r="N62" s="560"/>
    </row>
    <row r="63" spans="1:14">
      <c r="D63" s="557"/>
      <c r="E63" s="558"/>
      <c r="F63" s="558"/>
      <c r="G63" s="558"/>
      <c r="K63" s="557"/>
      <c r="L63" s="558"/>
      <c r="M63" s="558"/>
      <c r="N63" s="560"/>
    </row>
    <row r="64" spans="1:14">
      <c r="D64" s="557"/>
      <c r="E64" s="558"/>
      <c r="F64" s="558"/>
      <c r="G64" s="558"/>
      <c r="K64" s="557"/>
      <c r="L64" s="558"/>
      <c r="M64" s="558"/>
      <c r="N64" s="560"/>
    </row>
    <row r="65" spans="4:14">
      <c r="D65" s="557"/>
      <c r="E65" s="558"/>
      <c r="F65" s="558"/>
      <c r="G65" s="558"/>
      <c r="K65" s="557"/>
      <c r="L65" s="558"/>
      <c r="M65" s="558"/>
      <c r="N65" s="560"/>
    </row>
    <row r="66" spans="4:14">
      <c r="D66" s="557"/>
      <c r="E66" s="558"/>
      <c r="F66" s="558"/>
      <c r="G66" s="558"/>
      <c r="K66" s="557"/>
      <c r="L66" s="558"/>
      <c r="M66" s="558"/>
      <c r="N66" s="560"/>
    </row>
    <row r="67" spans="4:14">
      <c r="D67" s="557"/>
      <c r="E67" s="558"/>
      <c r="F67" s="558"/>
      <c r="G67" s="558"/>
      <c r="K67" s="557"/>
      <c r="L67" s="558"/>
      <c r="M67" s="558"/>
      <c r="N67" s="560"/>
    </row>
    <row r="68" spans="4:14">
      <c r="D68" s="557"/>
      <c r="E68" s="558"/>
      <c r="F68" s="558"/>
      <c r="G68" s="558"/>
      <c r="K68" s="557"/>
      <c r="L68" s="558"/>
      <c r="M68" s="558"/>
      <c r="N68" s="560"/>
    </row>
    <row r="69" spans="4:14">
      <c r="D69" s="557"/>
      <c r="E69" s="558"/>
      <c r="F69" s="558"/>
      <c r="G69" s="558"/>
      <c r="K69" s="557"/>
      <c r="L69" s="558"/>
      <c r="M69" s="558"/>
      <c r="N69" s="560"/>
    </row>
    <row r="70" spans="4:14">
      <c r="D70" s="557"/>
      <c r="E70" s="558"/>
      <c r="F70" s="558"/>
      <c r="G70" s="558"/>
    </row>
    <row r="71" spans="4:14">
      <c r="D71" s="557"/>
      <c r="E71" s="558"/>
      <c r="F71" s="558"/>
      <c r="G71" s="558"/>
    </row>
    <row r="72" spans="4:14">
      <c r="D72" s="557"/>
      <c r="E72" s="558"/>
      <c r="F72" s="558"/>
      <c r="G72" s="558"/>
    </row>
  </sheetData>
  <mergeCells count="18">
    <mergeCell ref="B7:C7"/>
    <mergeCell ref="B10:C10"/>
    <mergeCell ref="H6:J6"/>
    <mergeCell ref="B13:C13"/>
    <mergeCell ref="A6:C6"/>
    <mergeCell ref="I7:J7"/>
    <mergeCell ref="A3:G3"/>
    <mergeCell ref="H1:J1"/>
    <mergeCell ref="H4:J4"/>
    <mergeCell ref="H3:N3"/>
    <mergeCell ref="L4:L5"/>
    <mergeCell ref="K4:K5"/>
    <mergeCell ref="A1:C1"/>
    <mergeCell ref="D4:D5"/>
    <mergeCell ref="E4:E5"/>
    <mergeCell ref="F4:G4"/>
    <mergeCell ref="M4:N4"/>
    <mergeCell ref="A4:C4"/>
  </mergeCells>
  <phoneticPr fontId="2" type="noConversion"/>
  <printOptions horizontalCentered="1"/>
  <pageMargins left="0.13" right="0.11811023622047245" top="0.56000000000000005" bottom="0.24" header="0.34" footer="0.27559055118110237"/>
  <pageSetup paperSize="9" scale="67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workbookViewId="0">
      <selection activeCell="F6" sqref="F6"/>
    </sheetView>
  </sheetViews>
  <sheetFormatPr defaultRowHeight="13.5"/>
  <cols>
    <col min="1" max="1" width="10.21875" style="561" customWidth="1"/>
    <col min="2" max="2" width="10.88671875" style="561" customWidth="1"/>
    <col min="3" max="3" width="15.88671875" style="561" customWidth="1"/>
    <col min="4" max="4" width="11.44140625" style="561" hidden="1" customWidth="1"/>
    <col min="5" max="6" width="13.5546875" style="561" customWidth="1"/>
    <col min="7" max="7" width="12.77734375" style="561" customWidth="1"/>
    <col min="8" max="8" width="6.77734375" style="561" customWidth="1"/>
    <col min="9" max="9" width="37.33203125" style="561" customWidth="1"/>
    <col min="10" max="10" width="11.5546875" style="409" customWidth="1"/>
    <col min="11" max="11" width="15.109375" style="561" customWidth="1"/>
    <col min="12" max="12" width="5" style="561" customWidth="1"/>
    <col min="13" max="13" width="10.77734375" style="561" customWidth="1"/>
    <col min="14" max="16384" width="8.88671875" style="271"/>
  </cols>
  <sheetData>
    <row r="1" spans="1:11" s="496" customFormat="1" ht="22.5" customHeight="1">
      <c r="A1" s="1014" t="s">
        <v>646</v>
      </c>
      <c r="B1" s="1015"/>
      <c r="C1" s="1015"/>
      <c r="D1" s="848"/>
      <c r="E1" s="565"/>
      <c r="F1" s="565"/>
      <c r="G1" s="494"/>
      <c r="H1" s="494"/>
    </row>
    <row r="2" spans="1:11" s="496" customFormat="1" ht="22.5" customHeight="1">
      <c r="A2" s="1016" t="s">
        <v>215</v>
      </c>
      <c r="B2" s="1016"/>
      <c r="C2" s="1016"/>
      <c r="D2" s="352"/>
      <c r="E2" s="565"/>
      <c r="F2" s="565"/>
      <c r="G2" s="494"/>
      <c r="H2" s="494"/>
    </row>
    <row r="3" spans="1:11" s="496" customFormat="1" ht="22.5" customHeight="1">
      <c r="A3" s="828"/>
      <c r="B3" s="828"/>
      <c r="C3" s="494"/>
      <c r="D3" s="494"/>
      <c r="E3" s="494"/>
      <c r="F3" s="494"/>
      <c r="G3" s="494"/>
      <c r="H3" s="494"/>
      <c r="I3" s="498" t="s">
        <v>0</v>
      </c>
    </row>
    <row r="4" spans="1:11" s="627" customFormat="1" ht="33.75" customHeight="1">
      <c r="A4" s="1012" t="s">
        <v>216</v>
      </c>
      <c r="B4" s="1013"/>
      <c r="C4" s="1013"/>
      <c r="D4" s="849"/>
      <c r="E4" s="997" t="str">
        <f>'나.세입세출(총괄)'!D4:D5</f>
        <v>전년도예산
( A )</v>
      </c>
      <c r="F4" s="995" t="str">
        <f>'나.세입세출(총괄)'!E4:E5</f>
        <v>2020년예산
( B )</v>
      </c>
      <c r="G4" s="995" t="s">
        <v>750</v>
      </c>
      <c r="H4" s="995"/>
      <c r="I4" s="1007" t="s">
        <v>31</v>
      </c>
    </row>
    <row r="5" spans="1:11" s="627" customFormat="1" ht="33.75" customHeight="1" thickBot="1">
      <c r="A5" s="628" t="s">
        <v>217</v>
      </c>
      <c r="B5" s="629" t="s">
        <v>218</v>
      </c>
      <c r="C5" s="629" t="s">
        <v>219</v>
      </c>
      <c r="D5" s="850"/>
      <c r="E5" s="998"/>
      <c r="F5" s="996"/>
      <c r="G5" s="629" t="s">
        <v>751</v>
      </c>
      <c r="H5" s="502" t="s">
        <v>752</v>
      </c>
      <c r="I5" s="1008"/>
    </row>
    <row r="6" spans="1:11" s="627" customFormat="1" ht="33.75" customHeight="1" thickTop="1">
      <c r="A6" s="1010" t="s">
        <v>225</v>
      </c>
      <c r="B6" s="1011"/>
      <c r="C6" s="1011"/>
      <c r="D6" s="851"/>
      <c r="E6" s="634">
        <v>2491240000</v>
      </c>
      <c r="F6" s="634">
        <f>F7+F10+F13+F32+F36</f>
        <v>2415800000</v>
      </c>
      <c r="G6" s="634">
        <f>G7+G10+G13+G32+G36</f>
        <v>-75440000</v>
      </c>
      <c r="H6" s="852">
        <f>G6/E6*100</f>
        <v>-3.0282108508212775</v>
      </c>
      <c r="I6" s="830"/>
      <c r="J6" s="831">
        <f>E6-라.국도비세출!E6</f>
        <v>0</v>
      </c>
      <c r="K6" s="831">
        <f>F6-라.국도비세출!F6</f>
        <v>0</v>
      </c>
    </row>
    <row r="7" spans="1:11" s="271" customFormat="1" ht="29.25" customHeight="1">
      <c r="A7" s="787" t="s">
        <v>220</v>
      </c>
      <c r="B7" s="1009" t="s">
        <v>221</v>
      </c>
      <c r="C7" s="1009"/>
      <c r="D7" s="669"/>
      <c r="E7" s="639">
        <v>0</v>
      </c>
      <c r="F7" s="639">
        <f>F8</f>
        <v>0</v>
      </c>
      <c r="G7" s="639">
        <f>G8</f>
        <v>0</v>
      </c>
      <c r="H7" s="853">
        <v>0</v>
      </c>
      <c r="I7" s="854"/>
    </row>
    <row r="8" spans="1:11" s="271" customFormat="1" ht="29.25" customHeight="1">
      <c r="A8" s="788"/>
      <c r="B8" s="772" t="s">
        <v>222</v>
      </c>
      <c r="C8" s="772" t="s">
        <v>223</v>
      </c>
      <c r="D8" s="363"/>
      <c r="E8" s="646">
        <v>0</v>
      </c>
      <c r="F8" s="646">
        <f>F9</f>
        <v>0</v>
      </c>
      <c r="G8" s="646">
        <f>F8-E8</f>
        <v>0</v>
      </c>
      <c r="H8" s="853">
        <v>0</v>
      </c>
      <c r="I8" s="834"/>
    </row>
    <row r="9" spans="1:11" s="271" customFormat="1" ht="29.25" customHeight="1">
      <c r="A9" s="789"/>
      <c r="B9" s="772"/>
      <c r="C9" s="772" t="s">
        <v>222</v>
      </c>
      <c r="D9" s="363"/>
      <c r="E9" s="646">
        <v>0</v>
      </c>
      <c r="F9" s="646">
        <v>0</v>
      </c>
      <c r="G9" s="646">
        <f>F9-E9</f>
        <v>0</v>
      </c>
      <c r="H9" s="853">
        <v>0</v>
      </c>
      <c r="I9" s="834"/>
    </row>
    <row r="10" spans="1:11" s="271" customFormat="1" ht="29.25" customHeight="1">
      <c r="A10" s="787" t="s">
        <v>205</v>
      </c>
      <c r="B10" s="1009" t="s">
        <v>203</v>
      </c>
      <c r="C10" s="1009"/>
      <c r="D10" s="669"/>
      <c r="E10" s="639">
        <v>0</v>
      </c>
      <c r="F10" s="639">
        <f t="shared" ref="F10:G11" si="0">F11</f>
        <v>0</v>
      </c>
      <c r="G10" s="639">
        <f t="shared" si="0"/>
        <v>0</v>
      </c>
      <c r="H10" s="853">
        <v>0</v>
      </c>
      <c r="I10" s="834"/>
    </row>
    <row r="11" spans="1:11" s="271" customFormat="1" ht="29.25" customHeight="1">
      <c r="A11" s="788"/>
      <c r="B11" s="772" t="s">
        <v>205</v>
      </c>
      <c r="C11" s="772" t="s">
        <v>6</v>
      </c>
      <c r="D11" s="363"/>
      <c r="E11" s="639">
        <v>0</v>
      </c>
      <c r="F11" s="639">
        <f t="shared" si="0"/>
        <v>0</v>
      </c>
      <c r="G11" s="639">
        <f t="shared" si="0"/>
        <v>0</v>
      </c>
      <c r="H11" s="853">
        <v>0</v>
      </c>
      <c r="I11" s="834"/>
    </row>
    <row r="12" spans="1:11" s="271" customFormat="1" ht="29.25" customHeight="1">
      <c r="A12" s="789"/>
      <c r="B12" s="772"/>
      <c r="C12" s="772" t="s">
        <v>205</v>
      </c>
      <c r="D12" s="363"/>
      <c r="E12" s="639">
        <v>0</v>
      </c>
      <c r="F12" s="639">
        <v>0</v>
      </c>
      <c r="G12" s="646">
        <f t="shared" ref="G12:G17" si="1">F12-E12</f>
        <v>0</v>
      </c>
      <c r="H12" s="853">
        <v>0</v>
      </c>
      <c r="I12" s="834"/>
      <c r="K12" s="855"/>
    </row>
    <row r="13" spans="1:11" s="271" customFormat="1" ht="33.75" customHeight="1">
      <c r="A13" s="787" t="s">
        <v>42</v>
      </c>
      <c r="B13" s="1009" t="s">
        <v>28</v>
      </c>
      <c r="C13" s="1009"/>
      <c r="D13" s="669"/>
      <c r="E13" s="646">
        <v>2450617450</v>
      </c>
      <c r="F13" s="646">
        <f>SUM(F14,F25)</f>
        <v>2390052520</v>
      </c>
      <c r="G13" s="646">
        <f t="shared" si="1"/>
        <v>-60564930</v>
      </c>
      <c r="H13" s="853">
        <f>G13/E13*100</f>
        <v>-2.4714151121383714</v>
      </c>
      <c r="I13" s="834"/>
    </row>
    <row r="14" spans="1:11" s="271" customFormat="1" ht="33.75" customHeight="1">
      <c r="A14" s="788"/>
      <c r="B14" s="772" t="s">
        <v>611</v>
      </c>
      <c r="C14" s="772" t="s">
        <v>204</v>
      </c>
      <c r="D14" s="363"/>
      <c r="E14" s="646">
        <v>2450617450</v>
      </c>
      <c r="F14" s="646">
        <f>SUM(F15,F20)</f>
        <v>2390052520</v>
      </c>
      <c r="G14" s="646">
        <f t="shared" si="1"/>
        <v>-60564930</v>
      </c>
      <c r="H14" s="853">
        <f>G14/E14*100</f>
        <v>-2.4714151121383714</v>
      </c>
      <c r="I14" s="834"/>
    </row>
    <row r="15" spans="1:11" s="271" customFormat="1" ht="64.5" customHeight="1">
      <c r="A15" s="782"/>
      <c r="B15" s="786"/>
      <c r="C15" s="766" t="s">
        <v>761</v>
      </c>
      <c r="D15" s="858" t="s">
        <v>645</v>
      </c>
      <c r="E15" s="646">
        <v>1703326015</v>
      </c>
      <c r="F15" s="646">
        <f>SUM(F16:F19)</f>
        <v>1672616764</v>
      </c>
      <c r="G15" s="646">
        <f t="shared" si="1"/>
        <v>-30709251</v>
      </c>
      <c r="H15" s="853">
        <f>G15/E15*100</f>
        <v>-1.8028991942567143</v>
      </c>
      <c r="I15" s="856" t="s">
        <v>992</v>
      </c>
    </row>
    <row r="16" spans="1:11" s="271" customFormat="1" ht="33.75" customHeight="1">
      <c r="A16" s="782"/>
      <c r="B16" s="773"/>
      <c r="C16" s="772" t="s">
        <v>717</v>
      </c>
      <c r="D16" s="363" t="str">
        <f>라.국도비세출!B8</f>
        <v>인건비</v>
      </c>
      <c r="E16" s="646">
        <v>1507743916</v>
      </c>
      <c r="F16" s="646">
        <f>(라.국도비세출!F9+라.국도비세출!F11+라.국도비세출!F12+라.국도비세출!F13+라.국도비세출!F15+라.국도비세출!F16)*70%</f>
        <v>1507743916</v>
      </c>
      <c r="G16" s="646">
        <f t="shared" si="1"/>
        <v>0</v>
      </c>
      <c r="H16" s="853">
        <f t="shared" ref="H16:H39" si="2">G16/E16*100</f>
        <v>0</v>
      </c>
      <c r="I16" s="857"/>
    </row>
    <row r="17" spans="1:13" ht="33.75" customHeight="1">
      <c r="A17" s="782"/>
      <c r="B17" s="773"/>
      <c r="C17" s="772" t="s">
        <v>718</v>
      </c>
      <c r="D17" s="363" t="s">
        <v>647</v>
      </c>
      <c r="E17" s="646">
        <v>69769000</v>
      </c>
      <c r="F17" s="646">
        <f>라.국도비세출!Q7*70%</f>
        <v>69769000</v>
      </c>
      <c r="G17" s="646">
        <f t="shared" si="1"/>
        <v>0</v>
      </c>
      <c r="H17" s="853">
        <f t="shared" si="2"/>
        <v>0</v>
      </c>
      <c r="I17" s="857"/>
      <c r="J17" s="271"/>
      <c r="K17" s="271"/>
      <c r="L17" s="271"/>
      <c r="M17" s="271"/>
    </row>
    <row r="18" spans="1:13" ht="33.75" customHeight="1">
      <c r="A18" s="782"/>
      <c r="B18" s="773"/>
      <c r="C18" s="772" t="s">
        <v>719</v>
      </c>
      <c r="D18" s="363" t="s">
        <v>649</v>
      </c>
      <c r="E18" s="646">
        <v>95547599</v>
      </c>
      <c r="F18" s="646">
        <f>라.국도비세출!F43*70%</f>
        <v>94053848</v>
      </c>
      <c r="G18" s="646">
        <f t="shared" ref="G18:G19" si="3">F18-E18</f>
        <v>-1493751</v>
      </c>
      <c r="H18" s="853">
        <f t="shared" si="2"/>
        <v>-1.5633579656983323</v>
      </c>
      <c r="I18" s="857"/>
      <c r="J18" s="271"/>
      <c r="K18" s="271"/>
      <c r="L18" s="271"/>
      <c r="M18" s="271"/>
    </row>
    <row r="19" spans="1:13" ht="33.75" customHeight="1">
      <c r="A19" s="782"/>
      <c r="B19" s="773"/>
      <c r="C19" s="772" t="s">
        <v>860</v>
      </c>
      <c r="D19" s="363"/>
      <c r="E19" s="646">
        <v>30265500</v>
      </c>
      <c r="F19" s="646">
        <f>라.국도비세출!F52/2</f>
        <v>1050000</v>
      </c>
      <c r="G19" s="646">
        <f t="shared" si="3"/>
        <v>-29215500</v>
      </c>
      <c r="H19" s="853">
        <v>0</v>
      </c>
      <c r="I19" s="857"/>
      <c r="J19" s="271"/>
      <c r="K19" s="271"/>
      <c r="L19" s="271"/>
      <c r="M19" s="271"/>
    </row>
    <row r="20" spans="1:13" ht="60" customHeight="1">
      <c r="A20" s="782"/>
      <c r="B20" s="773"/>
      <c r="C20" s="766" t="s">
        <v>961</v>
      </c>
      <c r="D20" s="858" t="s">
        <v>645</v>
      </c>
      <c r="E20" s="646">
        <v>747291435</v>
      </c>
      <c r="F20" s="646">
        <f>SUM(F21:F24)</f>
        <v>717435756</v>
      </c>
      <c r="G20" s="646">
        <f>F20-E20</f>
        <v>-29855679</v>
      </c>
      <c r="H20" s="853">
        <f t="shared" si="2"/>
        <v>-3.9951854927923804</v>
      </c>
      <c r="I20" s="856" t="s">
        <v>993</v>
      </c>
      <c r="J20" s="271"/>
      <c r="K20" s="271"/>
      <c r="L20" s="271"/>
      <c r="M20" s="271"/>
    </row>
    <row r="21" spans="1:13" ht="33.75" customHeight="1">
      <c r="A21" s="782"/>
      <c r="B21" s="773"/>
      <c r="C21" s="772" t="s">
        <v>720</v>
      </c>
      <c r="D21" s="363" t="str">
        <f>D16</f>
        <v>인건비</v>
      </c>
      <c r="E21" s="646">
        <v>646175964</v>
      </c>
      <c r="F21" s="646">
        <f>(라.국도비세출!F9+라.국도비세출!F11+라.국도비세출!F12+라.국도비세출!F13+라.국도비세출!F15+라.국도비세출!F16)*30%</f>
        <v>646175964</v>
      </c>
      <c r="G21" s="646">
        <f t="shared" ref="G21:G31" si="4">F21-E21</f>
        <v>0</v>
      </c>
      <c r="H21" s="853">
        <f t="shared" si="2"/>
        <v>0</v>
      </c>
      <c r="I21" s="834"/>
      <c r="J21" s="271"/>
      <c r="K21" s="271"/>
      <c r="L21" s="271"/>
      <c r="M21" s="271"/>
    </row>
    <row r="22" spans="1:13" ht="33.75" customHeight="1">
      <c r="A22" s="782"/>
      <c r="B22" s="773"/>
      <c r="C22" s="772" t="s">
        <v>721</v>
      </c>
      <c r="D22" s="363" t="str">
        <f>D17</f>
        <v>운영비</v>
      </c>
      <c r="E22" s="646">
        <v>29901000</v>
      </c>
      <c r="F22" s="646">
        <f>라.국도비세출!Q7*30%</f>
        <v>29901000</v>
      </c>
      <c r="G22" s="646">
        <f t="shared" si="4"/>
        <v>0</v>
      </c>
      <c r="H22" s="853">
        <f t="shared" si="2"/>
        <v>0</v>
      </c>
      <c r="I22" s="834"/>
      <c r="J22" s="271"/>
      <c r="K22" s="271"/>
      <c r="L22" s="271"/>
      <c r="M22" s="271"/>
    </row>
    <row r="23" spans="1:13" ht="33.75" customHeight="1">
      <c r="A23" s="782"/>
      <c r="B23" s="778"/>
      <c r="C23" s="772" t="s">
        <v>719</v>
      </c>
      <c r="D23" s="363" t="str">
        <f>D18</f>
        <v>생계비</v>
      </c>
      <c r="E23" s="646">
        <v>40948971</v>
      </c>
      <c r="F23" s="646">
        <f>라.국도비세출!F43*30%</f>
        <v>40308792</v>
      </c>
      <c r="G23" s="646">
        <f t="shared" si="4"/>
        <v>-640179</v>
      </c>
      <c r="H23" s="853">
        <f t="shared" si="2"/>
        <v>-1.5633579656983323</v>
      </c>
      <c r="I23" s="834"/>
      <c r="J23" s="271"/>
      <c r="K23" s="271"/>
      <c r="L23" s="271"/>
      <c r="M23" s="271"/>
    </row>
    <row r="24" spans="1:13" ht="33.75" customHeight="1">
      <c r="A24" s="782"/>
      <c r="B24" s="778"/>
      <c r="C24" s="772" t="s">
        <v>860</v>
      </c>
      <c r="D24" s="363"/>
      <c r="E24" s="646">
        <v>30265500</v>
      </c>
      <c r="F24" s="646">
        <f>라.국도비세출!F52/2</f>
        <v>1050000</v>
      </c>
      <c r="G24" s="646">
        <f>F24-E24</f>
        <v>-29215500</v>
      </c>
      <c r="H24" s="853">
        <v>0</v>
      </c>
      <c r="I24" s="859"/>
      <c r="J24" s="271"/>
      <c r="K24" s="271"/>
      <c r="L24" s="271"/>
      <c r="M24" s="271"/>
    </row>
    <row r="25" spans="1:13" ht="33.75" customHeight="1">
      <c r="A25" s="782"/>
      <c r="B25" s="772" t="s">
        <v>43</v>
      </c>
      <c r="C25" s="772" t="s">
        <v>861</v>
      </c>
      <c r="D25" s="858" t="s">
        <v>645</v>
      </c>
      <c r="E25" s="646"/>
      <c r="F25" s="646"/>
      <c r="G25" s="646">
        <f t="shared" ref="G25" si="5">F25-E25</f>
        <v>0</v>
      </c>
      <c r="H25" s="853" t="e">
        <f t="shared" si="2"/>
        <v>#DIV/0!</v>
      </c>
      <c r="I25" s="859"/>
      <c r="J25" s="271"/>
      <c r="K25" s="271"/>
      <c r="L25" s="271"/>
      <c r="M25" s="271"/>
    </row>
    <row r="26" spans="1:13" ht="33.75" customHeight="1">
      <c r="A26" s="782"/>
      <c r="B26" s="772"/>
      <c r="C26" s="772" t="s">
        <v>932</v>
      </c>
      <c r="D26" s="702" t="s">
        <v>648</v>
      </c>
      <c r="E26" s="646"/>
      <c r="F26" s="646"/>
      <c r="G26" s="646">
        <f>F26-E26</f>
        <v>0</v>
      </c>
      <c r="H26" s="853" t="e">
        <f t="shared" si="2"/>
        <v>#DIV/0!</v>
      </c>
      <c r="I26" s="860"/>
      <c r="J26" s="271"/>
      <c r="K26" s="271"/>
      <c r="L26" s="271"/>
      <c r="M26" s="271"/>
    </row>
    <row r="27" spans="1:13" ht="33.75" customHeight="1">
      <c r="A27" s="782"/>
      <c r="B27" s="772"/>
      <c r="C27" s="772"/>
      <c r="D27" s="363"/>
      <c r="E27" s="646"/>
      <c r="F27" s="646"/>
      <c r="G27" s="646"/>
      <c r="H27" s="853" t="e">
        <f t="shared" si="2"/>
        <v>#DIV/0!</v>
      </c>
      <c r="I27" s="859"/>
      <c r="J27" s="271"/>
      <c r="K27" s="271"/>
      <c r="L27" s="271"/>
      <c r="M27" s="271"/>
    </row>
    <row r="28" spans="1:13" ht="33.75" customHeight="1">
      <c r="A28" s="782"/>
      <c r="B28" s="786"/>
      <c r="C28" s="772"/>
      <c r="D28" s="650"/>
      <c r="E28" s="646"/>
      <c r="F28" s="646"/>
      <c r="G28" s="646">
        <f t="shared" si="4"/>
        <v>0</v>
      </c>
      <c r="H28" s="853" t="e">
        <f t="shared" si="2"/>
        <v>#DIV/0!</v>
      </c>
      <c r="I28" s="834"/>
      <c r="J28" s="271"/>
      <c r="K28" s="271"/>
      <c r="L28" s="271"/>
      <c r="M28" s="271"/>
    </row>
    <row r="29" spans="1:13" ht="33.75" customHeight="1">
      <c r="A29" s="782"/>
      <c r="B29" s="773"/>
      <c r="C29" s="772"/>
      <c r="D29" s="650"/>
      <c r="E29" s="646">
        <v>0</v>
      </c>
      <c r="F29" s="646">
        <v>0</v>
      </c>
      <c r="G29" s="646">
        <f t="shared" si="4"/>
        <v>0</v>
      </c>
      <c r="H29" s="853" t="e">
        <f t="shared" si="2"/>
        <v>#DIV/0!</v>
      </c>
      <c r="I29" s="845"/>
      <c r="J29" s="271"/>
      <c r="K29" s="271"/>
      <c r="L29" s="271"/>
      <c r="M29" s="271"/>
    </row>
    <row r="30" spans="1:13" ht="33.75" customHeight="1">
      <c r="A30" s="782"/>
      <c r="B30" s="773"/>
      <c r="C30" s="772"/>
      <c r="D30" s="363"/>
      <c r="E30" s="646"/>
      <c r="F30" s="646"/>
      <c r="G30" s="646">
        <f t="shared" si="4"/>
        <v>0</v>
      </c>
      <c r="H30" s="853" t="e">
        <f t="shared" si="2"/>
        <v>#DIV/0!</v>
      </c>
      <c r="I30" s="867"/>
      <c r="J30" s="271"/>
      <c r="K30" s="271"/>
      <c r="L30" s="271"/>
      <c r="M30" s="271"/>
    </row>
    <row r="31" spans="1:13" ht="33.75" customHeight="1">
      <c r="A31" s="789"/>
      <c r="B31" s="778"/>
      <c r="C31" s="772"/>
      <c r="D31" s="363"/>
      <c r="E31" s="646">
        <v>0</v>
      </c>
      <c r="F31" s="646">
        <v>0</v>
      </c>
      <c r="G31" s="646">
        <f t="shared" si="4"/>
        <v>0</v>
      </c>
      <c r="H31" s="853" t="e">
        <f t="shared" si="2"/>
        <v>#DIV/0!</v>
      </c>
      <c r="I31" s="867"/>
      <c r="J31" s="271"/>
      <c r="K31" s="271"/>
      <c r="L31" s="271"/>
      <c r="M31" s="271"/>
    </row>
    <row r="32" spans="1:13" ht="33.75" customHeight="1">
      <c r="A32" s="787" t="s">
        <v>210</v>
      </c>
      <c r="B32" s="1009" t="s">
        <v>203</v>
      </c>
      <c r="C32" s="1009"/>
      <c r="D32" s="669"/>
      <c r="E32" s="646">
        <v>40110830</v>
      </c>
      <c r="F32" s="646">
        <f>F33</f>
        <v>25205000</v>
      </c>
      <c r="G32" s="646">
        <f>G33</f>
        <v>-14905830</v>
      </c>
      <c r="H32" s="853">
        <f t="shared" si="2"/>
        <v>-37.161609470559448</v>
      </c>
      <c r="I32" s="834"/>
      <c r="J32" s="271"/>
      <c r="K32" s="271"/>
      <c r="L32" s="271"/>
      <c r="M32" s="271"/>
    </row>
    <row r="33" spans="1:13" ht="33.75" customHeight="1">
      <c r="A33" s="788"/>
      <c r="B33" s="772" t="s">
        <v>210</v>
      </c>
      <c r="C33" s="772" t="s">
        <v>204</v>
      </c>
      <c r="D33" s="363"/>
      <c r="E33" s="646">
        <v>40110830</v>
      </c>
      <c r="F33" s="646">
        <f>SUM(F34:F35)</f>
        <v>25205000</v>
      </c>
      <c r="G33" s="646">
        <f>SUM(G34:G35)</f>
        <v>-14905830</v>
      </c>
      <c r="H33" s="853">
        <f>G33/E33*100</f>
        <v>-37.161609470559448</v>
      </c>
      <c r="I33" s="834"/>
      <c r="J33" s="271"/>
      <c r="K33" s="271"/>
      <c r="L33" s="271"/>
      <c r="M33" s="271"/>
    </row>
    <row r="34" spans="1:13" ht="69" customHeight="1">
      <c r="A34" s="782"/>
      <c r="B34" s="786"/>
      <c r="C34" s="772" t="s">
        <v>212</v>
      </c>
      <c r="D34" s="427"/>
      <c r="E34" s="646">
        <v>40110830</v>
      </c>
      <c r="F34" s="646">
        <v>25205000</v>
      </c>
      <c r="G34" s="646">
        <f>F34-E34</f>
        <v>-14905830</v>
      </c>
      <c r="H34" s="853">
        <f t="shared" si="2"/>
        <v>-37.161609470559448</v>
      </c>
      <c r="I34" s="861" t="s">
        <v>994</v>
      </c>
      <c r="J34" s="271"/>
      <c r="K34" s="271"/>
      <c r="L34" s="271"/>
      <c r="M34" s="271"/>
    </row>
    <row r="35" spans="1:13" ht="33.75" hidden="1" customHeight="1">
      <c r="A35" s="789"/>
      <c r="B35" s="778"/>
      <c r="C35" s="772" t="s">
        <v>211</v>
      </c>
      <c r="D35" s="363"/>
      <c r="E35" s="646">
        <v>0</v>
      </c>
      <c r="F35" s="646">
        <v>0</v>
      </c>
      <c r="G35" s="646">
        <f>F35-E35</f>
        <v>0</v>
      </c>
      <c r="H35" s="853" t="e">
        <f t="shared" si="2"/>
        <v>#DIV/0!</v>
      </c>
      <c r="I35" s="834"/>
      <c r="J35" s="271"/>
      <c r="K35" s="271"/>
      <c r="L35" s="271"/>
      <c r="M35" s="271"/>
    </row>
    <row r="36" spans="1:13" s="624" customFormat="1" ht="33.75" customHeight="1">
      <c r="A36" s="787" t="s">
        <v>213</v>
      </c>
      <c r="B36" s="1009" t="s">
        <v>203</v>
      </c>
      <c r="C36" s="1009"/>
      <c r="D36" s="669"/>
      <c r="E36" s="646">
        <v>511720</v>
      </c>
      <c r="F36" s="646">
        <f>F37</f>
        <v>542480</v>
      </c>
      <c r="G36" s="646">
        <f>G37</f>
        <v>30760</v>
      </c>
      <c r="H36" s="853">
        <f t="shared" si="2"/>
        <v>6.0110998202141799</v>
      </c>
      <c r="I36" s="837"/>
    </row>
    <row r="37" spans="1:13" s="624" customFormat="1" ht="33.75" customHeight="1">
      <c r="A37" s="788"/>
      <c r="B37" s="772" t="s">
        <v>213</v>
      </c>
      <c r="C37" s="772" t="s">
        <v>204</v>
      </c>
      <c r="D37" s="363"/>
      <c r="E37" s="646">
        <v>511720</v>
      </c>
      <c r="F37" s="646">
        <f>SUM(F38:F40)</f>
        <v>542480</v>
      </c>
      <c r="G37" s="646">
        <f>SUM(G38:G40)</f>
        <v>30760</v>
      </c>
      <c r="H37" s="853">
        <f t="shared" si="2"/>
        <v>6.0110998202141799</v>
      </c>
      <c r="I37" s="837"/>
    </row>
    <row r="38" spans="1:13" s="627" customFormat="1" ht="33.75" customHeight="1">
      <c r="A38" s="782"/>
      <c r="B38" s="786"/>
      <c r="C38" s="772" t="s">
        <v>48</v>
      </c>
      <c r="D38" s="427"/>
      <c r="E38" s="646">
        <v>0</v>
      </c>
      <c r="F38" s="646">
        <v>0</v>
      </c>
      <c r="G38" s="646">
        <f>F38-E38</f>
        <v>0</v>
      </c>
      <c r="H38" s="853">
        <v>0</v>
      </c>
      <c r="I38" s="838"/>
    </row>
    <row r="39" spans="1:13" s="627" customFormat="1" ht="33.75" customHeight="1">
      <c r="A39" s="782"/>
      <c r="B39" s="773"/>
      <c r="C39" s="772" t="s">
        <v>224</v>
      </c>
      <c r="D39" s="650"/>
      <c r="E39" s="646">
        <v>511720</v>
      </c>
      <c r="F39" s="646">
        <v>542480</v>
      </c>
      <c r="G39" s="646">
        <f>F39-E39</f>
        <v>30760</v>
      </c>
      <c r="H39" s="853">
        <f t="shared" si="2"/>
        <v>6.0110998202141799</v>
      </c>
      <c r="I39" s="838"/>
    </row>
    <row r="40" spans="1:13" ht="33.75" customHeight="1">
      <c r="A40" s="790"/>
      <c r="B40" s="791"/>
      <c r="C40" s="792" t="s">
        <v>214</v>
      </c>
      <c r="D40" s="675"/>
      <c r="E40" s="679">
        <v>0</v>
      </c>
      <c r="F40" s="679">
        <v>0</v>
      </c>
      <c r="G40" s="679">
        <f>F40-E40</f>
        <v>0</v>
      </c>
      <c r="H40" s="862">
        <v>0</v>
      </c>
      <c r="I40" s="863"/>
      <c r="J40" s="271"/>
      <c r="K40" s="271"/>
      <c r="L40" s="271"/>
      <c r="M40" s="271"/>
    </row>
    <row r="41" spans="1:13" ht="23.25" customHeight="1">
      <c r="A41" s="841"/>
      <c r="B41" s="841"/>
      <c r="C41" s="841"/>
      <c r="D41" s="841"/>
      <c r="E41" s="864"/>
      <c r="F41" s="865"/>
      <c r="G41" s="865"/>
      <c r="H41" s="841"/>
      <c r="I41" s="268"/>
      <c r="J41" s="271"/>
      <c r="K41" s="271"/>
      <c r="L41" s="271"/>
      <c r="M41" s="271"/>
    </row>
    <row r="42" spans="1:13">
      <c r="A42" s="516"/>
      <c r="B42" s="516"/>
      <c r="C42" s="516"/>
      <c r="D42" s="516"/>
      <c r="E42" s="866"/>
      <c r="F42" s="866"/>
      <c r="G42" s="866"/>
      <c r="H42" s="516"/>
    </row>
    <row r="43" spans="1:13">
      <c r="A43" s="516"/>
      <c r="B43" s="516"/>
      <c r="C43" s="516"/>
      <c r="D43" s="516"/>
      <c r="E43" s="866"/>
      <c r="F43" s="866"/>
      <c r="G43" s="866"/>
      <c r="H43" s="516"/>
    </row>
    <row r="44" spans="1:13">
      <c r="A44" s="516"/>
      <c r="B44" s="516"/>
      <c r="C44" s="516"/>
      <c r="D44" s="516"/>
      <c r="E44" s="866"/>
      <c r="F44" s="866"/>
      <c r="G44" s="866"/>
      <c r="H44" s="516"/>
    </row>
    <row r="45" spans="1:13">
      <c r="A45" s="516"/>
      <c r="B45" s="516"/>
      <c r="C45" s="516"/>
      <c r="D45" s="516"/>
      <c r="E45" s="866"/>
      <c r="F45" s="866"/>
      <c r="G45" s="866"/>
      <c r="H45" s="516"/>
    </row>
    <row r="46" spans="1:13">
      <c r="A46" s="516"/>
      <c r="B46" s="516"/>
      <c r="C46" s="516"/>
      <c r="D46" s="516"/>
      <c r="E46" s="866"/>
      <c r="F46" s="866"/>
      <c r="G46" s="866"/>
      <c r="H46" s="516"/>
    </row>
    <row r="47" spans="1:13">
      <c r="A47" s="516"/>
      <c r="B47" s="516"/>
      <c r="C47" s="516"/>
      <c r="D47" s="516"/>
      <c r="E47" s="866"/>
      <c r="F47" s="866"/>
      <c r="G47" s="866"/>
      <c r="H47" s="516"/>
    </row>
    <row r="48" spans="1:13">
      <c r="A48" s="516"/>
      <c r="B48" s="516"/>
      <c r="C48" s="516"/>
      <c r="D48" s="516"/>
      <c r="E48" s="866"/>
      <c r="F48" s="866"/>
      <c r="G48" s="866"/>
      <c r="H48" s="516"/>
    </row>
    <row r="49" spans="1:8">
      <c r="A49" s="516"/>
      <c r="B49" s="516"/>
      <c r="C49" s="516"/>
      <c r="D49" s="516"/>
      <c r="E49" s="516"/>
      <c r="F49" s="516"/>
      <c r="G49" s="516"/>
      <c r="H49" s="516"/>
    </row>
    <row r="50" spans="1:8">
      <c r="A50" s="516"/>
      <c r="B50" s="516"/>
      <c r="C50" s="516"/>
      <c r="D50" s="516"/>
      <c r="E50" s="516"/>
      <c r="F50" s="516"/>
      <c r="G50" s="516"/>
      <c r="H50" s="516"/>
    </row>
    <row r="51" spans="1:8">
      <c r="A51" s="516"/>
      <c r="B51" s="516"/>
      <c r="C51" s="516"/>
      <c r="D51" s="516"/>
      <c r="E51" s="516"/>
      <c r="F51" s="516"/>
      <c r="G51" s="516"/>
      <c r="H51" s="516"/>
    </row>
    <row r="52" spans="1:8">
      <c r="A52" s="516"/>
      <c r="B52" s="516"/>
      <c r="C52" s="516"/>
      <c r="D52" s="516"/>
      <c r="E52" s="516"/>
      <c r="F52" s="516"/>
      <c r="G52" s="516"/>
      <c r="H52" s="516"/>
    </row>
    <row r="53" spans="1:8">
      <c r="A53" s="516"/>
      <c r="B53" s="516"/>
      <c r="C53" s="516"/>
      <c r="D53" s="516"/>
      <c r="E53" s="516"/>
      <c r="F53" s="516"/>
      <c r="G53" s="516"/>
      <c r="H53" s="516"/>
    </row>
    <row r="54" spans="1:8">
      <c r="A54" s="516"/>
      <c r="B54" s="516"/>
      <c r="C54" s="516"/>
      <c r="D54" s="516"/>
      <c r="E54" s="516"/>
      <c r="F54" s="516"/>
      <c r="G54" s="516"/>
      <c r="H54" s="516"/>
    </row>
    <row r="55" spans="1:8">
      <c r="A55" s="516"/>
      <c r="B55" s="516"/>
      <c r="C55" s="516"/>
      <c r="D55" s="516"/>
      <c r="E55" s="516"/>
      <c r="F55" s="516"/>
      <c r="G55" s="516"/>
      <c r="H55" s="516"/>
    </row>
    <row r="56" spans="1:8">
      <c r="A56" s="516"/>
      <c r="B56" s="516"/>
      <c r="C56" s="516"/>
      <c r="D56" s="516"/>
      <c r="E56" s="516"/>
      <c r="F56" s="516"/>
      <c r="G56" s="516"/>
      <c r="H56" s="516"/>
    </row>
    <row r="57" spans="1:8">
      <c r="A57" s="516"/>
      <c r="B57" s="516"/>
      <c r="C57" s="516"/>
      <c r="D57" s="516"/>
      <c r="E57" s="516"/>
      <c r="F57" s="516"/>
      <c r="G57" s="516"/>
      <c r="H57" s="516"/>
    </row>
    <row r="58" spans="1:8">
      <c r="A58" s="516"/>
      <c r="B58" s="516"/>
      <c r="C58" s="516"/>
      <c r="D58" s="516"/>
      <c r="E58" s="516"/>
      <c r="F58" s="516"/>
      <c r="G58" s="516"/>
      <c r="H58" s="516"/>
    </row>
    <row r="59" spans="1:8">
      <c r="A59" s="516"/>
      <c r="B59" s="516"/>
      <c r="C59" s="516"/>
      <c r="D59" s="516"/>
      <c r="E59" s="516"/>
      <c r="F59" s="516"/>
      <c r="G59" s="516"/>
      <c r="H59" s="516"/>
    </row>
    <row r="60" spans="1:8">
      <c r="A60" s="516"/>
      <c r="B60" s="516"/>
      <c r="C60" s="516"/>
      <c r="D60" s="516"/>
      <c r="E60" s="516"/>
      <c r="F60" s="516"/>
      <c r="G60" s="516"/>
      <c r="H60" s="516"/>
    </row>
    <row r="61" spans="1:8">
      <c r="A61" s="516"/>
      <c r="B61" s="516"/>
      <c r="C61" s="516"/>
      <c r="D61" s="516"/>
      <c r="E61" s="516"/>
      <c r="F61" s="516"/>
      <c r="G61" s="516"/>
      <c r="H61" s="516"/>
    </row>
    <row r="62" spans="1:8">
      <c r="A62" s="516"/>
      <c r="B62" s="516"/>
      <c r="C62" s="516"/>
      <c r="D62" s="516"/>
      <c r="E62" s="516"/>
      <c r="F62" s="516"/>
      <c r="G62" s="516"/>
      <c r="H62" s="516"/>
    </row>
    <row r="63" spans="1:8">
      <c r="A63" s="516"/>
      <c r="B63" s="516"/>
      <c r="C63" s="516"/>
      <c r="D63" s="516"/>
      <c r="E63" s="516"/>
      <c r="F63" s="516"/>
      <c r="G63" s="516"/>
      <c r="H63" s="516"/>
    </row>
    <row r="64" spans="1:8">
      <c r="A64" s="516"/>
      <c r="B64" s="516"/>
      <c r="C64" s="516"/>
      <c r="D64" s="516"/>
      <c r="E64" s="516"/>
      <c r="F64" s="516"/>
      <c r="G64" s="516"/>
      <c r="H64" s="516"/>
    </row>
    <row r="65" spans="1:8">
      <c r="A65" s="516"/>
      <c r="B65" s="516"/>
      <c r="C65" s="516"/>
      <c r="D65" s="516"/>
      <c r="E65" s="516"/>
      <c r="F65" s="516"/>
      <c r="G65" s="516"/>
      <c r="H65" s="516"/>
    </row>
    <row r="66" spans="1:8">
      <c r="A66" s="516"/>
      <c r="B66" s="516"/>
      <c r="C66" s="516"/>
      <c r="D66" s="516"/>
      <c r="E66" s="516"/>
      <c r="F66" s="516"/>
      <c r="G66" s="516"/>
      <c r="H66" s="516"/>
    </row>
    <row r="67" spans="1:8">
      <c r="A67" s="516"/>
      <c r="B67" s="516"/>
      <c r="C67" s="516"/>
      <c r="D67" s="516"/>
      <c r="E67" s="516"/>
      <c r="F67" s="516"/>
      <c r="G67" s="516"/>
      <c r="H67" s="516"/>
    </row>
    <row r="68" spans="1:8">
      <c r="A68" s="516"/>
      <c r="B68" s="516"/>
      <c r="C68" s="516"/>
      <c r="D68" s="516"/>
      <c r="E68" s="516"/>
      <c r="F68" s="516"/>
      <c r="G68" s="516"/>
      <c r="H68" s="516"/>
    </row>
    <row r="69" spans="1:8">
      <c r="A69" s="516"/>
      <c r="B69" s="516"/>
      <c r="C69" s="516"/>
      <c r="D69" s="516"/>
      <c r="E69" s="516"/>
      <c r="F69" s="516"/>
      <c r="G69" s="516"/>
      <c r="H69" s="516"/>
    </row>
    <row r="70" spans="1:8">
      <c r="A70" s="516"/>
      <c r="B70" s="516"/>
      <c r="C70" s="516"/>
      <c r="D70" s="516"/>
      <c r="E70" s="516"/>
      <c r="F70" s="516"/>
      <c r="G70" s="516"/>
      <c r="H70" s="516"/>
    </row>
    <row r="71" spans="1:8">
      <c r="A71" s="516"/>
      <c r="B71" s="516"/>
      <c r="C71" s="516"/>
      <c r="D71" s="516"/>
      <c r="E71" s="516"/>
      <c r="F71" s="516"/>
      <c r="G71" s="516"/>
      <c r="H71" s="516"/>
    </row>
    <row r="72" spans="1:8">
      <c r="A72" s="516"/>
      <c r="B72" s="516"/>
      <c r="C72" s="516"/>
      <c r="D72" s="516"/>
      <c r="E72" s="516"/>
      <c r="F72" s="516"/>
      <c r="G72" s="516"/>
      <c r="H72" s="516"/>
    </row>
    <row r="73" spans="1:8">
      <c r="A73" s="516"/>
      <c r="B73" s="516"/>
      <c r="C73" s="516"/>
      <c r="D73" s="516"/>
      <c r="E73" s="516"/>
      <c r="F73" s="516"/>
      <c r="G73" s="516"/>
      <c r="H73" s="516"/>
    </row>
    <row r="74" spans="1:8" ht="13.5" hidden="1" customHeight="1">
      <c r="A74" s="516"/>
      <c r="B74" s="516"/>
      <c r="C74" s="516"/>
      <c r="D74" s="516"/>
      <c r="E74" s="516"/>
      <c r="F74" s="516">
        <v>0</v>
      </c>
      <c r="G74" s="516"/>
      <c r="H74" s="516"/>
    </row>
    <row r="75" spans="1:8">
      <c r="A75" s="516"/>
      <c r="B75" s="516"/>
      <c r="C75" s="516"/>
      <c r="D75" s="516"/>
      <c r="E75" s="516"/>
      <c r="F75" s="516"/>
      <c r="G75" s="516"/>
      <c r="H75" s="516"/>
    </row>
    <row r="76" spans="1:8">
      <c r="A76" s="516"/>
      <c r="B76" s="516"/>
      <c r="C76" s="516"/>
      <c r="D76" s="516"/>
      <c r="E76" s="516"/>
      <c r="F76" s="516"/>
      <c r="G76" s="516"/>
      <c r="H76" s="516"/>
    </row>
    <row r="77" spans="1:8">
      <c r="A77" s="516"/>
      <c r="B77" s="516"/>
      <c r="C77" s="516"/>
      <c r="D77" s="516"/>
      <c r="E77" s="516"/>
      <c r="F77" s="516"/>
      <c r="G77" s="516"/>
      <c r="H77" s="516"/>
    </row>
    <row r="78" spans="1:8">
      <c r="A78" s="516"/>
      <c r="B78" s="516"/>
      <c r="C78" s="516"/>
      <c r="D78" s="516"/>
      <c r="E78" s="516"/>
      <c r="F78" s="516"/>
      <c r="G78" s="516"/>
      <c r="H78" s="516"/>
    </row>
    <row r="79" spans="1:8">
      <c r="A79" s="516"/>
      <c r="B79" s="516"/>
      <c r="C79" s="516"/>
      <c r="D79" s="516"/>
      <c r="E79" s="516"/>
      <c r="F79" s="516"/>
      <c r="G79" s="516"/>
      <c r="H79" s="516"/>
    </row>
    <row r="80" spans="1:8" ht="13.5" hidden="1" customHeight="1">
      <c r="A80" s="516"/>
      <c r="B80" s="516"/>
      <c r="C80" s="516"/>
      <c r="D80" s="516"/>
      <c r="E80" s="516"/>
      <c r="F80" s="516"/>
      <c r="G80" s="516"/>
      <c r="H80" s="516"/>
    </row>
    <row r="81" spans="1:8">
      <c r="A81" s="516"/>
      <c r="B81" s="516"/>
      <c r="C81" s="516"/>
      <c r="D81" s="516"/>
      <c r="E81" s="516"/>
      <c r="F81" s="516"/>
      <c r="G81" s="516"/>
      <c r="H81" s="516"/>
    </row>
    <row r="82" spans="1:8">
      <c r="A82" s="516"/>
      <c r="B82" s="516"/>
      <c r="C82" s="516"/>
      <c r="D82" s="516"/>
      <c r="E82" s="516"/>
      <c r="F82" s="516"/>
      <c r="G82" s="516"/>
      <c r="H82" s="516"/>
    </row>
    <row r="83" spans="1:8">
      <c r="A83" s="516"/>
      <c r="B83" s="516"/>
      <c r="C83" s="516"/>
      <c r="D83" s="516"/>
      <c r="E83" s="516"/>
      <c r="F83" s="516"/>
      <c r="G83" s="516"/>
      <c r="H83" s="516"/>
    </row>
    <row r="84" spans="1:8">
      <c r="A84" s="516"/>
      <c r="B84" s="516"/>
      <c r="C84" s="516"/>
      <c r="D84" s="516"/>
      <c r="E84" s="516"/>
      <c r="F84" s="516"/>
      <c r="G84" s="516"/>
      <c r="H84" s="516"/>
    </row>
  </sheetData>
  <mergeCells count="13">
    <mergeCell ref="A1:C1"/>
    <mergeCell ref="B32:C32"/>
    <mergeCell ref="B36:C36"/>
    <mergeCell ref="A2:C2"/>
    <mergeCell ref="B7:C7"/>
    <mergeCell ref="B13:C13"/>
    <mergeCell ref="I4:I5"/>
    <mergeCell ref="B10:C10"/>
    <mergeCell ref="A6:C6"/>
    <mergeCell ref="A4:C4"/>
    <mergeCell ref="E4:E5"/>
    <mergeCell ref="F4:F5"/>
    <mergeCell ref="G4:H4"/>
  </mergeCells>
  <phoneticPr fontId="2" type="noConversion"/>
  <pageMargins left="0.15748031496062992" right="0.21" top="0.67" bottom="0.13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3"/>
  <sheetViews>
    <sheetView workbookViewId="0">
      <selection activeCell="I23" sqref="I23"/>
    </sheetView>
  </sheetViews>
  <sheetFormatPr defaultRowHeight="13.5"/>
  <cols>
    <col min="1" max="1" width="10.21875" style="561" customWidth="1"/>
    <col min="2" max="2" width="10.88671875" style="561" customWidth="1"/>
    <col min="3" max="3" width="15.88671875" style="561" customWidth="1"/>
    <col min="4" max="4" width="11.44140625" style="561" hidden="1" customWidth="1"/>
    <col min="5" max="6" width="13.5546875" style="561" customWidth="1"/>
    <col min="7" max="7" width="12.77734375" style="561" customWidth="1"/>
    <col min="8" max="8" width="6.77734375" style="561" customWidth="1"/>
    <col min="9" max="9" width="37.33203125" style="561" customWidth="1"/>
    <col min="10" max="10" width="11.5546875" style="409" customWidth="1"/>
    <col min="11" max="11" width="15.109375" style="561" customWidth="1"/>
    <col min="12" max="12" width="5" style="561" customWidth="1"/>
    <col min="13" max="13" width="10.77734375" style="561" customWidth="1"/>
    <col min="14" max="16384" width="8.88671875" style="271"/>
  </cols>
  <sheetData>
    <row r="1" spans="1:13" s="496" customFormat="1" ht="22.5" customHeight="1">
      <c r="A1" s="1014" t="s">
        <v>962</v>
      </c>
      <c r="B1" s="1015"/>
      <c r="C1" s="1015"/>
      <c r="D1" s="848"/>
      <c r="E1" s="565"/>
      <c r="F1" s="565"/>
      <c r="G1" s="494"/>
      <c r="H1" s="494"/>
    </row>
    <row r="2" spans="1:13" s="496" customFormat="1" ht="22.5" customHeight="1">
      <c r="A2" s="1016" t="s">
        <v>215</v>
      </c>
      <c r="B2" s="1016"/>
      <c r="C2" s="1016"/>
      <c r="D2" s="352"/>
      <c r="E2" s="565"/>
      <c r="F2" s="565"/>
      <c r="G2" s="494"/>
      <c r="H2" s="494"/>
    </row>
    <row r="3" spans="1:13" s="496" customFormat="1" ht="22.5" customHeight="1">
      <c r="A3" s="828"/>
      <c r="B3" s="828"/>
      <c r="C3" s="494"/>
      <c r="D3" s="494"/>
      <c r="E3" s="494"/>
      <c r="F3" s="494"/>
      <c r="G3" s="494"/>
      <c r="H3" s="494"/>
      <c r="I3" s="498" t="s">
        <v>0</v>
      </c>
    </row>
    <row r="4" spans="1:13" s="627" customFormat="1" ht="33.75" customHeight="1">
      <c r="A4" s="1012" t="s">
        <v>4</v>
      </c>
      <c r="B4" s="1013"/>
      <c r="C4" s="1013"/>
      <c r="D4" s="849"/>
      <c r="E4" s="997" t="str">
        <f>'나.세입세출(총괄)'!D4:D5</f>
        <v>전년도예산
( A )</v>
      </c>
      <c r="F4" s="995" t="str">
        <f>'나.세입세출(총괄)'!E4:E5</f>
        <v>2020년예산
( B )</v>
      </c>
      <c r="G4" s="995" t="s">
        <v>750</v>
      </c>
      <c r="H4" s="995"/>
      <c r="I4" s="1007" t="s">
        <v>31</v>
      </c>
    </row>
    <row r="5" spans="1:13" s="627" customFormat="1" ht="33.75" customHeight="1" thickBot="1">
      <c r="A5" s="628" t="s">
        <v>217</v>
      </c>
      <c r="B5" s="629" t="s">
        <v>2</v>
      </c>
      <c r="C5" s="629" t="s">
        <v>3</v>
      </c>
      <c r="D5" s="850"/>
      <c r="E5" s="998"/>
      <c r="F5" s="996"/>
      <c r="G5" s="629" t="s">
        <v>751</v>
      </c>
      <c r="H5" s="502" t="s">
        <v>752</v>
      </c>
      <c r="I5" s="1008"/>
    </row>
    <row r="6" spans="1:13" s="627" customFormat="1" ht="33.75" customHeight="1" thickTop="1">
      <c r="A6" s="1010" t="s">
        <v>225</v>
      </c>
      <c r="B6" s="1011"/>
      <c r="C6" s="1011"/>
      <c r="D6" s="851"/>
      <c r="E6" s="634">
        <v>212260000</v>
      </c>
      <c r="F6" s="634">
        <f>F7+F10+F13+F22+F25</f>
        <v>207420000</v>
      </c>
      <c r="G6" s="634">
        <f>G7+G10+G13+G22+G25</f>
        <v>-4840000</v>
      </c>
      <c r="H6" s="852">
        <f>G6/E6*100</f>
        <v>-2.2802223687929897</v>
      </c>
      <c r="I6" s="830"/>
      <c r="K6" s="831">
        <f>F6-'라-1.도시(군)세출'!F6</f>
        <v>0</v>
      </c>
    </row>
    <row r="7" spans="1:13" ht="29.25" customHeight="1">
      <c r="A7" s="787" t="s">
        <v>220</v>
      </c>
      <c r="B7" s="1009" t="s">
        <v>28</v>
      </c>
      <c r="C7" s="1009"/>
      <c r="D7" s="669"/>
      <c r="E7" s="639">
        <v>0</v>
      </c>
      <c r="F7" s="639">
        <f>F8</f>
        <v>0</v>
      </c>
      <c r="G7" s="639">
        <f>G8</f>
        <v>0</v>
      </c>
      <c r="H7" s="853">
        <v>0</v>
      </c>
      <c r="I7" s="854"/>
      <c r="J7" s="271"/>
      <c r="K7" s="855">
        <f>E6-'라-1.도시(군)세출'!E6</f>
        <v>0</v>
      </c>
      <c r="L7" s="271"/>
      <c r="M7" s="271"/>
    </row>
    <row r="8" spans="1:13" ht="29.25" customHeight="1">
      <c r="A8" s="788"/>
      <c r="B8" s="772" t="s">
        <v>222</v>
      </c>
      <c r="C8" s="772" t="s">
        <v>6</v>
      </c>
      <c r="D8" s="363"/>
      <c r="E8" s="646">
        <v>0</v>
      </c>
      <c r="F8" s="646">
        <f>F9</f>
        <v>0</v>
      </c>
      <c r="G8" s="646">
        <f>F8-E8</f>
        <v>0</v>
      </c>
      <c r="H8" s="853">
        <v>0</v>
      </c>
      <c r="I8" s="834"/>
      <c r="J8" s="271"/>
      <c r="K8" s="271"/>
      <c r="L8" s="271"/>
      <c r="M8" s="271"/>
    </row>
    <row r="9" spans="1:13" ht="29.25" customHeight="1">
      <c r="A9" s="789"/>
      <c r="B9" s="772"/>
      <c r="C9" s="772" t="s">
        <v>222</v>
      </c>
      <c r="D9" s="363"/>
      <c r="E9" s="646">
        <v>0</v>
      </c>
      <c r="F9" s="646">
        <v>0</v>
      </c>
      <c r="G9" s="646">
        <f>F9-E9</f>
        <v>0</v>
      </c>
      <c r="H9" s="853">
        <v>0</v>
      </c>
      <c r="I9" s="834"/>
      <c r="J9" s="271"/>
      <c r="K9" s="271"/>
      <c r="L9" s="271"/>
      <c r="M9" s="271"/>
    </row>
    <row r="10" spans="1:13" ht="29.25" customHeight="1">
      <c r="A10" s="787" t="s">
        <v>205</v>
      </c>
      <c r="B10" s="1009" t="s">
        <v>28</v>
      </c>
      <c r="C10" s="1009"/>
      <c r="D10" s="669"/>
      <c r="E10" s="639">
        <v>0</v>
      </c>
      <c r="F10" s="639">
        <f t="shared" ref="F10:G11" si="0">F11</f>
        <v>0</v>
      </c>
      <c r="G10" s="639">
        <f t="shared" si="0"/>
        <v>0</v>
      </c>
      <c r="H10" s="853">
        <v>0</v>
      </c>
      <c r="I10" s="834"/>
      <c r="J10" s="271"/>
      <c r="K10" s="271"/>
      <c r="L10" s="271"/>
      <c r="M10" s="271"/>
    </row>
    <row r="11" spans="1:13" ht="29.25" customHeight="1">
      <c r="A11" s="788"/>
      <c r="B11" s="772" t="s">
        <v>205</v>
      </c>
      <c r="C11" s="772" t="s">
        <v>6</v>
      </c>
      <c r="D11" s="363"/>
      <c r="E11" s="639">
        <v>0</v>
      </c>
      <c r="F11" s="639">
        <f t="shared" si="0"/>
        <v>0</v>
      </c>
      <c r="G11" s="639">
        <f t="shared" si="0"/>
        <v>0</v>
      </c>
      <c r="H11" s="853">
        <v>0</v>
      </c>
      <c r="I11" s="834"/>
      <c r="J11" s="271"/>
      <c r="K11" s="271"/>
      <c r="L11" s="271"/>
      <c r="M11" s="271"/>
    </row>
    <row r="12" spans="1:13" ht="29.25" customHeight="1">
      <c r="A12" s="789"/>
      <c r="B12" s="772"/>
      <c r="C12" s="772" t="s">
        <v>205</v>
      </c>
      <c r="D12" s="363"/>
      <c r="E12" s="639">
        <v>0</v>
      </c>
      <c r="F12" s="639">
        <v>0</v>
      </c>
      <c r="G12" s="646">
        <f t="shared" ref="G12:G18" si="1">F12-E12</f>
        <v>0</v>
      </c>
      <c r="H12" s="853">
        <v>0</v>
      </c>
      <c r="I12" s="834"/>
      <c r="J12" s="271"/>
      <c r="K12" s="271"/>
      <c r="L12" s="271"/>
      <c r="M12" s="271"/>
    </row>
    <row r="13" spans="1:13" ht="33.75" customHeight="1">
      <c r="A13" s="787" t="s">
        <v>42</v>
      </c>
      <c r="B13" s="1009" t="s">
        <v>28</v>
      </c>
      <c r="C13" s="1009"/>
      <c r="D13" s="669"/>
      <c r="E13" s="646">
        <v>200851300</v>
      </c>
      <c r="F13" s="646">
        <f>SUM(F14,F20)</f>
        <v>201271300</v>
      </c>
      <c r="G13" s="646">
        <f t="shared" si="1"/>
        <v>420000</v>
      </c>
      <c r="H13" s="853">
        <f>G13/E13*100</f>
        <v>0.20910992361015338</v>
      </c>
      <c r="I13" s="834"/>
      <c r="J13" s="271"/>
      <c r="K13" s="271"/>
      <c r="L13" s="271"/>
      <c r="M13" s="271"/>
    </row>
    <row r="14" spans="1:13" ht="31.5" customHeight="1">
      <c r="A14" s="788"/>
      <c r="B14" s="772" t="s">
        <v>611</v>
      </c>
      <c r="C14" s="772" t="s">
        <v>204</v>
      </c>
      <c r="D14" s="363"/>
      <c r="E14" s="646">
        <v>194551300</v>
      </c>
      <c r="F14" s="646">
        <f>SUM(F15:F19)</f>
        <v>194551300</v>
      </c>
      <c r="G14" s="646">
        <f>F14-E14</f>
        <v>0</v>
      </c>
      <c r="H14" s="853">
        <f>G14/E14*100</f>
        <v>0</v>
      </c>
      <c r="I14" s="846"/>
      <c r="J14" s="271"/>
      <c r="K14" s="271"/>
      <c r="L14" s="271"/>
      <c r="M14" s="271"/>
    </row>
    <row r="15" spans="1:13" ht="30.75" customHeight="1">
      <c r="A15" s="782"/>
      <c r="B15" s="773"/>
      <c r="C15" s="772" t="s">
        <v>953</v>
      </c>
      <c r="D15" s="363" t="str">
        <f>라.국도비세출!B8</f>
        <v>인건비</v>
      </c>
      <c r="E15" s="646">
        <v>155111300</v>
      </c>
      <c r="F15" s="646">
        <f>'라-1.도시(군)세출'!F7</f>
        <v>155111300</v>
      </c>
      <c r="G15" s="646">
        <f t="shared" si="1"/>
        <v>0</v>
      </c>
      <c r="H15" s="853">
        <f t="shared" ref="H15:H20" si="2">G15/E15*100</f>
        <v>0</v>
      </c>
      <c r="I15" s="846" t="s">
        <v>986</v>
      </c>
      <c r="J15" s="271"/>
      <c r="K15" s="855"/>
      <c r="L15" s="271"/>
      <c r="M15" s="271"/>
    </row>
    <row r="16" spans="1:13" ht="33.75" customHeight="1">
      <c r="A16" s="782"/>
      <c r="B16" s="773"/>
      <c r="C16" s="772" t="str">
        <f>'라-1.도시(군)세출'!D22</f>
        <v>차량운영비</v>
      </c>
      <c r="D16" s="363" t="s">
        <v>15</v>
      </c>
      <c r="E16" s="646">
        <v>3600000</v>
      </c>
      <c r="F16" s="646">
        <f>'라-1.도시(군)세출'!F22</f>
        <v>3600000</v>
      </c>
      <c r="G16" s="646">
        <f t="shared" si="1"/>
        <v>0</v>
      </c>
      <c r="H16" s="853">
        <f t="shared" si="2"/>
        <v>0</v>
      </c>
      <c r="I16" s="857"/>
      <c r="J16" s="271"/>
      <c r="K16" s="271"/>
      <c r="L16" s="271"/>
      <c r="M16" s="271"/>
    </row>
    <row r="17" spans="1:13" ht="33.75" hidden="1" customHeight="1">
      <c r="A17" s="782"/>
      <c r="B17" s="773"/>
      <c r="C17" s="772" t="str">
        <f>'라-1.도시(군)세출'!D23</f>
        <v>환경개선사업</v>
      </c>
      <c r="D17" s="363" t="s">
        <v>649</v>
      </c>
      <c r="E17" s="646">
        <v>0</v>
      </c>
      <c r="F17" s="646">
        <f>'라-1.도시(군)세출'!F23</f>
        <v>0</v>
      </c>
      <c r="G17" s="646">
        <f t="shared" si="1"/>
        <v>0</v>
      </c>
      <c r="H17" s="853" t="e">
        <f t="shared" si="2"/>
        <v>#DIV/0!</v>
      </c>
      <c r="I17" s="857"/>
      <c r="J17" s="271"/>
      <c r="K17" s="271"/>
      <c r="L17" s="271"/>
      <c r="M17" s="271"/>
    </row>
    <row r="18" spans="1:13" ht="33.75" customHeight="1">
      <c r="A18" s="782"/>
      <c r="B18" s="773"/>
      <c r="C18" s="772" t="str">
        <f>'라-1.도시(군)세출'!D24</f>
        <v>간병인비</v>
      </c>
      <c r="D18" s="363"/>
      <c r="E18" s="646">
        <v>3000000</v>
      </c>
      <c r="F18" s="646">
        <f>'라-1.도시(군)세출'!F24</f>
        <v>3000000</v>
      </c>
      <c r="G18" s="646">
        <f t="shared" si="1"/>
        <v>0</v>
      </c>
      <c r="H18" s="853">
        <f t="shared" si="2"/>
        <v>0</v>
      </c>
      <c r="I18" s="857"/>
      <c r="J18" s="271"/>
      <c r="K18" s="271"/>
      <c r="L18" s="271"/>
      <c r="M18" s="271"/>
    </row>
    <row r="19" spans="1:13" ht="33.75" customHeight="1">
      <c r="A19" s="782"/>
      <c r="B19" s="778"/>
      <c r="C19" s="772" t="s">
        <v>722</v>
      </c>
      <c r="D19" s="363" t="e">
        <f>라.국도비세출!#REF!</f>
        <v>#REF!</v>
      </c>
      <c r="E19" s="646">
        <v>32840000</v>
      </c>
      <c r="F19" s="646">
        <f>'라-1.도시(군)세출'!F25</f>
        <v>32840000</v>
      </c>
      <c r="G19" s="646">
        <f t="shared" ref="G19" si="3">F19-E19</f>
        <v>0</v>
      </c>
      <c r="H19" s="853">
        <f t="shared" si="2"/>
        <v>0</v>
      </c>
      <c r="I19" s="834"/>
      <c r="J19" s="271"/>
      <c r="K19" s="271"/>
      <c r="L19" s="271"/>
      <c r="M19" s="271"/>
    </row>
    <row r="20" spans="1:13" ht="33.75" customHeight="1">
      <c r="A20" s="782"/>
      <c r="B20" s="772" t="s">
        <v>43</v>
      </c>
      <c r="C20" s="772" t="s">
        <v>107</v>
      </c>
      <c r="D20" s="858" t="s">
        <v>645</v>
      </c>
      <c r="E20" s="646">
        <v>6300000</v>
      </c>
      <c r="F20" s="646">
        <f>F21</f>
        <v>6720000</v>
      </c>
      <c r="G20" s="646">
        <f t="shared" ref="G20" si="4">F20-E20</f>
        <v>420000</v>
      </c>
      <c r="H20" s="853">
        <f t="shared" si="2"/>
        <v>6.666666666666667</v>
      </c>
      <c r="I20" s="859"/>
      <c r="J20" s="271"/>
      <c r="K20" s="271"/>
      <c r="L20" s="271"/>
      <c r="M20" s="271"/>
    </row>
    <row r="21" spans="1:13" ht="33.75" customHeight="1">
      <c r="A21" s="782"/>
      <c r="B21" s="772"/>
      <c r="C21" s="772" t="s">
        <v>43</v>
      </c>
      <c r="D21" s="702" t="s">
        <v>155</v>
      </c>
      <c r="E21" s="646">
        <v>6300000</v>
      </c>
      <c r="F21" s="646">
        <v>6720000</v>
      </c>
      <c r="G21" s="646">
        <f>F21-E21</f>
        <v>420000</v>
      </c>
      <c r="H21" s="853">
        <f t="shared" ref="H21" si="5">G21/E21*100</f>
        <v>6.666666666666667</v>
      </c>
      <c r="I21" s="856" t="s">
        <v>1002</v>
      </c>
      <c r="J21" s="271"/>
      <c r="K21" s="271"/>
      <c r="L21" s="271"/>
      <c r="M21" s="271"/>
    </row>
    <row r="22" spans="1:13" ht="33.75" customHeight="1">
      <c r="A22" s="788"/>
      <c r="B22" s="772" t="s">
        <v>210</v>
      </c>
      <c r="C22" s="772" t="s">
        <v>204</v>
      </c>
      <c r="D22" s="363"/>
      <c r="E22" s="646">
        <v>11294958</v>
      </c>
      <c r="F22" s="646">
        <f>SUM(F23:F24)</f>
        <v>6082000</v>
      </c>
      <c r="G22" s="646">
        <f>SUM(G23:G24)</f>
        <v>-5212958</v>
      </c>
      <c r="H22" s="853">
        <f>G22/E22*100</f>
        <v>-46.152964889289535</v>
      </c>
      <c r="I22" s="834"/>
      <c r="J22" s="271"/>
      <c r="K22" s="271"/>
      <c r="L22" s="271"/>
      <c r="M22" s="271"/>
    </row>
    <row r="23" spans="1:13" ht="100.5" customHeight="1">
      <c r="A23" s="782"/>
      <c r="B23" s="786"/>
      <c r="C23" s="772" t="s">
        <v>212</v>
      </c>
      <c r="D23" s="427"/>
      <c r="E23" s="646">
        <v>11294958</v>
      </c>
      <c r="F23" s="646">
        <v>6082000</v>
      </c>
      <c r="G23" s="646">
        <f>F23-E23</f>
        <v>-5212958</v>
      </c>
      <c r="H23" s="853">
        <f t="shared" ref="H23:H28" si="6">G23/E23*100</f>
        <v>-46.152964889289535</v>
      </c>
      <c r="I23" s="861" t="s">
        <v>1026</v>
      </c>
      <c r="J23" s="271"/>
      <c r="K23" s="271"/>
      <c r="L23" s="271"/>
      <c r="M23" s="271"/>
    </row>
    <row r="24" spans="1:13" ht="33.75" customHeight="1">
      <c r="A24" s="789"/>
      <c r="B24" s="778"/>
      <c r="C24" s="772" t="s">
        <v>211</v>
      </c>
      <c r="D24" s="363"/>
      <c r="E24" s="646">
        <v>0</v>
      </c>
      <c r="F24" s="646">
        <v>0</v>
      </c>
      <c r="G24" s="646">
        <f>F24-E24</f>
        <v>0</v>
      </c>
      <c r="H24" s="853" t="e">
        <f t="shared" si="6"/>
        <v>#DIV/0!</v>
      </c>
      <c r="I24" s="834"/>
      <c r="J24" s="271"/>
      <c r="K24" s="271"/>
      <c r="L24" s="271"/>
      <c r="M24" s="271"/>
    </row>
    <row r="25" spans="1:13" s="624" customFormat="1" ht="33.75" customHeight="1">
      <c r="A25" s="787" t="s">
        <v>213</v>
      </c>
      <c r="B25" s="1009" t="s">
        <v>28</v>
      </c>
      <c r="C25" s="1009"/>
      <c r="D25" s="669"/>
      <c r="E25" s="646">
        <v>113742</v>
      </c>
      <c r="F25" s="646">
        <f>F26</f>
        <v>66700</v>
      </c>
      <c r="G25" s="646">
        <f>G26</f>
        <v>-47042</v>
      </c>
      <c r="H25" s="853">
        <f t="shared" si="6"/>
        <v>-41.358513126197884</v>
      </c>
      <c r="I25" s="837"/>
    </row>
    <row r="26" spans="1:13" s="624" customFormat="1" ht="33.75" customHeight="1">
      <c r="A26" s="788"/>
      <c r="B26" s="772" t="s">
        <v>213</v>
      </c>
      <c r="C26" s="772" t="s">
        <v>204</v>
      </c>
      <c r="D26" s="363"/>
      <c r="E26" s="646">
        <v>113742</v>
      </c>
      <c r="F26" s="646">
        <f>SUM(F27:F29)</f>
        <v>66700</v>
      </c>
      <c r="G26" s="646">
        <f>SUM(G27:G29)</f>
        <v>-47042</v>
      </c>
      <c r="H26" s="853">
        <f t="shared" si="6"/>
        <v>-41.358513126197884</v>
      </c>
      <c r="I26" s="837"/>
    </row>
    <row r="27" spans="1:13" s="627" customFormat="1" ht="33.75" customHeight="1">
      <c r="A27" s="782"/>
      <c r="B27" s="786"/>
      <c r="C27" s="772" t="s">
        <v>48</v>
      </c>
      <c r="D27" s="427"/>
      <c r="E27" s="646">
        <v>0</v>
      </c>
      <c r="F27" s="646">
        <v>0</v>
      </c>
      <c r="G27" s="646">
        <f>F27-E27</f>
        <v>0</v>
      </c>
      <c r="H27" s="853">
        <v>0</v>
      </c>
      <c r="I27" s="838"/>
    </row>
    <row r="28" spans="1:13" s="627" customFormat="1" ht="33.75" customHeight="1">
      <c r="A28" s="782"/>
      <c r="B28" s="773"/>
      <c r="C28" s="772" t="s">
        <v>49</v>
      </c>
      <c r="D28" s="650"/>
      <c r="E28" s="646">
        <v>113742</v>
      </c>
      <c r="F28" s="646">
        <f>'라-1.도시(군)세출'!F36</f>
        <v>66700</v>
      </c>
      <c r="G28" s="646">
        <f>F28-E28</f>
        <v>-47042</v>
      </c>
      <c r="H28" s="853">
        <f t="shared" si="6"/>
        <v>-41.358513126197884</v>
      </c>
      <c r="I28" s="838"/>
    </row>
    <row r="29" spans="1:13" ht="33.75" customHeight="1">
      <c r="A29" s="790"/>
      <c r="B29" s="791"/>
      <c r="C29" s="792" t="s">
        <v>214</v>
      </c>
      <c r="D29" s="675"/>
      <c r="E29" s="679">
        <v>0</v>
      </c>
      <c r="F29" s="679">
        <v>0</v>
      </c>
      <c r="G29" s="679">
        <f>F29-E29</f>
        <v>0</v>
      </c>
      <c r="H29" s="862">
        <v>0</v>
      </c>
      <c r="I29" s="863"/>
      <c r="J29" s="271"/>
      <c r="K29" s="271"/>
      <c r="L29" s="271"/>
      <c r="M29" s="271"/>
    </row>
    <row r="30" spans="1:13" ht="23.25" customHeight="1">
      <c r="A30" s="841"/>
      <c r="B30" s="841"/>
      <c r="C30" s="841"/>
      <c r="D30" s="841"/>
      <c r="E30" s="864"/>
      <c r="F30" s="865"/>
      <c r="G30" s="865"/>
      <c r="H30" s="841"/>
      <c r="I30" s="268"/>
      <c r="J30" s="271"/>
      <c r="K30" s="271"/>
      <c r="L30" s="271"/>
      <c r="M30" s="271"/>
    </row>
    <row r="31" spans="1:13" s="409" customFormat="1" ht="12">
      <c r="A31" s="516"/>
      <c r="B31" s="516"/>
      <c r="C31" s="516"/>
      <c r="D31" s="516"/>
      <c r="E31" s="866"/>
      <c r="F31" s="866"/>
      <c r="G31" s="866"/>
      <c r="H31" s="516"/>
      <c r="I31" s="561"/>
      <c r="K31" s="561"/>
      <c r="L31" s="561"/>
      <c r="M31" s="561"/>
    </row>
    <row r="32" spans="1:13" s="409" customFormat="1" ht="12">
      <c r="A32" s="516"/>
      <c r="B32" s="516"/>
      <c r="C32" s="516"/>
      <c r="D32" s="516"/>
      <c r="E32" s="866"/>
      <c r="F32" s="866"/>
      <c r="G32" s="866"/>
      <c r="H32" s="516"/>
      <c r="I32" s="561"/>
      <c r="K32" s="561"/>
      <c r="L32" s="561"/>
      <c r="M32" s="561"/>
    </row>
    <row r="33" spans="1:13" s="409" customFormat="1" ht="12">
      <c r="A33" s="516"/>
      <c r="B33" s="516"/>
      <c r="C33" s="516"/>
      <c r="D33" s="516"/>
      <c r="E33" s="866"/>
      <c r="F33" s="866"/>
      <c r="G33" s="866"/>
      <c r="H33" s="516"/>
      <c r="I33" s="561"/>
      <c r="K33" s="561"/>
      <c r="L33" s="561"/>
      <c r="M33" s="561"/>
    </row>
    <row r="34" spans="1:13" s="561" customFormat="1" ht="12">
      <c r="A34" s="516"/>
      <c r="B34" s="516"/>
      <c r="C34" s="516"/>
      <c r="D34" s="516"/>
      <c r="E34" s="866"/>
      <c r="F34" s="866"/>
      <c r="G34" s="866"/>
      <c r="H34" s="516"/>
      <c r="J34" s="409"/>
    </row>
    <row r="35" spans="1:13" s="561" customFormat="1" ht="12">
      <c r="A35" s="516"/>
      <c r="B35" s="516"/>
      <c r="C35" s="516"/>
      <c r="D35" s="516"/>
      <c r="E35" s="866"/>
      <c r="F35" s="866"/>
      <c r="G35" s="866"/>
      <c r="H35" s="516"/>
      <c r="J35" s="409"/>
    </row>
    <row r="36" spans="1:13" s="561" customFormat="1" ht="12">
      <c r="A36" s="516"/>
      <c r="B36" s="516"/>
      <c r="C36" s="516"/>
      <c r="D36" s="516"/>
      <c r="E36" s="866"/>
      <c r="F36" s="866"/>
      <c r="G36" s="866"/>
      <c r="H36" s="516"/>
      <c r="J36" s="409"/>
    </row>
    <row r="37" spans="1:13" s="561" customFormat="1" ht="12">
      <c r="A37" s="516"/>
      <c r="B37" s="516"/>
      <c r="C37" s="516"/>
      <c r="D37" s="516"/>
      <c r="E37" s="866"/>
      <c r="F37" s="866"/>
      <c r="G37" s="866"/>
      <c r="H37" s="516"/>
      <c r="J37" s="409"/>
    </row>
    <row r="38" spans="1:13" s="561" customFormat="1" ht="11.25">
      <c r="A38" s="516"/>
      <c r="B38" s="516"/>
      <c r="C38" s="516"/>
      <c r="D38" s="516"/>
      <c r="E38" s="516"/>
      <c r="F38" s="516"/>
      <c r="G38" s="516"/>
      <c r="H38" s="516"/>
      <c r="J38" s="409"/>
    </row>
    <row r="39" spans="1:13" s="561" customFormat="1" ht="11.25">
      <c r="A39" s="516"/>
      <c r="B39" s="516"/>
      <c r="C39" s="516"/>
      <c r="D39" s="516"/>
      <c r="E39" s="516"/>
      <c r="F39" s="516"/>
      <c r="G39" s="516"/>
      <c r="H39" s="516"/>
      <c r="J39" s="409"/>
    </row>
    <row r="40" spans="1:13" s="561" customFormat="1" ht="11.25">
      <c r="A40" s="516"/>
      <c r="B40" s="516"/>
      <c r="C40" s="516"/>
      <c r="D40" s="516"/>
      <c r="E40" s="516"/>
      <c r="F40" s="516"/>
      <c r="G40" s="516"/>
      <c r="H40" s="516"/>
      <c r="J40" s="409"/>
    </row>
    <row r="41" spans="1:13" s="561" customFormat="1" ht="11.25">
      <c r="A41" s="516"/>
      <c r="B41" s="516"/>
      <c r="C41" s="516"/>
      <c r="D41" s="516"/>
      <c r="E41" s="516"/>
      <c r="F41" s="516"/>
      <c r="G41" s="516"/>
      <c r="H41" s="516"/>
      <c r="J41" s="409"/>
    </row>
    <row r="42" spans="1:13" s="561" customFormat="1" ht="11.25">
      <c r="A42" s="516"/>
      <c r="B42" s="516"/>
      <c r="C42" s="516"/>
      <c r="D42" s="516"/>
      <c r="E42" s="516"/>
      <c r="F42" s="516"/>
      <c r="G42" s="516"/>
      <c r="H42" s="516"/>
      <c r="J42" s="409"/>
    </row>
    <row r="43" spans="1:13" s="561" customFormat="1" ht="11.25">
      <c r="A43" s="516"/>
      <c r="B43" s="516"/>
      <c r="C43" s="516"/>
      <c r="D43" s="516"/>
      <c r="E43" s="516"/>
      <c r="F43" s="516"/>
      <c r="G43" s="516"/>
      <c r="H43" s="516"/>
      <c r="J43" s="409"/>
    </row>
    <row r="44" spans="1:13" s="561" customFormat="1" ht="11.25">
      <c r="A44" s="516"/>
      <c r="B44" s="516"/>
      <c r="C44" s="516"/>
      <c r="D44" s="516"/>
      <c r="E44" s="516"/>
      <c r="F44" s="516"/>
      <c r="G44" s="516"/>
      <c r="H44" s="516"/>
      <c r="J44" s="409"/>
    </row>
    <row r="45" spans="1:13" s="561" customFormat="1" ht="11.25">
      <c r="A45" s="516"/>
      <c r="B45" s="516"/>
      <c r="C45" s="516"/>
      <c r="D45" s="516"/>
      <c r="E45" s="516"/>
      <c r="F45" s="516"/>
      <c r="G45" s="516"/>
      <c r="H45" s="516"/>
      <c r="J45" s="409"/>
    </row>
    <row r="46" spans="1:13" s="561" customFormat="1" ht="11.25">
      <c r="A46" s="516"/>
      <c r="B46" s="516"/>
      <c r="C46" s="516"/>
      <c r="D46" s="516"/>
      <c r="E46" s="516"/>
      <c r="F46" s="516"/>
      <c r="G46" s="516"/>
      <c r="H46" s="516"/>
      <c r="J46" s="409"/>
    </row>
    <row r="47" spans="1:13" s="561" customFormat="1" ht="11.25">
      <c r="A47" s="516"/>
      <c r="B47" s="516"/>
      <c r="C47" s="516"/>
      <c r="D47" s="516"/>
      <c r="E47" s="516"/>
      <c r="F47" s="516"/>
      <c r="G47" s="516"/>
      <c r="H47" s="516"/>
      <c r="J47" s="409"/>
    </row>
    <row r="48" spans="1:13" s="561" customFormat="1" ht="11.25">
      <c r="A48" s="516"/>
      <c r="B48" s="516"/>
      <c r="C48" s="516"/>
      <c r="D48" s="516"/>
      <c r="E48" s="516"/>
      <c r="F48" s="516"/>
      <c r="G48" s="516"/>
      <c r="H48" s="516"/>
      <c r="J48" s="409"/>
    </row>
    <row r="49" spans="1:10" s="561" customFormat="1" ht="11.25">
      <c r="A49" s="516"/>
      <c r="B49" s="516"/>
      <c r="C49" s="516"/>
      <c r="D49" s="516"/>
      <c r="E49" s="516"/>
      <c r="F49" s="516"/>
      <c r="G49" s="516"/>
      <c r="H49" s="516"/>
      <c r="J49" s="409"/>
    </row>
    <row r="50" spans="1:10" s="561" customFormat="1" ht="11.25">
      <c r="A50" s="516"/>
      <c r="B50" s="516"/>
      <c r="C50" s="516"/>
      <c r="D50" s="516"/>
      <c r="E50" s="516"/>
      <c r="F50" s="516"/>
      <c r="G50" s="516"/>
      <c r="H50" s="516"/>
      <c r="J50" s="409"/>
    </row>
    <row r="51" spans="1:10" s="561" customFormat="1" ht="11.25">
      <c r="A51" s="516"/>
      <c r="B51" s="516"/>
      <c r="C51" s="516"/>
      <c r="D51" s="516"/>
      <c r="E51" s="516"/>
      <c r="F51" s="516"/>
      <c r="G51" s="516"/>
      <c r="H51" s="516"/>
      <c r="J51" s="409"/>
    </row>
    <row r="52" spans="1:10" s="561" customFormat="1" ht="11.25">
      <c r="A52" s="516"/>
      <c r="B52" s="516"/>
      <c r="C52" s="516"/>
      <c r="D52" s="516"/>
      <c r="E52" s="516"/>
      <c r="F52" s="516"/>
      <c r="G52" s="516"/>
      <c r="H52" s="516"/>
      <c r="J52" s="409"/>
    </row>
    <row r="53" spans="1:10" s="561" customFormat="1" ht="11.25">
      <c r="A53" s="516"/>
      <c r="B53" s="516"/>
      <c r="C53" s="516"/>
      <c r="D53" s="516"/>
      <c r="E53" s="516"/>
      <c r="F53" s="516"/>
      <c r="G53" s="516"/>
      <c r="H53" s="516"/>
      <c r="J53" s="409"/>
    </row>
    <row r="54" spans="1:10" s="561" customFormat="1" ht="11.25">
      <c r="A54" s="516"/>
      <c r="B54" s="516"/>
      <c r="C54" s="516"/>
      <c r="D54" s="516"/>
      <c r="E54" s="516"/>
      <c r="F54" s="516"/>
      <c r="G54" s="516"/>
      <c r="H54" s="516"/>
      <c r="J54" s="409"/>
    </row>
    <row r="55" spans="1:10" s="561" customFormat="1" ht="11.25">
      <c r="A55" s="516"/>
      <c r="B55" s="516"/>
      <c r="C55" s="516"/>
      <c r="D55" s="516"/>
      <c r="E55" s="516"/>
      <c r="F55" s="516"/>
      <c r="G55" s="516"/>
      <c r="H55" s="516"/>
      <c r="J55" s="409"/>
    </row>
    <row r="56" spans="1:10" s="561" customFormat="1" ht="11.25">
      <c r="A56" s="516"/>
      <c r="B56" s="516"/>
      <c r="C56" s="516"/>
      <c r="D56" s="516"/>
      <c r="E56" s="516"/>
      <c r="F56" s="516"/>
      <c r="G56" s="516"/>
      <c r="H56" s="516"/>
      <c r="J56" s="409"/>
    </row>
    <row r="57" spans="1:10" s="561" customFormat="1" ht="11.25">
      <c r="A57" s="516"/>
      <c r="B57" s="516"/>
      <c r="C57" s="516"/>
      <c r="D57" s="516"/>
      <c r="E57" s="516"/>
      <c r="F57" s="516"/>
      <c r="G57" s="516"/>
      <c r="H57" s="516"/>
      <c r="J57" s="409"/>
    </row>
    <row r="58" spans="1:10" s="561" customFormat="1" ht="11.25">
      <c r="A58" s="516"/>
      <c r="B58" s="516"/>
      <c r="C58" s="516"/>
      <c r="D58" s="516"/>
      <c r="E58" s="516"/>
      <c r="F58" s="516"/>
      <c r="G58" s="516"/>
      <c r="H58" s="516"/>
      <c r="J58" s="409"/>
    </row>
    <row r="59" spans="1:10" s="561" customFormat="1" ht="11.25">
      <c r="A59" s="516"/>
      <c r="B59" s="516"/>
      <c r="C59" s="516"/>
      <c r="D59" s="516"/>
      <c r="E59" s="516"/>
      <c r="F59" s="516"/>
      <c r="G59" s="516"/>
      <c r="H59" s="516"/>
      <c r="J59" s="409"/>
    </row>
    <row r="60" spans="1:10" s="561" customFormat="1" ht="11.25">
      <c r="A60" s="516"/>
      <c r="B60" s="516"/>
      <c r="C60" s="516"/>
      <c r="D60" s="516"/>
      <c r="E60" s="516"/>
      <c r="F60" s="516"/>
      <c r="G60" s="516"/>
      <c r="H60" s="516"/>
      <c r="J60" s="409"/>
    </row>
    <row r="61" spans="1:10" s="561" customFormat="1" ht="11.25">
      <c r="A61" s="516"/>
      <c r="B61" s="516"/>
      <c r="C61" s="516"/>
      <c r="D61" s="516"/>
      <c r="E61" s="516"/>
      <c r="F61" s="516"/>
      <c r="G61" s="516"/>
      <c r="H61" s="516"/>
      <c r="J61" s="409"/>
    </row>
    <row r="62" spans="1:10" s="561" customFormat="1" ht="11.25">
      <c r="A62" s="516"/>
      <c r="B62" s="516"/>
      <c r="C62" s="516"/>
      <c r="D62" s="516"/>
      <c r="E62" s="516"/>
      <c r="F62" s="516"/>
      <c r="G62" s="516"/>
      <c r="H62" s="516"/>
      <c r="J62" s="409"/>
    </row>
    <row r="63" spans="1:10" s="561" customFormat="1" ht="13.5" hidden="1" customHeight="1">
      <c r="A63" s="516"/>
      <c r="B63" s="516"/>
      <c r="C63" s="516"/>
      <c r="D63" s="516"/>
      <c r="E63" s="516"/>
      <c r="F63" s="516">
        <v>0</v>
      </c>
      <c r="G63" s="516"/>
      <c r="H63" s="516"/>
      <c r="J63" s="409"/>
    </row>
    <row r="64" spans="1:10" s="561" customFormat="1" ht="11.25">
      <c r="A64" s="516"/>
      <c r="B64" s="516"/>
      <c r="C64" s="516"/>
      <c r="D64" s="516"/>
      <c r="E64" s="516"/>
      <c r="F64" s="516"/>
      <c r="G64" s="516"/>
      <c r="H64" s="516"/>
      <c r="J64" s="409"/>
    </row>
    <row r="65" spans="1:10" s="561" customFormat="1" ht="11.25">
      <c r="A65" s="516"/>
      <c r="B65" s="516"/>
      <c r="C65" s="516"/>
      <c r="D65" s="516"/>
      <c r="E65" s="516"/>
      <c r="F65" s="516"/>
      <c r="G65" s="516"/>
      <c r="H65" s="516"/>
      <c r="J65" s="409"/>
    </row>
    <row r="66" spans="1:10" s="561" customFormat="1" ht="11.25">
      <c r="A66" s="516"/>
      <c r="B66" s="516"/>
      <c r="C66" s="516"/>
      <c r="D66" s="516"/>
      <c r="E66" s="516"/>
      <c r="F66" s="516"/>
      <c r="G66" s="516"/>
      <c r="H66" s="516"/>
      <c r="J66" s="409"/>
    </row>
    <row r="67" spans="1:10" s="561" customFormat="1" ht="11.25">
      <c r="A67" s="516"/>
      <c r="B67" s="516"/>
      <c r="C67" s="516"/>
      <c r="D67" s="516"/>
      <c r="E67" s="516"/>
      <c r="F67" s="516"/>
      <c r="G67" s="516"/>
      <c r="H67" s="516"/>
      <c r="J67" s="409"/>
    </row>
    <row r="68" spans="1:10" s="561" customFormat="1" ht="11.25">
      <c r="A68" s="516"/>
      <c r="B68" s="516"/>
      <c r="C68" s="516"/>
      <c r="D68" s="516"/>
      <c r="E68" s="516"/>
      <c r="F68" s="516"/>
      <c r="G68" s="516"/>
      <c r="H68" s="516"/>
      <c r="J68" s="409"/>
    </row>
    <row r="69" spans="1:10" s="561" customFormat="1" ht="13.5" hidden="1" customHeight="1">
      <c r="A69" s="516"/>
      <c r="B69" s="516"/>
      <c r="C69" s="516"/>
      <c r="D69" s="516"/>
      <c r="E69" s="516"/>
      <c r="F69" s="516"/>
      <c r="G69" s="516"/>
      <c r="H69" s="516"/>
      <c r="J69" s="409"/>
    </row>
    <row r="70" spans="1:10" s="561" customFormat="1" ht="11.25">
      <c r="A70" s="516"/>
      <c r="B70" s="516"/>
      <c r="C70" s="516"/>
      <c r="D70" s="516"/>
      <c r="E70" s="516"/>
      <c r="F70" s="516"/>
      <c r="G70" s="516"/>
      <c r="H70" s="516"/>
      <c r="J70" s="409"/>
    </row>
    <row r="71" spans="1:10" s="561" customFormat="1" ht="11.25">
      <c r="A71" s="516"/>
      <c r="B71" s="516"/>
      <c r="C71" s="516"/>
      <c r="D71" s="516"/>
      <c r="E71" s="516"/>
      <c r="F71" s="516"/>
      <c r="G71" s="516"/>
      <c r="H71" s="516"/>
      <c r="J71" s="409"/>
    </row>
    <row r="72" spans="1:10" s="561" customFormat="1" ht="11.25">
      <c r="A72" s="516"/>
      <c r="B72" s="516"/>
      <c r="C72" s="516"/>
      <c r="D72" s="516"/>
      <c r="E72" s="516"/>
      <c r="F72" s="516"/>
      <c r="G72" s="516"/>
      <c r="H72" s="516"/>
      <c r="J72" s="409"/>
    </row>
    <row r="73" spans="1:10" s="561" customFormat="1" ht="11.25">
      <c r="A73" s="516"/>
      <c r="B73" s="516"/>
      <c r="C73" s="516"/>
      <c r="D73" s="516"/>
      <c r="E73" s="516"/>
      <c r="F73" s="516"/>
      <c r="G73" s="516"/>
      <c r="H73" s="516"/>
      <c r="J73" s="409"/>
    </row>
  </sheetData>
  <mergeCells count="12">
    <mergeCell ref="B25:C25"/>
    <mergeCell ref="I4:I5"/>
    <mergeCell ref="A6:C6"/>
    <mergeCell ref="B7:C7"/>
    <mergeCell ref="B10:C10"/>
    <mergeCell ref="B13:C13"/>
    <mergeCell ref="G4:H4"/>
    <mergeCell ref="A1:C1"/>
    <mergeCell ref="A2:C2"/>
    <mergeCell ref="A4:C4"/>
    <mergeCell ref="E4:E5"/>
    <mergeCell ref="F4:F5"/>
  </mergeCells>
  <phoneticPr fontId="2" type="noConversion"/>
  <pageMargins left="0.15748031496062992" right="0.21" top="0.67" bottom="0.13" header="0.55118110236220474" footer="0.15748031496062992"/>
  <pageSetup paperSize="9" scale="72" orientation="portrait" horizontalDpi="4294967293" vertic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workbookViewId="0">
      <selection activeCell="H28" sqref="H28"/>
    </sheetView>
  </sheetViews>
  <sheetFormatPr defaultRowHeight="13.5"/>
  <cols>
    <col min="1" max="2" width="10.88671875" style="561" customWidth="1"/>
    <col min="3" max="3" width="11.44140625" style="561" customWidth="1"/>
    <col min="4" max="4" width="12.77734375" style="409" customWidth="1"/>
    <col min="5" max="6" width="12.77734375" style="561" customWidth="1"/>
    <col min="7" max="7" width="6.77734375" style="561" customWidth="1"/>
    <col min="8" max="8" width="36.109375" style="561" customWidth="1"/>
    <col min="9" max="9" width="11.5546875" style="409" customWidth="1"/>
    <col min="10" max="10" width="13.109375" style="561" customWidth="1"/>
    <col min="11" max="11" width="5" style="561" customWidth="1"/>
    <col min="12" max="12" width="10.77734375" style="561" customWidth="1"/>
    <col min="13" max="16384" width="8.88671875" style="271"/>
  </cols>
  <sheetData>
    <row r="1" spans="1:10" s="496" customFormat="1" ht="22.5" customHeight="1">
      <c r="A1" s="1014" t="s">
        <v>709</v>
      </c>
      <c r="B1" s="1015"/>
      <c r="C1" s="1015"/>
      <c r="D1" s="492"/>
      <c r="E1" s="565"/>
      <c r="F1" s="494"/>
      <c r="G1" s="494"/>
    </row>
    <row r="2" spans="1:10" s="496" customFormat="1" ht="22.5" customHeight="1">
      <c r="A2" s="1016" t="s">
        <v>238</v>
      </c>
      <c r="B2" s="1016"/>
      <c r="C2" s="1016"/>
      <c r="D2" s="492"/>
      <c r="E2" s="565"/>
      <c r="F2" s="494"/>
      <c r="G2" s="494"/>
    </row>
    <row r="3" spans="1:10" s="496" customFormat="1" ht="22.5" customHeight="1">
      <c r="A3" s="828"/>
      <c r="B3" s="828"/>
      <c r="C3" s="494"/>
      <c r="D3" s="492"/>
      <c r="E3" s="494"/>
      <c r="F3" s="494"/>
      <c r="G3" s="494"/>
      <c r="H3" s="498" t="s">
        <v>226</v>
      </c>
    </row>
    <row r="4" spans="1:10" s="627" customFormat="1" ht="33.75" customHeight="1">
      <c r="A4" s="1012" t="s">
        <v>4</v>
      </c>
      <c r="B4" s="1013"/>
      <c r="C4" s="1013"/>
      <c r="D4" s="997" t="str">
        <f>다.국도시세입!E4:E5</f>
        <v>전년도예산
( A )</v>
      </c>
      <c r="E4" s="995" t="str">
        <f>다.국도시세입!F4:F5</f>
        <v>2020년예산
( B )</v>
      </c>
      <c r="F4" s="995" t="s">
        <v>754</v>
      </c>
      <c r="G4" s="995"/>
      <c r="H4" s="1007" t="s">
        <v>31</v>
      </c>
    </row>
    <row r="5" spans="1:10" s="627" customFormat="1" ht="33.75" customHeight="1" thickBot="1">
      <c r="A5" s="628" t="s">
        <v>1</v>
      </c>
      <c r="B5" s="629" t="s">
        <v>2</v>
      </c>
      <c r="C5" s="629" t="s">
        <v>3</v>
      </c>
      <c r="D5" s="998"/>
      <c r="E5" s="996"/>
      <c r="F5" s="629" t="s">
        <v>755</v>
      </c>
      <c r="G5" s="502" t="s">
        <v>756</v>
      </c>
      <c r="H5" s="1008"/>
    </row>
    <row r="6" spans="1:10" s="627" customFormat="1" ht="30" customHeight="1" thickTop="1">
      <c r="A6" s="1010" t="s">
        <v>227</v>
      </c>
      <c r="B6" s="1011"/>
      <c r="C6" s="1011"/>
      <c r="D6" s="634">
        <v>225700000</v>
      </c>
      <c r="E6" s="634">
        <f>E7+E10+E13+E16+E19+E23+E26+E30</f>
        <v>226800000</v>
      </c>
      <c r="F6" s="634">
        <f>F7+F10+F13+F16+F19+F23+F26+F30</f>
        <v>1100000</v>
      </c>
      <c r="G6" s="829">
        <f>F6/D6*100</f>
        <v>0.48737261852015945</v>
      </c>
      <c r="H6" s="830"/>
      <c r="J6" s="831">
        <f>E6-'라-2.자부담세출'!F6</f>
        <v>0</v>
      </c>
    </row>
    <row r="7" spans="1:10" s="271" customFormat="1" ht="30" customHeight="1">
      <c r="A7" s="787" t="s">
        <v>220</v>
      </c>
      <c r="B7" s="1009" t="s">
        <v>221</v>
      </c>
      <c r="C7" s="1009"/>
      <c r="D7" s="639">
        <v>134400000</v>
      </c>
      <c r="E7" s="639">
        <f t="shared" ref="E7:F8" si="0">E8</f>
        <v>134400000</v>
      </c>
      <c r="F7" s="639">
        <f t="shared" si="0"/>
        <v>0</v>
      </c>
      <c r="G7" s="844">
        <f>F7/D7*100</f>
        <v>0</v>
      </c>
      <c r="H7" s="833"/>
    </row>
    <row r="8" spans="1:10" s="271" customFormat="1" ht="30" customHeight="1">
      <c r="A8" s="788"/>
      <c r="B8" s="772" t="s">
        <v>222</v>
      </c>
      <c r="C8" s="772" t="s">
        <v>223</v>
      </c>
      <c r="D8" s="646">
        <v>134400000</v>
      </c>
      <c r="E8" s="646">
        <f t="shared" si="0"/>
        <v>134400000</v>
      </c>
      <c r="F8" s="646">
        <f t="shared" si="0"/>
        <v>0</v>
      </c>
      <c r="G8" s="844">
        <f>F8/D8*100</f>
        <v>0</v>
      </c>
      <c r="H8" s="834"/>
    </row>
    <row r="9" spans="1:10" s="271" customFormat="1" ht="25.5" customHeight="1">
      <c r="A9" s="789"/>
      <c r="B9" s="772"/>
      <c r="C9" s="772" t="s">
        <v>222</v>
      </c>
      <c r="D9" s="646">
        <v>134400000</v>
      </c>
      <c r="E9" s="646">
        <v>134400000</v>
      </c>
      <c r="F9" s="646">
        <f>E9-D9</f>
        <v>0</v>
      </c>
      <c r="G9" s="844">
        <f>F9/D9*100</f>
        <v>0</v>
      </c>
      <c r="H9" s="519" t="s">
        <v>910</v>
      </c>
    </row>
    <row r="10" spans="1:10" s="271" customFormat="1" ht="30" customHeight="1">
      <c r="A10" s="787" t="s">
        <v>329</v>
      </c>
      <c r="B10" s="1009" t="s">
        <v>228</v>
      </c>
      <c r="C10" s="1009"/>
      <c r="D10" s="639">
        <v>0</v>
      </c>
      <c r="E10" s="639">
        <f t="shared" ref="E10:F11" si="1">E11</f>
        <v>0</v>
      </c>
      <c r="F10" s="639">
        <f t="shared" si="1"/>
        <v>0</v>
      </c>
      <c r="G10" s="844">
        <v>0</v>
      </c>
      <c r="H10" s="834"/>
    </row>
    <row r="11" spans="1:10" s="271" customFormat="1" ht="30" customHeight="1">
      <c r="A11" s="788"/>
      <c r="B11" s="772" t="s">
        <v>329</v>
      </c>
      <c r="C11" s="772" t="s">
        <v>229</v>
      </c>
      <c r="D11" s="639">
        <v>0</v>
      </c>
      <c r="E11" s="639">
        <f t="shared" si="1"/>
        <v>0</v>
      </c>
      <c r="F11" s="639">
        <f t="shared" si="1"/>
        <v>0</v>
      </c>
      <c r="G11" s="844">
        <v>0</v>
      </c>
      <c r="H11" s="834"/>
    </row>
    <row r="12" spans="1:10" s="271" customFormat="1" ht="30" customHeight="1">
      <c r="A12" s="789"/>
      <c r="B12" s="772"/>
      <c r="C12" s="775" t="s">
        <v>330</v>
      </c>
      <c r="D12" s="639">
        <v>0</v>
      </c>
      <c r="E12" s="639">
        <v>0</v>
      </c>
      <c r="F12" s="646">
        <f>E12-D12</f>
        <v>0</v>
      </c>
      <c r="G12" s="844">
        <v>0</v>
      </c>
      <c r="H12" s="845">
        <v>0</v>
      </c>
    </row>
    <row r="13" spans="1:10" s="271" customFormat="1" ht="30" customHeight="1">
      <c r="A13" s="787" t="s">
        <v>230</v>
      </c>
      <c r="B13" s="1009" t="s">
        <v>228</v>
      </c>
      <c r="C13" s="1009"/>
      <c r="D13" s="639">
        <v>0</v>
      </c>
      <c r="E13" s="639">
        <f t="shared" ref="E13:F14" si="2">E14</f>
        <v>0</v>
      </c>
      <c r="F13" s="639">
        <f t="shared" si="2"/>
        <v>0</v>
      </c>
      <c r="G13" s="844">
        <v>0</v>
      </c>
      <c r="H13" s="834"/>
    </row>
    <row r="14" spans="1:10" s="271" customFormat="1" ht="30" customHeight="1">
      <c r="A14" s="788"/>
      <c r="B14" s="772" t="s">
        <v>230</v>
      </c>
      <c r="C14" s="772" t="s">
        <v>229</v>
      </c>
      <c r="D14" s="639">
        <v>0</v>
      </c>
      <c r="E14" s="639">
        <f t="shared" si="2"/>
        <v>0</v>
      </c>
      <c r="F14" s="639">
        <f t="shared" si="2"/>
        <v>0</v>
      </c>
      <c r="G14" s="844">
        <v>0</v>
      </c>
      <c r="H14" s="834"/>
    </row>
    <row r="15" spans="1:10" s="271" customFormat="1" ht="30" customHeight="1">
      <c r="A15" s="789"/>
      <c r="B15" s="772"/>
      <c r="C15" s="772" t="s">
        <v>230</v>
      </c>
      <c r="D15" s="639">
        <v>0</v>
      </c>
      <c r="E15" s="639">
        <v>0</v>
      </c>
      <c r="F15" s="646">
        <f>E15-D15</f>
        <v>0</v>
      </c>
      <c r="G15" s="844">
        <v>0</v>
      </c>
      <c r="H15" s="834"/>
    </row>
    <row r="16" spans="1:10" s="271" customFormat="1" ht="30" customHeight="1">
      <c r="A16" s="787" t="s">
        <v>42</v>
      </c>
      <c r="B16" s="1009" t="s">
        <v>28</v>
      </c>
      <c r="C16" s="1009"/>
      <c r="D16" s="639">
        <v>0</v>
      </c>
      <c r="E16" s="639">
        <f t="shared" ref="E16:F17" si="3">E17</f>
        <v>0</v>
      </c>
      <c r="F16" s="639">
        <f t="shared" si="3"/>
        <v>0</v>
      </c>
      <c r="G16" s="844">
        <v>0</v>
      </c>
      <c r="H16" s="834"/>
    </row>
    <row r="17" spans="1:8" s="271" customFormat="1" ht="30" customHeight="1">
      <c r="A17" s="788"/>
      <c r="B17" s="772"/>
      <c r="C17" s="772" t="s">
        <v>229</v>
      </c>
      <c r="D17" s="639">
        <v>0</v>
      </c>
      <c r="E17" s="639">
        <f t="shared" si="3"/>
        <v>0</v>
      </c>
      <c r="F17" s="639">
        <f t="shared" si="3"/>
        <v>0</v>
      </c>
      <c r="G17" s="844">
        <v>0</v>
      </c>
      <c r="H17" s="834"/>
    </row>
    <row r="18" spans="1:8" s="271" customFormat="1" ht="30" customHeight="1">
      <c r="A18" s="789"/>
      <c r="B18" s="772"/>
      <c r="C18" s="772"/>
      <c r="D18" s="639">
        <v>0</v>
      </c>
      <c r="E18" s="639">
        <v>0</v>
      </c>
      <c r="F18" s="639">
        <f>C18-B18</f>
        <v>0</v>
      </c>
      <c r="G18" s="844">
        <v>0</v>
      </c>
      <c r="H18" s="834"/>
    </row>
    <row r="19" spans="1:8" s="271" customFormat="1" ht="30" customHeight="1">
      <c r="A19" s="787" t="s">
        <v>239</v>
      </c>
      <c r="B19" s="1009" t="s">
        <v>228</v>
      </c>
      <c r="C19" s="1009"/>
      <c r="D19" s="646">
        <v>0</v>
      </c>
      <c r="E19" s="646">
        <f>E20</f>
        <v>0</v>
      </c>
      <c r="F19" s="646">
        <f>F20</f>
        <v>0</v>
      </c>
      <c r="G19" s="844">
        <v>0</v>
      </c>
      <c r="H19" s="834"/>
    </row>
    <row r="20" spans="1:8" s="271" customFormat="1" ht="30" customHeight="1">
      <c r="A20" s="788"/>
      <c r="B20" s="772" t="s">
        <v>239</v>
      </c>
      <c r="C20" s="772" t="s">
        <v>229</v>
      </c>
      <c r="D20" s="646">
        <v>0</v>
      </c>
      <c r="E20" s="646">
        <f>SUM(E21:E22)</f>
        <v>0</v>
      </c>
      <c r="F20" s="646">
        <f>SUM(F21:F22)</f>
        <v>0</v>
      </c>
      <c r="G20" s="844">
        <v>0</v>
      </c>
      <c r="H20" s="834"/>
    </row>
    <row r="21" spans="1:8" s="271" customFormat="1" ht="30" customHeight="1">
      <c r="A21" s="782"/>
      <c r="B21" s="786"/>
      <c r="C21" s="772" t="s">
        <v>240</v>
      </c>
      <c r="D21" s="646">
        <v>0</v>
      </c>
      <c r="E21" s="646">
        <v>0</v>
      </c>
      <c r="F21" s="646">
        <f>E21-D21</f>
        <v>0</v>
      </c>
      <c r="G21" s="844">
        <v>0</v>
      </c>
      <c r="H21" s="834"/>
    </row>
    <row r="22" spans="1:8" s="271" customFormat="1" ht="30" customHeight="1">
      <c r="A22" s="782"/>
      <c r="B22" s="773"/>
      <c r="C22" s="772" t="s">
        <v>241</v>
      </c>
      <c r="D22" s="646">
        <v>0</v>
      </c>
      <c r="E22" s="646">
        <v>0</v>
      </c>
      <c r="F22" s="646">
        <f>E22-D22</f>
        <v>0</v>
      </c>
      <c r="G22" s="844">
        <v>0</v>
      </c>
      <c r="H22" s="834"/>
    </row>
    <row r="23" spans="1:8" s="271" customFormat="1" ht="30" customHeight="1">
      <c r="A23" s="787" t="s">
        <v>46</v>
      </c>
      <c r="B23" s="1017" t="s">
        <v>28</v>
      </c>
      <c r="C23" s="1018"/>
      <c r="D23" s="646">
        <v>40000000</v>
      </c>
      <c r="E23" s="646">
        <f>E24</f>
        <v>40000000</v>
      </c>
      <c r="F23" s="646">
        <f>F24</f>
        <v>0</v>
      </c>
      <c r="G23" s="844">
        <f t="shared" ref="G23:G34" si="4">F23/D23*100</f>
        <v>0</v>
      </c>
      <c r="H23" s="834"/>
    </row>
    <row r="24" spans="1:8" s="271" customFormat="1" ht="30" customHeight="1">
      <c r="A24" s="782"/>
      <c r="B24" s="772" t="s">
        <v>46</v>
      </c>
      <c r="C24" s="772" t="s">
        <v>6</v>
      </c>
      <c r="D24" s="646">
        <v>40000000</v>
      </c>
      <c r="E24" s="646">
        <f>E25</f>
        <v>40000000</v>
      </c>
      <c r="F24" s="646">
        <f>F25</f>
        <v>0</v>
      </c>
      <c r="G24" s="844">
        <f t="shared" si="4"/>
        <v>0</v>
      </c>
      <c r="H24" s="834"/>
    </row>
    <row r="25" spans="1:8" s="271" customFormat="1" ht="29.25" customHeight="1">
      <c r="A25" s="782"/>
      <c r="B25" s="772"/>
      <c r="C25" s="772" t="s">
        <v>47</v>
      </c>
      <c r="D25" s="646">
        <v>40000000</v>
      </c>
      <c r="E25" s="646">
        <v>40000000</v>
      </c>
      <c r="F25" s="646">
        <f>E25-D25</f>
        <v>0</v>
      </c>
      <c r="G25" s="844">
        <f t="shared" si="4"/>
        <v>0</v>
      </c>
      <c r="H25" s="519" t="s">
        <v>1024</v>
      </c>
    </row>
    <row r="26" spans="1:8" s="271" customFormat="1" ht="30" customHeight="1">
      <c r="A26" s="787" t="s">
        <v>231</v>
      </c>
      <c r="B26" s="1009" t="s">
        <v>228</v>
      </c>
      <c r="C26" s="1009"/>
      <c r="D26" s="646">
        <v>5266654</v>
      </c>
      <c r="E26" s="646">
        <f>E27</f>
        <v>6300000</v>
      </c>
      <c r="F26" s="646">
        <f>F27</f>
        <v>1033346</v>
      </c>
      <c r="G26" s="844">
        <f t="shared" si="4"/>
        <v>19.620540859528649</v>
      </c>
      <c r="H26" s="834"/>
    </row>
    <row r="27" spans="1:8" s="271" customFormat="1" ht="30" customHeight="1">
      <c r="A27" s="788"/>
      <c r="B27" s="772" t="s">
        <v>231</v>
      </c>
      <c r="C27" s="772" t="s">
        <v>229</v>
      </c>
      <c r="D27" s="646">
        <v>5266654</v>
      </c>
      <c r="E27" s="646">
        <f>SUM(E28:E29)</f>
        <v>6300000</v>
      </c>
      <c r="F27" s="646">
        <f>SUM(F28:F29)</f>
        <v>1033346</v>
      </c>
      <c r="G27" s="844">
        <f t="shared" si="4"/>
        <v>19.620540859528649</v>
      </c>
      <c r="H27" s="834"/>
    </row>
    <row r="28" spans="1:8" s="271" customFormat="1" ht="62.25" customHeight="1">
      <c r="A28" s="782"/>
      <c r="B28" s="786"/>
      <c r="C28" s="772" t="s">
        <v>232</v>
      </c>
      <c r="D28" s="646">
        <v>5266654</v>
      </c>
      <c r="E28" s="646">
        <v>6300000</v>
      </c>
      <c r="F28" s="646">
        <f>E28-D28</f>
        <v>1033346</v>
      </c>
      <c r="G28" s="844">
        <f t="shared" si="4"/>
        <v>19.620540859528649</v>
      </c>
      <c r="H28" s="519" t="s">
        <v>990</v>
      </c>
    </row>
    <row r="29" spans="1:8" s="271" customFormat="1" ht="30" customHeight="1">
      <c r="A29" s="789"/>
      <c r="B29" s="778"/>
      <c r="C29" s="772" t="s">
        <v>233</v>
      </c>
      <c r="D29" s="646">
        <v>0</v>
      </c>
      <c r="E29" s="646">
        <v>0</v>
      </c>
      <c r="F29" s="646">
        <f>E29-D29</f>
        <v>0</v>
      </c>
      <c r="G29" s="844">
        <v>0</v>
      </c>
      <c r="H29" s="834"/>
    </row>
    <row r="30" spans="1:8" s="624" customFormat="1" ht="30" customHeight="1">
      <c r="A30" s="787" t="s">
        <v>234</v>
      </c>
      <c r="B30" s="1009" t="s">
        <v>228</v>
      </c>
      <c r="C30" s="1009"/>
      <c r="D30" s="646">
        <v>46033346</v>
      </c>
      <c r="E30" s="646">
        <f>E31</f>
        <v>46100000</v>
      </c>
      <c r="F30" s="646">
        <f>F31</f>
        <v>66654</v>
      </c>
      <c r="G30" s="844">
        <f t="shared" si="4"/>
        <v>0.14479503618963521</v>
      </c>
      <c r="H30" s="837"/>
    </row>
    <row r="31" spans="1:8" s="624" customFormat="1" ht="30" customHeight="1">
      <c r="A31" s="788"/>
      <c r="B31" s="772" t="s">
        <v>234</v>
      </c>
      <c r="C31" s="772" t="s">
        <v>229</v>
      </c>
      <c r="D31" s="646">
        <v>46033346</v>
      </c>
      <c r="E31" s="646">
        <f>SUM(E32:E34)</f>
        <v>46100000</v>
      </c>
      <c r="F31" s="646">
        <f>SUM(F32:F34)</f>
        <v>66654</v>
      </c>
      <c r="G31" s="844">
        <f t="shared" si="4"/>
        <v>0.14479503618963521</v>
      </c>
      <c r="H31" s="837"/>
    </row>
    <row r="32" spans="1:8" s="627" customFormat="1" ht="30" customHeight="1">
      <c r="A32" s="782"/>
      <c r="B32" s="786"/>
      <c r="C32" s="772" t="s">
        <v>235</v>
      </c>
      <c r="D32" s="646">
        <v>500000</v>
      </c>
      <c r="E32" s="646">
        <v>500000</v>
      </c>
      <c r="F32" s="646">
        <f>E32-D32</f>
        <v>0</v>
      </c>
      <c r="G32" s="844">
        <f t="shared" si="4"/>
        <v>0</v>
      </c>
      <c r="H32" s="838"/>
    </row>
    <row r="33" spans="1:12" s="627" customFormat="1" ht="30" customHeight="1">
      <c r="A33" s="782"/>
      <c r="B33" s="773"/>
      <c r="C33" s="775" t="s">
        <v>236</v>
      </c>
      <c r="D33" s="646">
        <v>483346</v>
      </c>
      <c r="E33" s="646">
        <v>550000</v>
      </c>
      <c r="F33" s="646">
        <f>E33-D33</f>
        <v>66654</v>
      </c>
      <c r="G33" s="844">
        <f t="shared" si="4"/>
        <v>13.790121362336711</v>
      </c>
      <c r="H33" s="838"/>
    </row>
    <row r="34" spans="1:12" ht="30" customHeight="1">
      <c r="A34" s="790"/>
      <c r="B34" s="791"/>
      <c r="C34" s="792" t="s">
        <v>237</v>
      </c>
      <c r="D34" s="679">
        <v>45050000</v>
      </c>
      <c r="E34" s="679">
        <v>45050000</v>
      </c>
      <c r="F34" s="679">
        <f>E34-D34</f>
        <v>0</v>
      </c>
      <c r="G34" s="847">
        <f t="shared" si="4"/>
        <v>0</v>
      </c>
      <c r="H34" s="840" t="s">
        <v>911</v>
      </c>
      <c r="I34" s="271"/>
      <c r="J34" s="271"/>
      <c r="K34" s="271"/>
      <c r="L34" s="271"/>
    </row>
    <row r="35" spans="1:12" ht="23.25" customHeight="1">
      <c r="A35" s="841"/>
      <c r="B35" s="841"/>
      <c r="C35" s="841"/>
      <c r="D35" s="842"/>
      <c r="E35" s="841"/>
      <c r="F35" s="841"/>
      <c r="G35" s="841"/>
      <c r="H35" s="268"/>
      <c r="I35" s="271"/>
      <c r="J35" s="271"/>
      <c r="K35" s="271"/>
      <c r="L35" s="271"/>
    </row>
    <row r="36" spans="1:12">
      <c r="A36" s="516"/>
      <c r="B36" s="516"/>
      <c r="C36" s="516"/>
      <c r="D36" s="843"/>
      <c r="E36" s="516"/>
      <c r="F36" s="516"/>
      <c r="G36" s="516"/>
    </row>
    <row r="37" spans="1:12">
      <c r="A37" s="516"/>
      <c r="B37" s="516"/>
      <c r="C37" s="516"/>
      <c r="D37" s="843"/>
      <c r="E37" s="516"/>
      <c r="F37" s="516"/>
      <c r="G37" s="516"/>
    </row>
    <row r="38" spans="1:12">
      <c r="A38" s="516"/>
      <c r="B38" s="516"/>
      <c r="C38" s="516"/>
      <c r="D38" s="843"/>
      <c r="E38" s="516"/>
      <c r="F38" s="516"/>
      <c r="G38" s="516"/>
    </row>
    <row r="39" spans="1:12">
      <c r="A39" s="516"/>
      <c r="B39" s="516"/>
      <c r="C39" s="516"/>
      <c r="D39" s="843"/>
      <c r="E39" s="516"/>
      <c r="F39" s="516"/>
      <c r="G39" s="516"/>
    </row>
    <row r="40" spans="1:12">
      <c r="A40" s="516"/>
      <c r="B40" s="516"/>
      <c r="C40" s="516"/>
      <c r="D40" s="843"/>
      <c r="E40" s="516"/>
      <c r="F40" s="516"/>
      <c r="G40" s="516"/>
    </row>
    <row r="41" spans="1:12">
      <c r="A41" s="516"/>
      <c r="B41" s="516"/>
      <c r="C41" s="516"/>
      <c r="D41" s="843"/>
      <c r="E41" s="516"/>
      <c r="F41" s="516"/>
      <c r="G41" s="516"/>
    </row>
    <row r="42" spans="1:12">
      <c r="A42" s="516"/>
      <c r="B42" s="516"/>
      <c r="C42" s="516"/>
      <c r="D42" s="843"/>
      <c r="E42" s="516"/>
      <c r="F42" s="516"/>
      <c r="G42" s="516"/>
    </row>
    <row r="43" spans="1:12">
      <c r="A43" s="516"/>
      <c r="B43" s="516"/>
      <c r="C43" s="516"/>
      <c r="D43" s="843"/>
      <c r="E43" s="516"/>
      <c r="F43" s="516"/>
      <c r="G43" s="516"/>
    </row>
    <row r="44" spans="1:12">
      <c r="A44" s="516"/>
      <c r="B44" s="516"/>
      <c r="C44" s="516"/>
      <c r="D44" s="843"/>
      <c r="E44" s="516"/>
      <c r="F44" s="516"/>
      <c r="G44" s="516"/>
    </row>
    <row r="45" spans="1:12">
      <c r="A45" s="516"/>
      <c r="B45" s="516"/>
      <c r="C45" s="516"/>
      <c r="D45" s="843"/>
      <c r="E45" s="516"/>
      <c r="F45" s="516"/>
      <c r="G45" s="516"/>
    </row>
    <row r="46" spans="1:12">
      <c r="A46" s="516"/>
      <c r="B46" s="516"/>
      <c r="C46" s="516"/>
      <c r="D46" s="843"/>
      <c r="E46" s="516"/>
      <c r="F46" s="516"/>
      <c r="G46" s="516"/>
    </row>
    <row r="47" spans="1:12">
      <c r="A47" s="516"/>
      <c r="B47" s="516"/>
      <c r="C47" s="516"/>
      <c r="D47" s="843"/>
      <c r="E47" s="516"/>
      <c r="F47" s="516"/>
      <c r="G47" s="516"/>
    </row>
    <row r="48" spans="1:12">
      <c r="A48" s="516"/>
      <c r="B48" s="516"/>
      <c r="C48" s="516"/>
      <c r="D48" s="843"/>
      <c r="E48" s="516"/>
      <c r="F48" s="516"/>
      <c r="G48" s="516"/>
    </row>
    <row r="49" spans="1:7">
      <c r="A49" s="516"/>
      <c r="B49" s="516"/>
      <c r="C49" s="516"/>
      <c r="D49" s="843"/>
      <c r="E49" s="516"/>
      <c r="F49" s="516"/>
      <c r="G49" s="516"/>
    </row>
    <row r="50" spans="1:7">
      <c r="A50" s="516"/>
      <c r="B50" s="516"/>
      <c r="C50" s="516"/>
      <c r="D50" s="843"/>
      <c r="E50" s="516"/>
      <c r="F50" s="516"/>
      <c r="G50" s="516"/>
    </row>
    <row r="51" spans="1:7">
      <c r="A51" s="516"/>
      <c r="B51" s="516"/>
      <c r="C51" s="516"/>
      <c r="D51" s="843"/>
      <c r="E51" s="516"/>
      <c r="F51" s="516"/>
      <c r="G51" s="516"/>
    </row>
    <row r="52" spans="1:7">
      <c r="A52" s="516"/>
      <c r="B52" s="516"/>
      <c r="C52" s="516"/>
      <c r="D52" s="843"/>
      <c r="E52" s="516"/>
      <c r="F52" s="516"/>
      <c r="G52" s="516"/>
    </row>
    <row r="53" spans="1:7">
      <c r="A53" s="516"/>
      <c r="B53" s="516"/>
      <c r="C53" s="516"/>
      <c r="D53" s="843"/>
      <c r="E53" s="516"/>
      <c r="F53" s="516"/>
      <c r="G53" s="516"/>
    </row>
    <row r="54" spans="1:7">
      <c r="A54" s="516"/>
      <c r="B54" s="516"/>
      <c r="C54" s="516"/>
      <c r="D54" s="843"/>
      <c r="E54" s="516"/>
      <c r="F54" s="516"/>
      <c r="G54" s="516"/>
    </row>
    <row r="55" spans="1:7">
      <c r="A55" s="516"/>
      <c r="B55" s="516"/>
      <c r="C55" s="516"/>
      <c r="D55" s="843"/>
      <c r="E55" s="516"/>
      <c r="F55" s="516"/>
      <c r="G55" s="516"/>
    </row>
    <row r="56" spans="1:7">
      <c r="A56" s="516"/>
      <c r="B56" s="516"/>
      <c r="C56" s="516"/>
      <c r="D56" s="843"/>
      <c r="E56" s="516"/>
      <c r="F56" s="516"/>
      <c r="G56" s="516"/>
    </row>
    <row r="57" spans="1:7">
      <c r="A57" s="516"/>
      <c r="B57" s="516"/>
      <c r="C57" s="516"/>
      <c r="D57" s="843"/>
      <c r="E57" s="516"/>
      <c r="F57" s="516"/>
      <c r="G57" s="516"/>
    </row>
    <row r="58" spans="1:7">
      <c r="A58" s="516"/>
      <c r="B58" s="516"/>
      <c r="C58" s="516"/>
      <c r="D58" s="843"/>
      <c r="E58" s="516"/>
      <c r="F58" s="516"/>
      <c r="G58" s="516"/>
    </row>
    <row r="59" spans="1:7">
      <c r="A59" s="516"/>
      <c r="B59" s="516"/>
      <c r="C59" s="516"/>
      <c r="D59" s="843"/>
      <c r="E59" s="516"/>
      <c r="F59" s="516"/>
      <c r="G59" s="516"/>
    </row>
    <row r="60" spans="1:7">
      <c r="A60" s="516"/>
      <c r="B60" s="516"/>
      <c r="C60" s="516"/>
      <c r="D60" s="843"/>
      <c r="E60" s="516"/>
      <c r="F60" s="516"/>
      <c r="G60" s="516"/>
    </row>
    <row r="61" spans="1:7">
      <c r="A61" s="516"/>
      <c r="B61" s="516"/>
      <c r="C61" s="516"/>
      <c r="D61" s="843"/>
      <c r="E61" s="516"/>
      <c r="F61" s="516"/>
      <c r="G61" s="516"/>
    </row>
    <row r="62" spans="1:7">
      <c r="A62" s="516"/>
      <c r="B62" s="516"/>
      <c r="C62" s="516"/>
      <c r="D62" s="843"/>
      <c r="E62" s="516"/>
      <c r="F62" s="516"/>
      <c r="G62" s="516"/>
    </row>
    <row r="63" spans="1:7">
      <c r="A63" s="516"/>
      <c r="B63" s="516"/>
      <c r="C63" s="516"/>
      <c r="D63" s="843"/>
      <c r="E63" s="516"/>
      <c r="F63" s="516"/>
      <c r="G63" s="516"/>
    </row>
    <row r="64" spans="1:7">
      <c r="A64" s="516"/>
      <c r="B64" s="516"/>
      <c r="C64" s="516"/>
      <c r="D64" s="843"/>
      <c r="E64" s="516"/>
      <c r="F64" s="516"/>
      <c r="G64" s="516"/>
    </row>
    <row r="65" spans="1:7">
      <c r="A65" s="516"/>
      <c r="B65" s="516"/>
      <c r="C65" s="516"/>
      <c r="D65" s="843"/>
      <c r="E65" s="516"/>
      <c r="F65" s="516"/>
      <c r="G65" s="516"/>
    </row>
    <row r="66" spans="1:7">
      <c r="A66" s="516"/>
      <c r="B66" s="516"/>
      <c r="C66" s="516"/>
      <c r="D66" s="843"/>
      <c r="E66" s="516"/>
      <c r="F66" s="516"/>
      <c r="G66" s="516"/>
    </row>
    <row r="67" spans="1:7" hidden="1">
      <c r="A67" s="516"/>
      <c r="B67" s="516"/>
      <c r="C67" s="516"/>
      <c r="D67" s="843"/>
      <c r="E67" s="516">
        <v>0</v>
      </c>
      <c r="F67" s="516"/>
      <c r="G67" s="516"/>
    </row>
    <row r="68" spans="1:7">
      <c r="A68" s="516"/>
      <c r="B68" s="516"/>
      <c r="C68" s="516"/>
      <c r="D68" s="843"/>
      <c r="E68" s="516"/>
      <c r="F68" s="516"/>
      <c r="G68" s="516"/>
    </row>
    <row r="69" spans="1:7">
      <c r="A69" s="516"/>
      <c r="B69" s="516"/>
      <c r="C69" s="516"/>
      <c r="D69" s="843"/>
      <c r="E69" s="516"/>
      <c r="F69" s="516"/>
      <c r="G69" s="516"/>
    </row>
    <row r="70" spans="1:7">
      <c r="A70" s="516"/>
      <c r="B70" s="516"/>
      <c r="C70" s="516"/>
      <c r="D70" s="843"/>
      <c r="E70" s="516"/>
      <c r="F70" s="516"/>
      <c r="G70" s="516"/>
    </row>
    <row r="71" spans="1:7">
      <c r="A71" s="516"/>
      <c r="B71" s="516"/>
      <c r="C71" s="516"/>
      <c r="D71" s="843"/>
      <c r="E71" s="516"/>
      <c r="F71" s="516"/>
      <c r="G71" s="516"/>
    </row>
    <row r="72" spans="1:7">
      <c r="A72" s="516"/>
      <c r="B72" s="516"/>
      <c r="C72" s="516"/>
      <c r="D72" s="843"/>
      <c r="E72" s="516"/>
      <c r="F72" s="516"/>
      <c r="G72" s="516"/>
    </row>
    <row r="73" spans="1:7" hidden="1">
      <c r="A73" s="516"/>
      <c r="B73" s="516"/>
      <c r="C73" s="516"/>
      <c r="D73" s="843"/>
      <c r="E73" s="516"/>
      <c r="F73" s="516"/>
      <c r="G73" s="516"/>
    </row>
    <row r="74" spans="1:7">
      <c r="A74" s="516"/>
      <c r="B74" s="516"/>
      <c r="C74" s="516"/>
      <c r="D74" s="843"/>
      <c r="E74" s="516"/>
      <c r="F74" s="516"/>
      <c r="G74" s="516"/>
    </row>
    <row r="75" spans="1:7">
      <c r="A75" s="516"/>
      <c r="B75" s="516"/>
      <c r="C75" s="516"/>
      <c r="D75" s="843"/>
      <c r="E75" s="516"/>
      <c r="F75" s="516"/>
      <c r="G75" s="516"/>
    </row>
    <row r="76" spans="1:7">
      <c r="A76" s="516"/>
      <c r="B76" s="516"/>
      <c r="C76" s="516"/>
      <c r="D76" s="843"/>
      <c r="E76" s="516"/>
      <c r="F76" s="516"/>
      <c r="G76" s="516"/>
    </row>
    <row r="77" spans="1:7">
      <c r="A77" s="516"/>
      <c r="B77" s="516"/>
      <c r="C77" s="516"/>
      <c r="D77" s="843"/>
      <c r="E77" s="516"/>
      <c r="F77" s="516"/>
      <c r="G77" s="516"/>
    </row>
    <row r="78" spans="1:7">
      <c r="A78" s="516"/>
      <c r="B78" s="516"/>
      <c r="C78" s="516"/>
      <c r="D78" s="843"/>
      <c r="E78" s="516"/>
      <c r="F78" s="516"/>
      <c r="G78" s="516"/>
    </row>
  </sheetData>
  <mergeCells count="16">
    <mergeCell ref="H4:H5"/>
    <mergeCell ref="B13:C13"/>
    <mergeCell ref="A6:C6"/>
    <mergeCell ref="A4:C4"/>
    <mergeCell ref="D4:D5"/>
    <mergeCell ref="E4:E5"/>
    <mergeCell ref="B7:C7"/>
    <mergeCell ref="B10:C10"/>
    <mergeCell ref="F4:G4"/>
    <mergeCell ref="A1:C1"/>
    <mergeCell ref="B26:C26"/>
    <mergeCell ref="B30:C30"/>
    <mergeCell ref="B23:C23"/>
    <mergeCell ref="B16:C16"/>
    <mergeCell ref="A2:C2"/>
    <mergeCell ref="B19:C19"/>
  </mergeCells>
  <phoneticPr fontId="2" type="noConversion"/>
  <pageMargins left="0.39" right="0.42" top="0.83" bottom="0.23" header="0.54" footer="0.28999999999999998"/>
  <pageSetup paperSize="9" scale="72" orientation="portrait" horizontalDpi="4294967293" vertic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workbookViewId="0">
      <selection activeCell="J6" sqref="J6"/>
    </sheetView>
  </sheetViews>
  <sheetFormatPr defaultRowHeight="13.5"/>
  <cols>
    <col min="1" max="2" width="10.88671875" style="561" customWidth="1"/>
    <col min="3" max="3" width="13.6640625" style="561" customWidth="1"/>
    <col min="4" max="4" width="12.77734375" style="409" customWidth="1"/>
    <col min="5" max="6" width="12.77734375" style="561" customWidth="1"/>
    <col min="7" max="7" width="6.77734375" style="561" customWidth="1"/>
    <col min="8" max="8" width="36.109375" style="561" customWidth="1"/>
    <col min="9" max="9" width="11.5546875" style="409" customWidth="1"/>
    <col min="10" max="10" width="14.6640625" style="561" customWidth="1"/>
    <col min="11" max="11" width="5" style="561" customWidth="1"/>
    <col min="12" max="12" width="10.77734375" style="561" customWidth="1"/>
    <col min="13" max="16384" width="8.88671875" style="271"/>
  </cols>
  <sheetData>
    <row r="1" spans="1:10" s="496" customFormat="1" ht="22.5" customHeight="1">
      <c r="A1" s="1014" t="s">
        <v>709</v>
      </c>
      <c r="B1" s="1015"/>
      <c r="C1" s="1015"/>
      <c r="D1" s="492"/>
      <c r="E1" s="565"/>
      <c r="F1" s="494"/>
      <c r="G1" s="494"/>
    </row>
    <row r="2" spans="1:10" s="496" customFormat="1" ht="22.5" customHeight="1">
      <c r="A2" s="1016" t="s">
        <v>322</v>
      </c>
      <c r="B2" s="1016"/>
      <c r="C2" s="1016"/>
      <c r="D2" s="492"/>
      <c r="E2" s="565"/>
      <c r="F2" s="494"/>
      <c r="G2" s="494"/>
    </row>
    <row r="3" spans="1:10" s="496" customFormat="1" ht="22.5" customHeight="1">
      <c r="A3" s="828"/>
      <c r="B3" s="828"/>
      <c r="C3" s="494"/>
      <c r="D3" s="492"/>
      <c r="E3" s="494"/>
      <c r="F3" s="494"/>
      <c r="G3" s="494"/>
      <c r="H3" s="498" t="s">
        <v>285</v>
      </c>
    </row>
    <row r="4" spans="1:10" s="627" customFormat="1" ht="33.75" customHeight="1">
      <c r="A4" s="1012" t="s">
        <v>4</v>
      </c>
      <c r="B4" s="1013"/>
      <c r="C4" s="1013"/>
      <c r="D4" s="997" t="str">
        <f>'다-2.자부담세입'!D4:D5</f>
        <v>전년도예산
( A )</v>
      </c>
      <c r="E4" s="995" t="str">
        <f>'다-2.자부담세입'!E4:E5</f>
        <v>2020년예산
( B )</v>
      </c>
      <c r="F4" s="1019" t="s">
        <v>757</v>
      </c>
      <c r="G4" s="1019"/>
      <c r="H4" s="1007" t="s">
        <v>31</v>
      </c>
    </row>
    <row r="5" spans="1:10" s="627" customFormat="1" ht="33.75" customHeight="1" thickBot="1">
      <c r="A5" s="628" t="s">
        <v>1</v>
      </c>
      <c r="B5" s="629" t="s">
        <v>2</v>
      </c>
      <c r="C5" s="629" t="s">
        <v>3</v>
      </c>
      <c r="D5" s="998"/>
      <c r="E5" s="996"/>
      <c r="F5" s="756" t="s">
        <v>751</v>
      </c>
      <c r="G5" s="757" t="s">
        <v>758</v>
      </c>
      <c r="H5" s="1008"/>
    </row>
    <row r="6" spans="1:10" s="627" customFormat="1" ht="29.25" customHeight="1" thickTop="1">
      <c r="A6" s="1010" t="s">
        <v>286</v>
      </c>
      <c r="B6" s="1011"/>
      <c r="C6" s="1011"/>
      <c r="D6" s="634">
        <v>389800000</v>
      </c>
      <c r="E6" s="634">
        <f>E7+E10+E13+E16+E22+E26+E29+E33</f>
        <v>380700000</v>
      </c>
      <c r="F6" s="634">
        <f>F10+F22+F26+F29+F33+F13+F7+F16</f>
        <v>-9100000</v>
      </c>
      <c r="G6" s="829">
        <f>F6/D6*100</f>
        <v>-2.3345305284761415</v>
      </c>
      <c r="H6" s="830"/>
      <c r="J6" s="831">
        <f>E6-'라-3.후원금세출'!F6</f>
        <v>0</v>
      </c>
    </row>
    <row r="7" spans="1:10" s="271" customFormat="1" ht="29.25" customHeight="1">
      <c r="A7" s="787" t="s">
        <v>287</v>
      </c>
      <c r="B7" s="1009" t="s">
        <v>288</v>
      </c>
      <c r="C7" s="1009"/>
      <c r="D7" s="639">
        <v>0</v>
      </c>
      <c r="E7" s="639">
        <f t="shared" ref="E7:F8" si="0">E8</f>
        <v>0</v>
      </c>
      <c r="F7" s="639">
        <f t="shared" si="0"/>
        <v>0</v>
      </c>
      <c r="G7" s="832">
        <v>0</v>
      </c>
      <c r="H7" s="833"/>
    </row>
    <row r="8" spans="1:10" s="271" customFormat="1" ht="29.25" customHeight="1">
      <c r="A8" s="788"/>
      <c r="B8" s="772" t="s">
        <v>289</v>
      </c>
      <c r="C8" s="772" t="s">
        <v>290</v>
      </c>
      <c r="D8" s="646">
        <v>0</v>
      </c>
      <c r="E8" s="646">
        <f t="shared" si="0"/>
        <v>0</v>
      </c>
      <c r="F8" s="646">
        <f t="shared" si="0"/>
        <v>0</v>
      </c>
      <c r="G8" s="832">
        <v>0</v>
      </c>
      <c r="H8" s="834"/>
    </row>
    <row r="9" spans="1:10" s="271" customFormat="1" ht="29.25" customHeight="1">
      <c r="A9" s="789"/>
      <c r="B9" s="772"/>
      <c r="C9" s="772" t="s">
        <v>289</v>
      </c>
      <c r="D9" s="646">
        <v>0</v>
      </c>
      <c r="E9" s="646">
        <v>0</v>
      </c>
      <c r="F9" s="646">
        <f>E9-D9</f>
        <v>0</v>
      </c>
      <c r="G9" s="832">
        <v>0</v>
      </c>
      <c r="H9" s="834"/>
    </row>
    <row r="10" spans="1:10" s="271" customFormat="1" ht="29.25" customHeight="1">
      <c r="A10" s="787" t="s">
        <v>291</v>
      </c>
      <c r="B10" s="1009" t="s">
        <v>288</v>
      </c>
      <c r="C10" s="1009"/>
      <c r="D10" s="639">
        <v>0</v>
      </c>
      <c r="E10" s="639">
        <f t="shared" ref="E10:F11" si="1">E11</f>
        <v>0</v>
      </c>
      <c r="F10" s="639">
        <f t="shared" si="1"/>
        <v>0</v>
      </c>
      <c r="G10" s="832">
        <v>0</v>
      </c>
      <c r="H10" s="834"/>
    </row>
    <row r="11" spans="1:10" s="271" customFormat="1" ht="29.25" customHeight="1">
      <c r="A11" s="788"/>
      <c r="B11" s="772" t="s">
        <v>291</v>
      </c>
      <c r="C11" s="772" t="s">
        <v>290</v>
      </c>
      <c r="D11" s="639">
        <v>0</v>
      </c>
      <c r="E11" s="639">
        <f t="shared" si="1"/>
        <v>0</v>
      </c>
      <c r="F11" s="639">
        <f t="shared" si="1"/>
        <v>0</v>
      </c>
      <c r="G11" s="832">
        <v>0</v>
      </c>
      <c r="H11" s="834"/>
    </row>
    <row r="12" spans="1:10" s="271" customFormat="1" ht="29.25" customHeight="1">
      <c r="A12" s="789"/>
      <c r="B12" s="772"/>
      <c r="C12" s="772" t="s">
        <v>291</v>
      </c>
      <c r="D12" s="639">
        <v>0</v>
      </c>
      <c r="E12" s="639">
        <v>0</v>
      </c>
      <c r="F12" s="646">
        <f>E12-D12</f>
        <v>0</v>
      </c>
      <c r="G12" s="832">
        <v>0</v>
      </c>
      <c r="H12" s="834"/>
    </row>
    <row r="13" spans="1:10" s="271" customFormat="1" ht="29.25" customHeight="1">
      <c r="A13" s="787" t="s">
        <v>292</v>
      </c>
      <c r="B13" s="1009" t="s">
        <v>288</v>
      </c>
      <c r="C13" s="1009"/>
      <c r="D13" s="639">
        <v>0</v>
      </c>
      <c r="E13" s="639">
        <f t="shared" ref="E13:F14" si="2">E14</f>
        <v>0</v>
      </c>
      <c r="F13" s="639">
        <f t="shared" si="2"/>
        <v>0</v>
      </c>
      <c r="G13" s="832">
        <v>0</v>
      </c>
      <c r="H13" s="834"/>
    </row>
    <row r="14" spans="1:10" s="271" customFormat="1" ht="29.25" customHeight="1">
      <c r="A14" s="788"/>
      <c r="B14" s="772" t="s">
        <v>293</v>
      </c>
      <c r="C14" s="772" t="s">
        <v>290</v>
      </c>
      <c r="D14" s="639">
        <v>0</v>
      </c>
      <c r="E14" s="639">
        <f t="shared" si="2"/>
        <v>0</v>
      </c>
      <c r="F14" s="639">
        <f t="shared" si="2"/>
        <v>0</v>
      </c>
      <c r="G14" s="832">
        <v>0</v>
      </c>
      <c r="H14" s="834"/>
    </row>
    <row r="15" spans="1:10" s="271" customFormat="1" ht="29.25" customHeight="1">
      <c r="A15" s="789"/>
      <c r="B15" s="772"/>
      <c r="C15" s="772" t="s">
        <v>293</v>
      </c>
      <c r="D15" s="639">
        <v>0</v>
      </c>
      <c r="E15" s="639">
        <v>0</v>
      </c>
      <c r="F15" s="646">
        <f t="shared" ref="F15:F21" si="3">E15-D15</f>
        <v>0</v>
      </c>
      <c r="G15" s="832">
        <v>0</v>
      </c>
      <c r="H15" s="834"/>
    </row>
    <row r="16" spans="1:10" s="271" customFormat="1" ht="29.25" customHeight="1">
      <c r="A16" s="789" t="s">
        <v>331</v>
      </c>
      <c r="B16" s="1020" t="s">
        <v>162</v>
      </c>
      <c r="C16" s="1021"/>
      <c r="D16" s="639">
        <v>364200000</v>
      </c>
      <c r="E16" s="639">
        <f>E17+E20</f>
        <v>364200000</v>
      </c>
      <c r="F16" s="646">
        <f t="shared" si="3"/>
        <v>0</v>
      </c>
      <c r="G16" s="835">
        <f t="shared" ref="G16:G36" si="4">F16/D16*100</f>
        <v>0</v>
      </c>
      <c r="H16" s="834"/>
    </row>
    <row r="17" spans="1:8" s="271" customFormat="1" ht="29.25" customHeight="1">
      <c r="A17" s="788"/>
      <c r="B17" s="772" t="s">
        <v>332</v>
      </c>
      <c r="C17" s="772" t="s">
        <v>107</v>
      </c>
      <c r="D17" s="639">
        <v>364200000</v>
      </c>
      <c r="E17" s="639">
        <f>SUM(E18:E19)</f>
        <v>364200000</v>
      </c>
      <c r="F17" s="646">
        <f t="shared" si="3"/>
        <v>0</v>
      </c>
      <c r="G17" s="835">
        <f>F17/D17*100</f>
        <v>0</v>
      </c>
      <c r="H17" s="834"/>
    </row>
    <row r="18" spans="1:8" s="271" customFormat="1" ht="42" customHeight="1">
      <c r="A18" s="782"/>
      <c r="B18" s="786"/>
      <c r="C18" s="772" t="s">
        <v>333</v>
      </c>
      <c r="D18" s="639">
        <v>14200000</v>
      </c>
      <c r="E18" s="639">
        <f>12700000+1500000</f>
        <v>14200000</v>
      </c>
      <c r="F18" s="646">
        <f t="shared" si="3"/>
        <v>0</v>
      </c>
      <c r="G18" s="835">
        <f t="shared" si="4"/>
        <v>0</v>
      </c>
      <c r="H18" s="519" t="s">
        <v>933</v>
      </c>
    </row>
    <row r="19" spans="1:8" s="271" customFormat="1" ht="29.25" customHeight="1">
      <c r="A19" s="782"/>
      <c r="B19" s="778"/>
      <c r="C19" s="772" t="s">
        <v>334</v>
      </c>
      <c r="D19" s="639">
        <v>350000000</v>
      </c>
      <c r="E19" s="639">
        <v>350000000</v>
      </c>
      <c r="F19" s="646">
        <f t="shared" si="3"/>
        <v>0</v>
      </c>
      <c r="G19" s="835">
        <f t="shared" si="4"/>
        <v>0</v>
      </c>
      <c r="H19" s="836" t="s">
        <v>873</v>
      </c>
    </row>
    <row r="20" spans="1:8" s="271" customFormat="1" ht="29.25" hidden="1" customHeight="1">
      <c r="A20" s="782"/>
      <c r="B20" s="772"/>
      <c r="C20" s="772"/>
      <c r="D20" s="639"/>
      <c r="E20" s="639"/>
      <c r="F20" s="646">
        <f t="shared" si="3"/>
        <v>0</v>
      </c>
      <c r="G20" s="835" t="e">
        <f t="shared" si="4"/>
        <v>#DIV/0!</v>
      </c>
      <c r="H20" s="834"/>
    </row>
    <row r="21" spans="1:8" s="271" customFormat="1" ht="29.25" hidden="1" customHeight="1">
      <c r="A21" s="782"/>
      <c r="B21" s="786"/>
      <c r="C21" s="772"/>
      <c r="D21" s="639"/>
      <c r="E21" s="639"/>
      <c r="F21" s="646">
        <f t="shared" si="3"/>
        <v>0</v>
      </c>
      <c r="G21" s="835" t="e">
        <f t="shared" si="4"/>
        <v>#DIV/0!</v>
      </c>
      <c r="H21" s="834"/>
    </row>
    <row r="22" spans="1:8" s="271" customFormat="1" ht="29.25" customHeight="1">
      <c r="A22" s="787" t="s">
        <v>294</v>
      </c>
      <c r="B22" s="1009" t="s">
        <v>288</v>
      </c>
      <c r="C22" s="1009"/>
      <c r="D22" s="646">
        <v>0</v>
      </c>
      <c r="E22" s="646">
        <f>E23</f>
        <v>0</v>
      </c>
      <c r="F22" s="646">
        <f t="shared" ref="F22:F37" si="5">E22-D22</f>
        <v>0</v>
      </c>
      <c r="G22" s="835">
        <v>0</v>
      </c>
      <c r="H22" s="834"/>
    </row>
    <row r="23" spans="1:8" s="271" customFormat="1" ht="29.25" customHeight="1">
      <c r="A23" s="788"/>
      <c r="B23" s="772" t="s">
        <v>294</v>
      </c>
      <c r="C23" s="772" t="s">
        <v>290</v>
      </c>
      <c r="D23" s="646">
        <v>0</v>
      </c>
      <c r="E23" s="646">
        <f>SUM(E24:E25)</f>
        <v>0</v>
      </c>
      <c r="F23" s="646">
        <f t="shared" si="5"/>
        <v>0</v>
      </c>
      <c r="G23" s="835">
        <v>0</v>
      </c>
      <c r="H23" s="834"/>
    </row>
    <row r="24" spans="1:8" s="271" customFormat="1" ht="29.25" customHeight="1">
      <c r="A24" s="782"/>
      <c r="B24" s="786"/>
      <c r="C24" s="772" t="s">
        <v>295</v>
      </c>
      <c r="D24" s="646">
        <v>0</v>
      </c>
      <c r="E24" s="646">
        <v>0</v>
      </c>
      <c r="F24" s="646">
        <f t="shared" si="5"/>
        <v>0</v>
      </c>
      <c r="G24" s="835">
        <v>0</v>
      </c>
      <c r="H24" s="834"/>
    </row>
    <row r="25" spans="1:8" s="271" customFormat="1" ht="29.25" customHeight="1">
      <c r="A25" s="782"/>
      <c r="B25" s="773"/>
      <c r="C25" s="772" t="s">
        <v>296</v>
      </c>
      <c r="D25" s="646">
        <v>0</v>
      </c>
      <c r="E25" s="646">
        <v>0</v>
      </c>
      <c r="F25" s="646">
        <f t="shared" si="5"/>
        <v>0</v>
      </c>
      <c r="G25" s="835">
        <v>0</v>
      </c>
      <c r="H25" s="834"/>
    </row>
    <row r="26" spans="1:8" s="271" customFormat="1" ht="29.25" customHeight="1">
      <c r="A26" s="787" t="s">
        <v>297</v>
      </c>
      <c r="B26" s="1017" t="s">
        <v>288</v>
      </c>
      <c r="C26" s="1018"/>
      <c r="D26" s="646">
        <v>0</v>
      </c>
      <c r="E26" s="646">
        <f>E27</f>
        <v>0</v>
      </c>
      <c r="F26" s="646">
        <f t="shared" si="5"/>
        <v>0</v>
      </c>
      <c r="G26" s="835">
        <v>0</v>
      </c>
      <c r="H26" s="834"/>
    </row>
    <row r="27" spans="1:8" s="271" customFormat="1" ht="29.25" customHeight="1">
      <c r="A27" s="782"/>
      <c r="B27" s="772" t="s">
        <v>297</v>
      </c>
      <c r="C27" s="772" t="s">
        <v>290</v>
      </c>
      <c r="D27" s="646">
        <v>0</v>
      </c>
      <c r="E27" s="646">
        <f>E28</f>
        <v>0</v>
      </c>
      <c r="F27" s="646">
        <f t="shared" si="5"/>
        <v>0</v>
      </c>
      <c r="G27" s="835">
        <v>0</v>
      </c>
      <c r="H27" s="834"/>
    </row>
    <row r="28" spans="1:8" s="271" customFormat="1" ht="29.25" customHeight="1">
      <c r="A28" s="782"/>
      <c r="B28" s="772"/>
      <c r="C28" s="772" t="s">
        <v>298</v>
      </c>
      <c r="D28" s="646">
        <v>0</v>
      </c>
      <c r="E28" s="646">
        <v>0</v>
      </c>
      <c r="F28" s="646">
        <f t="shared" si="5"/>
        <v>0</v>
      </c>
      <c r="G28" s="835">
        <v>0</v>
      </c>
      <c r="H28" s="834"/>
    </row>
    <row r="29" spans="1:8" s="271" customFormat="1" ht="29.25" customHeight="1">
      <c r="A29" s="787" t="s">
        <v>299</v>
      </c>
      <c r="B29" s="1009" t="s">
        <v>288</v>
      </c>
      <c r="C29" s="1009"/>
      <c r="D29" s="646">
        <v>24987142</v>
      </c>
      <c r="E29" s="646">
        <f>E30</f>
        <v>15900000</v>
      </c>
      <c r="F29" s="646">
        <f t="shared" si="5"/>
        <v>-9087142</v>
      </c>
      <c r="G29" s="835">
        <f t="shared" si="4"/>
        <v>-36.367272415548761</v>
      </c>
      <c r="H29" s="834"/>
    </row>
    <row r="30" spans="1:8" s="271" customFormat="1" ht="29.25" customHeight="1">
      <c r="A30" s="788"/>
      <c r="B30" s="772" t="s">
        <v>299</v>
      </c>
      <c r="C30" s="772" t="s">
        <v>290</v>
      </c>
      <c r="D30" s="646">
        <v>24987142</v>
      </c>
      <c r="E30" s="646">
        <f>SUM(E31:E32)</f>
        <v>15900000</v>
      </c>
      <c r="F30" s="646">
        <f t="shared" si="5"/>
        <v>-9087142</v>
      </c>
      <c r="G30" s="835">
        <f t="shared" si="4"/>
        <v>-36.367272415548761</v>
      </c>
      <c r="H30" s="834"/>
    </row>
    <row r="31" spans="1:8" s="271" customFormat="1" ht="43.5" customHeight="1">
      <c r="A31" s="782"/>
      <c r="B31" s="786"/>
      <c r="C31" s="772" t="s">
        <v>300</v>
      </c>
      <c r="D31" s="646">
        <v>24987142</v>
      </c>
      <c r="E31" s="646">
        <v>15900000</v>
      </c>
      <c r="F31" s="646">
        <f t="shared" si="5"/>
        <v>-9087142</v>
      </c>
      <c r="G31" s="835">
        <f t="shared" si="4"/>
        <v>-36.367272415548761</v>
      </c>
      <c r="H31" s="519" t="s">
        <v>991</v>
      </c>
    </row>
    <row r="32" spans="1:8" s="271" customFormat="1" ht="28.5" customHeight="1">
      <c r="A32" s="789"/>
      <c r="B32" s="778"/>
      <c r="C32" s="772" t="s">
        <v>301</v>
      </c>
      <c r="D32" s="646">
        <v>0</v>
      </c>
      <c r="E32" s="646">
        <v>0</v>
      </c>
      <c r="F32" s="646">
        <f t="shared" si="5"/>
        <v>0</v>
      </c>
      <c r="G32" s="835">
        <v>0</v>
      </c>
      <c r="H32" s="834"/>
    </row>
    <row r="33" spans="1:12" s="624" customFormat="1" ht="28.5" customHeight="1">
      <c r="A33" s="787" t="s">
        <v>302</v>
      </c>
      <c r="B33" s="1009" t="s">
        <v>288</v>
      </c>
      <c r="C33" s="1009"/>
      <c r="D33" s="646">
        <v>612858</v>
      </c>
      <c r="E33" s="646">
        <f>E34</f>
        <v>600000</v>
      </c>
      <c r="F33" s="646">
        <f t="shared" si="5"/>
        <v>-12858</v>
      </c>
      <c r="G33" s="835">
        <f t="shared" si="4"/>
        <v>-2.0980390237216451</v>
      </c>
      <c r="H33" s="837"/>
    </row>
    <row r="34" spans="1:12" s="624" customFormat="1" ht="28.5" customHeight="1">
      <c r="A34" s="788"/>
      <c r="B34" s="772" t="s">
        <v>302</v>
      </c>
      <c r="C34" s="772" t="s">
        <v>290</v>
      </c>
      <c r="D34" s="646">
        <v>612858</v>
      </c>
      <c r="E34" s="646">
        <f>SUM(E35:E37)</f>
        <v>600000</v>
      </c>
      <c r="F34" s="646">
        <f t="shared" si="5"/>
        <v>-12858</v>
      </c>
      <c r="G34" s="835">
        <f t="shared" si="4"/>
        <v>-2.0980390237216451</v>
      </c>
      <c r="H34" s="837"/>
    </row>
    <row r="35" spans="1:12" s="627" customFormat="1" ht="28.5" customHeight="1">
      <c r="A35" s="782"/>
      <c r="B35" s="786"/>
      <c r="C35" s="772" t="s">
        <v>303</v>
      </c>
      <c r="D35" s="646">
        <v>0</v>
      </c>
      <c r="E35" s="646">
        <v>0</v>
      </c>
      <c r="F35" s="646">
        <f t="shared" si="5"/>
        <v>0</v>
      </c>
      <c r="G35" s="835">
        <v>0</v>
      </c>
      <c r="H35" s="838"/>
    </row>
    <row r="36" spans="1:12" s="627" customFormat="1" ht="28.5" customHeight="1">
      <c r="A36" s="782"/>
      <c r="B36" s="773"/>
      <c r="C36" s="772" t="s">
        <v>49</v>
      </c>
      <c r="D36" s="646">
        <v>612858</v>
      </c>
      <c r="E36" s="646">
        <v>600000</v>
      </c>
      <c r="F36" s="646">
        <f t="shared" si="5"/>
        <v>-12858</v>
      </c>
      <c r="G36" s="835">
        <f t="shared" si="4"/>
        <v>-2.0980390237216451</v>
      </c>
      <c r="H36" s="838"/>
    </row>
    <row r="37" spans="1:12" ht="28.5" customHeight="1">
      <c r="A37" s="790"/>
      <c r="B37" s="791"/>
      <c r="C37" s="792" t="s">
        <v>304</v>
      </c>
      <c r="D37" s="679">
        <v>0</v>
      </c>
      <c r="E37" s="679">
        <v>0</v>
      </c>
      <c r="F37" s="679">
        <f t="shared" si="5"/>
        <v>0</v>
      </c>
      <c r="G37" s="839">
        <v>0</v>
      </c>
      <c r="H37" s="840"/>
      <c r="I37" s="271"/>
      <c r="J37" s="271"/>
      <c r="K37" s="271"/>
      <c r="L37" s="271"/>
    </row>
    <row r="38" spans="1:12" ht="23.25" customHeight="1">
      <c r="A38" s="841"/>
      <c r="B38" s="841"/>
      <c r="C38" s="841"/>
      <c r="D38" s="842"/>
      <c r="E38" s="841"/>
      <c r="F38" s="841"/>
      <c r="G38" s="841"/>
      <c r="H38" s="268"/>
      <c r="I38" s="271"/>
      <c r="J38" s="271"/>
      <c r="K38" s="271"/>
      <c r="L38" s="271"/>
    </row>
    <row r="39" spans="1:12">
      <c r="A39" s="516"/>
      <c r="B39" s="516"/>
      <c r="C39" s="516"/>
      <c r="D39" s="843"/>
      <c r="E39" s="516"/>
      <c r="F39" s="516"/>
      <c r="G39" s="516"/>
    </row>
    <row r="40" spans="1:12">
      <c r="A40" s="516"/>
      <c r="B40" s="516"/>
      <c r="C40" s="516"/>
      <c r="D40" s="843"/>
      <c r="E40" s="516"/>
      <c r="F40" s="516"/>
      <c r="G40" s="516"/>
    </row>
    <row r="41" spans="1:12">
      <c r="A41" s="516"/>
      <c r="B41" s="516"/>
      <c r="C41" s="516"/>
      <c r="D41" s="843"/>
      <c r="E41" s="516"/>
      <c r="F41" s="516"/>
      <c r="G41" s="516"/>
    </row>
    <row r="42" spans="1:12">
      <c r="A42" s="516"/>
      <c r="B42" s="516"/>
      <c r="C42" s="516"/>
      <c r="D42" s="843"/>
      <c r="E42" s="516"/>
      <c r="F42" s="516"/>
      <c r="G42" s="516"/>
    </row>
    <row r="43" spans="1:12">
      <c r="A43" s="516"/>
      <c r="B43" s="516"/>
      <c r="C43" s="516"/>
      <c r="D43" s="843"/>
      <c r="E43" s="516"/>
      <c r="F43" s="516"/>
      <c r="G43" s="516"/>
    </row>
    <row r="44" spans="1:12">
      <c r="A44" s="516"/>
      <c r="B44" s="516"/>
      <c r="C44" s="516"/>
      <c r="D44" s="843"/>
      <c r="E44" s="516"/>
      <c r="F44" s="516"/>
      <c r="G44" s="516"/>
    </row>
    <row r="45" spans="1:12">
      <c r="A45" s="516"/>
      <c r="B45" s="516"/>
      <c r="C45" s="516"/>
      <c r="D45" s="843"/>
      <c r="E45" s="516"/>
      <c r="F45" s="516"/>
      <c r="G45" s="516"/>
    </row>
    <row r="46" spans="1:12">
      <c r="A46" s="516"/>
      <c r="B46" s="516"/>
      <c r="C46" s="516"/>
      <c r="D46" s="843"/>
      <c r="E46" s="516"/>
      <c r="F46" s="516"/>
      <c r="G46" s="516"/>
    </row>
    <row r="47" spans="1:12">
      <c r="A47" s="516"/>
      <c r="B47" s="516"/>
      <c r="C47" s="516"/>
      <c r="D47" s="843"/>
      <c r="E47" s="516"/>
      <c r="F47" s="516"/>
      <c r="G47" s="516"/>
    </row>
    <row r="48" spans="1:12">
      <c r="A48" s="516"/>
      <c r="B48" s="516"/>
      <c r="C48" s="516"/>
      <c r="D48" s="843"/>
      <c r="E48" s="516"/>
      <c r="F48" s="516"/>
      <c r="G48" s="516"/>
    </row>
    <row r="49" spans="1:7">
      <c r="A49" s="516"/>
      <c r="B49" s="516"/>
      <c r="C49" s="516"/>
      <c r="D49" s="843"/>
      <c r="E49" s="516"/>
      <c r="F49" s="516"/>
      <c r="G49" s="516"/>
    </row>
    <row r="50" spans="1:7">
      <c r="A50" s="516"/>
      <c r="B50" s="516"/>
      <c r="C50" s="516"/>
      <c r="D50" s="843"/>
      <c r="E50" s="516"/>
      <c r="F50" s="516"/>
      <c r="G50" s="516"/>
    </row>
    <row r="51" spans="1:7">
      <c r="A51" s="516"/>
      <c r="B51" s="516"/>
      <c r="C51" s="516"/>
      <c r="D51" s="843"/>
      <c r="E51" s="516"/>
      <c r="F51" s="516"/>
      <c r="G51" s="516"/>
    </row>
    <row r="52" spans="1:7">
      <c r="A52" s="516"/>
      <c r="B52" s="516"/>
      <c r="C52" s="516"/>
      <c r="D52" s="843"/>
      <c r="E52" s="516"/>
      <c r="F52" s="516"/>
      <c r="G52" s="516"/>
    </row>
    <row r="53" spans="1:7">
      <c r="A53" s="516"/>
      <c r="B53" s="516"/>
      <c r="C53" s="516"/>
      <c r="D53" s="843"/>
      <c r="E53" s="516"/>
      <c r="F53" s="516"/>
      <c r="G53" s="516"/>
    </row>
    <row r="54" spans="1:7">
      <c r="A54" s="516"/>
      <c r="B54" s="516"/>
      <c r="C54" s="516"/>
      <c r="D54" s="843"/>
      <c r="E54" s="516"/>
      <c r="F54" s="516"/>
      <c r="G54" s="516"/>
    </row>
    <row r="55" spans="1:7">
      <c r="A55" s="516"/>
      <c r="B55" s="516"/>
      <c r="C55" s="516"/>
      <c r="D55" s="843"/>
      <c r="E55" s="516"/>
      <c r="F55" s="516"/>
      <c r="G55" s="516"/>
    </row>
    <row r="56" spans="1:7">
      <c r="A56" s="516"/>
      <c r="B56" s="516"/>
      <c r="C56" s="516"/>
      <c r="D56" s="843"/>
      <c r="E56" s="516"/>
      <c r="F56" s="516"/>
      <c r="G56" s="516"/>
    </row>
    <row r="57" spans="1:7">
      <c r="A57" s="516"/>
      <c r="B57" s="516"/>
      <c r="C57" s="516"/>
      <c r="D57" s="843"/>
      <c r="E57" s="516"/>
      <c r="F57" s="516"/>
      <c r="G57" s="516"/>
    </row>
    <row r="58" spans="1:7">
      <c r="A58" s="516"/>
      <c r="B58" s="516"/>
      <c r="C58" s="516"/>
      <c r="D58" s="843"/>
      <c r="E58" s="516"/>
      <c r="F58" s="516"/>
      <c r="G58" s="516"/>
    </row>
    <row r="59" spans="1:7">
      <c r="A59" s="516"/>
      <c r="B59" s="516"/>
      <c r="C59" s="516"/>
      <c r="D59" s="843"/>
      <c r="E59" s="516"/>
      <c r="F59" s="516"/>
      <c r="G59" s="516"/>
    </row>
    <row r="60" spans="1:7">
      <c r="A60" s="516"/>
      <c r="B60" s="516"/>
      <c r="C60" s="516"/>
      <c r="D60" s="843"/>
      <c r="E60" s="516"/>
      <c r="F60" s="516"/>
      <c r="G60" s="516"/>
    </row>
    <row r="61" spans="1:7">
      <c r="A61" s="516"/>
      <c r="B61" s="516"/>
      <c r="C61" s="516"/>
      <c r="D61" s="843"/>
      <c r="E61" s="516"/>
      <c r="F61" s="516"/>
      <c r="G61" s="516"/>
    </row>
    <row r="62" spans="1:7">
      <c r="A62" s="516"/>
      <c r="B62" s="516"/>
      <c r="C62" s="516"/>
      <c r="D62" s="843"/>
      <c r="E62" s="516"/>
      <c r="F62" s="516"/>
      <c r="G62" s="516"/>
    </row>
    <row r="63" spans="1:7">
      <c r="A63" s="516"/>
      <c r="B63" s="516"/>
      <c r="C63" s="516"/>
      <c r="D63" s="843"/>
      <c r="E63" s="516"/>
      <c r="F63" s="516"/>
      <c r="G63" s="516"/>
    </row>
    <row r="64" spans="1:7">
      <c r="A64" s="516"/>
      <c r="B64" s="516"/>
      <c r="C64" s="516"/>
      <c r="D64" s="843"/>
      <c r="E64" s="516"/>
      <c r="F64" s="516"/>
      <c r="G64" s="516"/>
    </row>
    <row r="65" spans="1:7">
      <c r="A65" s="516"/>
      <c r="B65" s="516"/>
      <c r="C65" s="516"/>
      <c r="D65" s="843"/>
      <c r="E65" s="516"/>
      <c r="F65" s="516"/>
      <c r="G65" s="516"/>
    </row>
    <row r="66" spans="1:7">
      <c r="A66" s="516"/>
      <c r="B66" s="516"/>
      <c r="C66" s="516"/>
      <c r="D66" s="843"/>
      <c r="E66" s="516"/>
      <c r="F66" s="516"/>
      <c r="G66" s="516"/>
    </row>
    <row r="67" spans="1:7" hidden="1">
      <c r="A67" s="516"/>
      <c r="B67" s="516"/>
      <c r="C67" s="516"/>
      <c r="D67" s="843"/>
      <c r="E67" s="516">
        <v>0</v>
      </c>
      <c r="F67" s="516"/>
      <c r="G67" s="516"/>
    </row>
    <row r="68" spans="1:7">
      <c r="A68" s="516"/>
      <c r="B68" s="516"/>
      <c r="C68" s="516"/>
      <c r="D68" s="843"/>
      <c r="E68" s="516"/>
      <c r="F68" s="516"/>
      <c r="G68" s="516"/>
    </row>
    <row r="69" spans="1:7">
      <c r="A69" s="516"/>
      <c r="B69" s="516"/>
      <c r="C69" s="516"/>
      <c r="D69" s="843"/>
      <c r="E69" s="516"/>
      <c r="F69" s="516"/>
      <c r="G69" s="516"/>
    </row>
    <row r="70" spans="1:7">
      <c r="A70" s="516"/>
      <c r="B70" s="516"/>
      <c r="C70" s="516"/>
      <c r="D70" s="843"/>
      <c r="E70" s="516"/>
      <c r="F70" s="516"/>
      <c r="G70" s="516"/>
    </row>
    <row r="71" spans="1:7">
      <c r="A71" s="516"/>
      <c r="B71" s="516"/>
      <c r="C71" s="516"/>
      <c r="D71" s="843"/>
      <c r="E71" s="516"/>
      <c r="F71" s="516"/>
      <c r="G71" s="516"/>
    </row>
    <row r="72" spans="1:7">
      <c r="A72" s="516"/>
      <c r="B72" s="516"/>
      <c r="C72" s="516"/>
      <c r="D72" s="843"/>
      <c r="E72" s="516"/>
      <c r="F72" s="516"/>
      <c r="G72" s="516"/>
    </row>
    <row r="73" spans="1:7" hidden="1">
      <c r="A73" s="516"/>
      <c r="B73" s="516"/>
      <c r="C73" s="516"/>
      <c r="D73" s="843"/>
      <c r="E73" s="516"/>
      <c r="F73" s="516"/>
      <c r="G73" s="516"/>
    </row>
    <row r="74" spans="1:7">
      <c r="A74" s="516"/>
      <c r="B74" s="516"/>
      <c r="C74" s="516"/>
      <c r="D74" s="843"/>
      <c r="E74" s="516"/>
      <c r="F74" s="516"/>
      <c r="G74" s="516"/>
    </row>
    <row r="75" spans="1:7">
      <c r="A75" s="516"/>
      <c r="B75" s="516"/>
      <c r="C75" s="516"/>
      <c r="D75" s="843"/>
      <c r="E75" s="516"/>
      <c r="F75" s="516"/>
      <c r="G75" s="516"/>
    </row>
    <row r="76" spans="1:7">
      <c r="A76" s="516"/>
      <c r="B76" s="516"/>
      <c r="C76" s="516"/>
      <c r="D76" s="843"/>
      <c r="E76" s="516"/>
      <c r="F76" s="516"/>
      <c r="G76" s="516"/>
    </row>
    <row r="77" spans="1:7">
      <c r="A77" s="516"/>
      <c r="B77" s="516"/>
      <c r="C77" s="516"/>
      <c r="D77" s="843"/>
      <c r="E77" s="516"/>
      <c r="F77" s="516"/>
      <c r="G77" s="516"/>
    </row>
    <row r="78" spans="1:7">
      <c r="A78" s="516"/>
      <c r="B78" s="516"/>
      <c r="C78" s="516"/>
      <c r="D78" s="843"/>
      <c r="E78" s="516"/>
      <c r="F78" s="516"/>
      <c r="G78" s="516"/>
    </row>
    <row r="79" spans="1:7">
      <c r="A79" s="516"/>
      <c r="B79" s="516"/>
      <c r="C79" s="516"/>
      <c r="D79" s="843"/>
      <c r="E79" s="516"/>
      <c r="F79" s="516"/>
      <c r="G79" s="516"/>
    </row>
    <row r="80" spans="1:7">
      <c r="A80" s="516"/>
      <c r="B80" s="516"/>
      <c r="C80" s="516"/>
      <c r="D80" s="843"/>
      <c r="E80" s="516"/>
      <c r="F80" s="516"/>
      <c r="G80" s="516"/>
    </row>
    <row r="81" spans="1:7">
      <c r="A81" s="516"/>
      <c r="B81" s="516"/>
      <c r="C81" s="516"/>
      <c r="D81" s="843"/>
      <c r="E81" s="516"/>
      <c r="F81" s="516"/>
      <c r="G81" s="516"/>
    </row>
  </sheetData>
  <mergeCells count="16">
    <mergeCell ref="A1:C1"/>
    <mergeCell ref="B26:C26"/>
    <mergeCell ref="B13:C13"/>
    <mergeCell ref="A2:C2"/>
    <mergeCell ref="B22:C22"/>
    <mergeCell ref="B7:C7"/>
    <mergeCell ref="B16:C16"/>
    <mergeCell ref="B29:C29"/>
    <mergeCell ref="B33:C33"/>
    <mergeCell ref="H4:H5"/>
    <mergeCell ref="B10:C10"/>
    <mergeCell ref="A6:C6"/>
    <mergeCell ref="A4:C4"/>
    <mergeCell ref="D4:D5"/>
    <mergeCell ref="E4:E5"/>
    <mergeCell ref="F4:G4"/>
  </mergeCells>
  <phoneticPr fontId="2" type="noConversion"/>
  <pageMargins left="0.3" right="0.16" top="0.5" bottom="0.13" header="0.18" footer="0.13"/>
  <pageSetup paperSize="9" scale="69" orientation="portrait" horizontalDpi="4294967293" vertic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K232"/>
  <sheetViews>
    <sheetView zoomScaleNormal="100" workbookViewId="0">
      <selection activeCell="F58" sqref="F58"/>
    </sheetView>
  </sheetViews>
  <sheetFormatPr defaultRowHeight="13.5"/>
  <cols>
    <col min="1" max="1" width="5.44140625" style="804" customWidth="1"/>
    <col min="2" max="2" width="7" style="561" customWidth="1"/>
    <col min="3" max="3" width="8.88671875" style="804" customWidth="1"/>
    <col min="4" max="4" width="8.77734375" style="804" customWidth="1"/>
    <col min="5" max="5" width="11.44140625" style="805" customWidth="1"/>
    <col min="6" max="6" width="11.6640625" style="804" customWidth="1"/>
    <col min="7" max="7" width="11.44140625" style="806" customWidth="1"/>
    <col min="8" max="8" width="5.77734375" style="804" customWidth="1"/>
    <col min="9" max="9" width="10.6640625" style="804" bestFit="1" customWidth="1"/>
    <col min="10" max="10" width="1.44140625" style="807" customWidth="1"/>
    <col min="11" max="11" width="2" style="807" customWidth="1"/>
    <col min="12" max="12" width="2.21875" style="807" customWidth="1"/>
    <col min="13" max="13" width="1.44140625" style="807" customWidth="1"/>
    <col min="14" max="14" width="2.5546875" style="807" customWidth="1"/>
    <col min="15" max="16" width="1.6640625" style="807" customWidth="1"/>
    <col min="17" max="17" width="8.21875" style="808" customWidth="1"/>
    <col min="18" max="18" width="3.21875" style="807" customWidth="1"/>
    <col min="19" max="19" width="8.88671875" style="804" hidden="1" customWidth="1"/>
    <col min="20" max="20" width="11.5546875" style="809" hidden="1" customWidth="1"/>
    <col min="21" max="21" width="12.5546875" style="804" hidden="1" customWidth="1"/>
    <col min="22" max="22" width="13.6640625" style="804" hidden="1" customWidth="1"/>
    <col min="23" max="23" width="10.44140625" style="804" hidden="1" customWidth="1"/>
    <col min="24" max="24" width="11.44140625" style="804" hidden="1" customWidth="1"/>
    <col min="25" max="25" width="16.77734375" style="804" hidden="1" customWidth="1"/>
    <col min="26" max="26" width="19" style="804" hidden="1" customWidth="1"/>
    <col min="27" max="37" width="8.88671875" style="804"/>
    <col min="38" max="16384" width="8.88671875" style="271"/>
  </cols>
  <sheetData>
    <row r="1" spans="1:37" s="496" customFormat="1" ht="22.5" customHeight="1">
      <c r="A1" s="615" t="s">
        <v>710</v>
      </c>
      <c r="B1" s="615"/>
      <c r="C1" s="743"/>
      <c r="D1" s="744"/>
      <c r="G1" s="745"/>
      <c r="T1" s="746"/>
    </row>
    <row r="2" spans="1:37" s="499" customFormat="1" ht="16.5" customHeight="1">
      <c r="A2" s="1016" t="s">
        <v>61</v>
      </c>
      <c r="B2" s="1016"/>
      <c r="C2" s="1016"/>
      <c r="D2" s="1016"/>
      <c r="E2" s="747"/>
      <c r="F2" s="748"/>
      <c r="G2" s="749"/>
      <c r="H2" s="748"/>
      <c r="I2" s="748"/>
      <c r="J2" s="750"/>
      <c r="K2" s="750"/>
      <c r="L2" s="750"/>
      <c r="M2" s="750"/>
      <c r="N2" s="750"/>
      <c r="O2" s="750"/>
      <c r="P2" s="750"/>
      <c r="Q2" s="751"/>
      <c r="R2" s="750"/>
      <c r="S2" s="748"/>
      <c r="U2" s="748"/>
      <c r="V2" s="748"/>
      <c r="W2" s="748"/>
      <c r="X2" s="748"/>
      <c r="Y2" s="748"/>
      <c r="Z2" s="748"/>
      <c r="AA2" s="748"/>
      <c r="AB2" s="748"/>
      <c r="AC2" s="748"/>
      <c r="AD2" s="748"/>
      <c r="AE2" s="748"/>
      <c r="AF2" s="748"/>
      <c r="AG2" s="748"/>
      <c r="AH2" s="748"/>
      <c r="AI2" s="748"/>
      <c r="AJ2" s="748"/>
      <c r="AK2" s="748"/>
    </row>
    <row r="3" spans="1:37" s="624" customFormat="1" ht="19.5" customHeight="1">
      <c r="A3" s="748"/>
      <c r="B3" s="494"/>
      <c r="C3" s="748"/>
      <c r="D3" s="748"/>
      <c r="E3" s="747"/>
      <c r="F3" s="748"/>
      <c r="G3" s="749"/>
      <c r="H3" s="748"/>
      <c r="I3" s="748"/>
      <c r="J3" s="750"/>
      <c r="K3" s="750"/>
      <c r="L3" s="750"/>
      <c r="M3" s="750"/>
      <c r="N3" s="750"/>
      <c r="O3" s="750"/>
      <c r="P3" s="750"/>
      <c r="Q3" s="1066" t="s">
        <v>0</v>
      </c>
      <c r="R3" s="1066"/>
      <c r="S3" s="748"/>
      <c r="T3" s="753"/>
      <c r="U3" s="748"/>
      <c r="V3" s="748"/>
      <c r="W3" s="748"/>
      <c r="X3" s="748"/>
      <c r="Y3" s="748"/>
      <c r="Z3" s="748"/>
      <c r="AA3" s="748"/>
      <c r="AB3" s="748"/>
      <c r="AC3" s="748"/>
      <c r="AD3" s="748"/>
      <c r="AE3" s="748"/>
      <c r="AF3" s="748"/>
      <c r="AG3" s="748"/>
      <c r="AH3" s="748"/>
      <c r="AI3" s="748"/>
      <c r="AJ3" s="748"/>
      <c r="AK3" s="748"/>
    </row>
    <row r="4" spans="1:37" s="500" customFormat="1" ht="23.25" customHeight="1">
      <c r="A4" s="1049" t="s">
        <v>4</v>
      </c>
      <c r="B4" s="1050"/>
      <c r="C4" s="1050"/>
      <c r="D4" s="1051"/>
      <c r="E4" s="997" t="str">
        <f>'다-3.후원금세입'!D4:D5</f>
        <v>전년도예산
( A )</v>
      </c>
      <c r="F4" s="995" t="str">
        <f>'다-3.후원금세입'!E4:E5</f>
        <v>2020년예산
( B )</v>
      </c>
      <c r="G4" s="1019" t="s">
        <v>757</v>
      </c>
      <c r="H4" s="1019"/>
      <c r="I4" s="1052" t="s">
        <v>62</v>
      </c>
      <c r="J4" s="1053"/>
      <c r="K4" s="1053"/>
      <c r="L4" s="1053"/>
      <c r="M4" s="1053"/>
      <c r="N4" s="1053"/>
      <c r="O4" s="1053"/>
      <c r="P4" s="1053"/>
      <c r="Q4" s="1053"/>
      <c r="R4" s="1054"/>
      <c r="T4" s="754"/>
    </row>
    <row r="5" spans="1:37" s="500" customFormat="1" ht="22.5" customHeight="1" thickBot="1">
      <c r="A5" s="628" t="s">
        <v>1</v>
      </c>
      <c r="B5" s="755" t="s">
        <v>2</v>
      </c>
      <c r="C5" s="629" t="s">
        <v>3</v>
      </c>
      <c r="D5" s="629" t="s">
        <v>108</v>
      </c>
      <c r="E5" s="998"/>
      <c r="F5" s="996"/>
      <c r="G5" s="756" t="s">
        <v>751</v>
      </c>
      <c r="H5" s="757" t="s">
        <v>752</v>
      </c>
      <c r="I5" s="1055"/>
      <c r="J5" s="1056"/>
      <c r="K5" s="1056"/>
      <c r="L5" s="1056"/>
      <c r="M5" s="1056"/>
      <c r="N5" s="1056"/>
      <c r="O5" s="1056"/>
      <c r="P5" s="1056"/>
      <c r="Q5" s="1056"/>
      <c r="R5" s="1057"/>
      <c r="T5" s="758"/>
      <c r="U5" s="759"/>
    </row>
    <row r="6" spans="1:37" s="492" customFormat="1" ht="29.25" customHeight="1" thickTop="1">
      <c r="A6" s="1010" t="s">
        <v>39</v>
      </c>
      <c r="B6" s="1048"/>
      <c r="C6" s="1048"/>
      <c r="D6" s="760"/>
      <c r="E6" s="633">
        <v>2491240000</v>
      </c>
      <c r="F6" s="633">
        <f>F7+F36+F41+F56+F59</f>
        <v>2415800000</v>
      </c>
      <c r="G6" s="761">
        <f t="shared" ref="G6:G13" si="0">F6-E6</f>
        <v>-75440000</v>
      </c>
      <c r="H6" s="762">
        <f t="shared" ref="H6:H52" si="1">G6/E6*100</f>
        <v>-3.0282108508212775</v>
      </c>
      <c r="I6" s="1063" t="s">
        <v>922</v>
      </c>
      <c r="J6" s="1064"/>
      <c r="K6" s="1064"/>
      <c r="L6" s="1064"/>
      <c r="M6" s="1064"/>
      <c r="N6" s="1064"/>
      <c r="O6" s="1064"/>
      <c r="P6" s="1064"/>
      <c r="Q6" s="1064"/>
      <c r="R6" s="1065"/>
      <c r="T6" s="763">
        <f>(67920000)+(31750000)</f>
        <v>99670000</v>
      </c>
      <c r="U6" s="764"/>
    </row>
    <row r="7" spans="1:37" s="561" customFormat="1" ht="21.75" customHeight="1">
      <c r="A7" s="787" t="s">
        <v>9</v>
      </c>
      <c r="B7" s="1060" t="s">
        <v>28</v>
      </c>
      <c r="C7" s="1061"/>
      <c r="D7" s="768"/>
      <c r="E7" s="638">
        <v>2212619880</v>
      </c>
      <c r="F7" s="638">
        <f>F8+F22+F26</f>
        <v>2212619880</v>
      </c>
      <c r="G7" s="639">
        <f t="shared" si="0"/>
        <v>0</v>
      </c>
      <c r="H7" s="810">
        <f t="shared" si="1"/>
        <v>0</v>
      </c>
      <c r="I7" s="1058" t="s">
        <v>406</v>
      </c>
      <c r="J7" s="1059"/>
      <c r="K7" s="1059"/>
      <c r="L7" s="1059"/>
      <c r="M7" s="1059"/>
      <c r="N7" s="1059"/>
      <c r="O7" s="1059"/>
      <c r="P7" s="1059"/>
      <c r="Q7" s="811">
        <v>99670000</v>
      </c>
      <c r="R7" s="812" t="s">
        <v>34</v>
      </c>
      <c r="T7" s="655">
        <f>SUM(F22,F27,F28,F29,F31,F32,F33,F34,F37,F48,F49,F51)</f>
        <v>99670000</v>
      </c>
    </row>
    <row r="8" spans="1:37" s="561" customFormat="1" ht="21.75" customHeight="1">
      <c r="A8" s="788"/>
      <c r="B8" s="766" t="s">
        <v>105</v>
      </c>
      <c r="C8" s="772" t="s">
        <v>6</v>
      </c>
      <c r="D8" s="772"/>
      <c r="E8" s="645">
        <v>2153919880</v>
      </c>
      <c r="F8" s="645">
        <f>F9+F10+F16+F21+F15</f>
        <v>2153919880</v>
      </c>
      <c r="G8" s="639">
        <f t="shared" si="0"/>
        <v>0</v>
      </c>
      <c r="H8" s="769">
        <f t="shared" si="1"/>
        <v>0</v>
      </c>
      <c r="I8" s="1036"/>
      <c r="J8" s="1037"/>
      <c r="K8" s="1037"/>
      <c r="L8" s="1037"/>
      <c r="M8" s="1037"/>
      <c r="N8" s="1037"/>
      <c r="O8" s="1037"/>
      <c r="P8" s="1037"/>
      <c r="Q8" s="1037"/>
      <c r="R8" s="1038"/>
      <c r="T8" s="655">
        <f>T6-T7</f>
        <v>0</v>
      </c>
    </row>
    <row r="9" spans="1:37" s="561" customFormat="1" ht="21.75" customHeight="1">
      <c r="A9" s="782"/>
      <c r="B9" s="771"/>
      <c r="C9" s="772" t="s">
        <v>106</v>
      </c>
      <c r="D9" s="772"/>
      <c r="E9" s="645">
        <v>1391304000</v>
      </c>
      <c r="F9" s="645">
        <f>'인건비총계표(보조금)'!F5</f>
        <v>1391304000</v>
      </c>
      <c r="G9" s="639">
        <f t="shared" si="0"/>
        <v>0</v>
      </c>
      <c r="H9" s="769">
        <f t="shared" si="1"/>
        <v>0</v>
      </c>
      <c r="I9" s="1036" t="s">
        <v>956</v>
      </c>
      <c r="J9" s="1037"/>
      <c r="K9" s="1037"/>
      <c r="L9" s="1037"/>
      <c r="M9" s="1037"/>
      <c r="N9" s="1037"/>
      <c r="O9" s="1037"/>
      <c r="P9" s="1037"/>
      <c r="Q9" s="1037"/>
      <c r="R9" s="813"/>
      <c r="T9" s="655"/>
    </row>
    <row r="10" spans="1:37" s="561" customFormat="1" ht="21.75" customHeight="1">
      <c r="A10" s="782"/>
      <c r="B10" s="773"/>
      <c r="C10" s="772" t="s">
        <v>13</v>
      </c>
      <c r="D10" s="772" t="s">
        <v>6</v>
      </c>
      <c r="E10" s="638">
        <v>433361280</v>
      </c>
      <c r="F10" s="638">
        <f>SUM(F11:F13)</f>
        <v>433361280</v>
      </c>
      <c r="G10" s="639">
        <f t="shared" si="0"/>
        <v>0</v>
      </c>
      <c r="H10" s="769">
        <f t="shared" si="1"/>
        <v>0</v>
      </c>
      <c r="I10" s="1058"/>
      <c r="J10" s="1062"/>
      <c r="K10" s="1062"/>
      <c r="L10" s="1062"/>
      <c r="M10" s="1062"/>
      <c r="N10" s="1062"/>
      <c r="O10" s="1062"/>
      <c r="P10" s="1062"/>
      <c r="Q10" s="1062"/>
      <c r="R10" s="814"/>
      <c r="T10" s="655"/>
    </row>
    <row r="11" spans="1:37" s="561" customFormat="1" ht="21" customHeight="1">
      <c r="A11" s="782"/>
      <c r="B11" s="773"/>
      <c r="C11" s="773"/>
      <c r="D11" s="766" t="s">
        <v>29</v>
      </c>
      <c r="E11" s="645">
        <v>134188200</v>
      </c>
      <c r="F11" s="645">
        <f>'인건비총계표(보조금)'!M5</f>
        <v>134188200</v>
      </c>
      <c r="G11" s="639">
        <f t="shared" si="0"/>
        <v>0</v>
      </c>
      <c r="H11" s="769">
        <f t="shared" si="1"/>
        <v>0</v>
      </c>
      <c r="I11" s="1036"/>
      <c r="J11" s="1037"/>
      <c r="K11" s="1037"/>
      <c r="L11" s="1037"/>
      <c r="M11" s="1037"/>
      <c r="N11" s="1037"/>
      <c r="O11" s="1037"/>
      <c r="P11" s="1037"/>
      <c r="Q11" s="1037"/>
      <c r="R11" s="813"/>
      <c r="T11" s="655"/>
    </row>
    <row r="12" spans="1:37" s="561" customFormat="1" ht="21" customHeight="1">
      <c r="A12" s="782"/>
      <c r="B12" s="773"/>
      <c r="C12" s="773"/>
      <c r="D12" s="775" t="s">
        <v>40</v>
      </c>
      <c r="E12" s="645">
        <v>277853080</v>
      </c>
      <c r="F12" s="645">
        <f>'인건비총계표(보조금)'!R5</f>
        <v>277853080</v>
      </c>
      <c r="G12" s="639">
        <f t="shared" si="0"/>
        <v>0</v>
      </c>
      <c r="H12" s="769">
        <f t="shared" si="1"/>
        <v>0</v>
      </c>
      <c r="I12" s="1036"/>
      <c r="J12" s="1037"/>
      <c r="K12" s="1037"/>
      <c r="L12" s="1037"/>
      <c r="M12" s="1037"/>
      <c r="N12" s="1037"/>
      <c r="O12" s="1037"/>
      <c r="P12" s="1037"/>
      <c r="Q12" s="1037"/>
      <c r="R12" s="813"/>
      <c r="T12" s="655"/>
    </row>
    <row r="13" spans="1:37" s="561" customFormat="1" ht="21" customHeight="1">
      <c r="A13" s="782"/>
      <c r="B13" s="773"/>
      <c r="C13" s="774"/>
      <c r="D13" s="772" t="s">
        <v>8</v>
      </c>
      <c r="E13" s="645">
        <v>21320000</v>
      </c>
      <c r="F13" s="645">
        <f>'인건비총계표(보조금)'!O5</f>
        <v>21320000</v>
      </c>
      <c r="G13" s="639">
        <f t="shared" si="0"/>
        <v>0</v>
      </c>
      <c r="H13" s="769">
        <f t="shared" si="1"/>
        <v>0</v>
      </c>
      <c r="I13" s="1028" t="s">
        <v>57</v>
      </c>
      <c r="J13" s="1029"/>
      <c r="K13" s="1029"/>
      <c r="L13" s="1029"/>
      <c r="M13" s="1029"/>
      <c r="N13" s="1029"/>
      <c r="O13" s="1029"/>
      <c r="P13" s="1029"/>
      <c r="Q13" s="1029"/>
      <c r="R13" s="1030"/>
      <c r="T13" s="655"/>
    </row>
    <row r="14" spans="1:37" s="561" customFormat="1" ht="21" hidden="1" customHeight="1">
      <c r="A14" s="782"/>
      <c r="B14" s="773"/>
      <c r="C14" s="773"/>
      <c r="D14" s="772"/>
      <c r="E14" s="645"/>
      <c r="G14" s="639"/>
      <c r="H14" s="769" t="e">
        <f t="shared" si="1"/>
        <v>#DIV/0!</v>
      </c>
      <c r="I14" s="1036"/>
      <c r="J14" s="1037"/>
      <c r="K14" s="1037"/>
      <c r="L14" s="1037"/>
      <c r="M14" s="1037"/>
      <c r="N14" s="1037"/>
      <c r="O14" s="1037"/>
      <c r="P14" s="1037"/>
      <c r="Q14" s="1037"/>
      <c r="R14" s="813"/>
      <c r="T14" s="655">
        <f>다.국도시세입!F6-라.국도비세출!F6</f>
        <v>0</v>
      </c>
    </row>
    <row r="15" spans="1:37" s="561" customFormat="1" ht="21" customHeight="1">
      <c r="A15" s="782"/>
      <c r="B15" s="773"/>
      <c r="C15" s="766" t="s">
        <v>38</v>
      </c>
      <c r="D15" s="766"/>
      <c r="E15" s="645">
        <v>153616310</v>
      </c>
      <c r="F15" s="645">
        <f>'인건비총계표(보조금)'!W5</f>
        <v>153616310</v>
      </c>
      <c r="G15" s="639">
        <f t="shared" ref="G15:G51" si="2">F15-E15</f>
        <v>0</v>
      </c>
      <c r="H15" s="769">
        <f t="shared" si="1"/>
        <v>0</v>
      </c>
      <c r="I15" s="1036"/>
      <c r="J15" s="1037"/>
      <c r="K15" s="1037"/>
      <c r="L15" s="1037"/>
      <c r="M15" s="1037"/>
      <c r="N15" s="1037"/>
      <c r="O15" s="1037"/>
      <c r="P15" s="1037"/>
      <c r="Q15" s="1037"/>
      <c r="R15" s="1038"/>
      <c r="T15" s="655"/>
    </row>
    <row r="16" spans="1:37" s="561" customFormat="1" ht="21" customHeight="1">
      <c r="A16" s="782"/>
      <c r="B16" s="773"/>
      <c r="C16" s="776" t="s">
        <v>124</v>
      </c>
      <c r="D16" s="777" t="s">
        <v>107</v>
      </c>
      <c r="E16" s="663">
        <v>175638290</v>
      </c>
      <c r="F16" s="663">
        <f>SUM(F17:F20)</f>
        <v>175638290</v>
      </c>
      <c r="G16" s="639">
        <f t="shared" si="2"/>
        <v>0</v>
      </c>
      <c r="H16" s="769">
        <f t="shared" si="1"/>
        <v>0</v>
      </c>
      <c r="I16" s="1036"/>
      <c r="J16" s="1037"/>
      <c r="K16" s="1037"/>
      <c r="L16" s="1037"/>
      <c r="M16" s="1037"/>
      <c r="N16" s="1037"/>
      <c r="O16" s="1037"/>
      <c r="P16" s="1037"/>
      <c r="Q16" s="1037"/>
      <c r="R16" s="1038"/>
      <c r="T16" s="655"/>
      <c r="X16" s="655">
        <f>SUM(F17-X17)</f>
        <v>0</v>
      </c>
      <c r="Y16" s="815"/>
      <c r="Z16" s="719">
        <f>'인건비총계표(보조금)'!U5-'인건비총계표(보조금)'!U630</f>
        <v>1819575080</v>
      </c>
    </row>
    <row r="17" spans="1:26" s="561" customFormat="1" ht="29.25" customHeight="1">
      <c r="A17" s="782"/>
      <c r="B17" s="773"/>
      <c r="C17" s="771"/>
      <c r="D17" s="771" t="s">
        <v>765</v>
      </c>
      <c r="E17" s="654">
        <v>63773810</v>
      </c>
      <c r="F17" s="654">
        <f>'인건비총계표(보조금)'!Y5+'인건비총계표(보조금)'!Z5-6310</f>
        <v>63773810</v>
      </c>
      <c r="G17" s="816">
        <f t="shared" si="2"/>
        <v>0</v>
      </c>
      <c r="H17" s="769">
        <f t="shared" si="1"/>
        <v>0</v>
      </c>
      <c r="I17" s="1045" t="s">
        <v>927</v>
      </c>
      <c r="J17" s="1046"/>
      <c r="K17" s="1046"/>
      <c r="L17" s="1046"/>
      <c r="M17" s="1046"/>
      <c r="N17" s="1046"/>
      <c r="O17" s="1046"/>
      <c r="P17" s="1046"/>
      <c r="Q17" s="1046"/>
      <c r="R17" s="1047"/>
      <c r="T17" s="655">
        <f>'인건비총계표(보조금)'!U5-'인건비총계표(보조금)'!U630</f>
        <v>1819575080</v>
      </c>
      <c r="U17" s="655">
        <f>ROUNDUP(T17*3.23%,-1)</f>
        <v>58772280</v>
      </c>
      <c r="V17" s="655">
        <f>ROUNDUP(U17*8.51%,-1)</f>
        <v>5001530</v>
      </c>
      <c r="W17" s="815">
        <f>ROUNDUP(('인건비총계표(보조금)'!U5-'인건비총계표(보조금)'!U630)*3.23%,-1)</f>
        <v>58772280</v>
      </c>
      <c r="X17" s="655">
        <f>SUM(V17:W17)</f>
        <v>63773810</v>
      </c>
      <c r="Y17" s="815"/>
      <c r="Z17" s="815">
        <f>SUM(Y16:Y17)</f>
        <v>0</v>
      </c>
    </row>
    <row r="18" spans="1:26" s="561" customFormat="1" ht="30" customHeight="1">
      <c r="A18" s="782"/>
      <c r="B18" s="773"/>
      <c r="C18" s="774"/>
      <c r="D18" s="766" t="s">
        <v>766</v>
      </c>
      <c r="E18" s="645">
        <v>81880880</v>
      </c>
      <c r="F18" s="645">
        <f>'인건비총계표(보조금)'!X5+30</f>
        <v>81880880</v>
      </c>
      <c r="G18" s="639">
        <f t="shared" si="2"/>
        <v>0</v>
      </c>
      <c r="H18" s="769">
        <f t="shared" si="1"/>
        <v>0</v>
      </c>
      <c r="I18" s="1042" t="s">
        <v>928</v>
      </c>
      <c r="J18" s="1043"/>
      <c r="K18" s="1043"/>
      <c r="L18" s="1043"/>
      <c r="M18" s="1043"/>
      <c r="N18" s="1043"/>
      <c r="O18" s="1043"/>
      <c r="P18" s="1043"/>
      <c r="Q18" s="1043"/>
      <c r="R18" s="1044"/>
      <c r="T18" s="655">
        <f>'인건비총계표(보조금)'!U5-'인건비총계표(보조금)'!U630</f>
        <v>1819575080</v>
      </c>
      <c r="U18" s="655">
        <f>ROUNDUP(T18*4.5%,-1)</f>
        <v>81880880</v>
      </c>
      <c r="V18" s="655">
        <f>F18-U18</f>
        <v>0</v>
      </c>
      <c r="Y18" s="815"/>
    </row>
    <row r="19" spans="1:26" s="561" customFormat="1" ht="26.25" customHeight="1">
      <c r="A19" s="782"/>
      <c r="B19" s="773"/>
      <c r="C19" s="773"/>
      <c r="D19" s="772" t="s">
        <v>767</v>
      </c>
      <c r="E19" s="645">
        <v>15873670</v>
      </c>
      <c r="F19" s="645">
        <f>'인건비총계표(보조금)'!AA5+30</f>
        <v>15873670</v>
      </c>
      <c r="G19" s="639">
        <f t="shared" si="2"/>
        <v>0</v>
      </c>
      <c r="H19" s="769">
        <f t="shared" si="1"/>
        <v>0</v>
      </c>
      <c r="I19" s="1042" t="s">
        <v>931</v>
      </c>
      <c r="J19" s="1043"/>
      <c r="K19" s="1043"/>
      <c r="L19" s="1043"/>
      <c r="M19" s="1043"/>
      <c r="N19" s="1043"/>
      <c r="O19" s="1043"/>
      <c r="P19" s="1043"/>
      <c r="Q19" s="1043"/>
      <c r="R19" s="1044"/>
      <c r="T19" s="655">
        <f>'인건비총계표(보조금)'!U5-'인건비총계표(보조금)'!U6-'인건비총계표(보조금)'!U630</f>
        <v>1763741030</v>
      </c>
      <c r="U19" s="655">
        <f>ROUNDUP(T19*0.9%,-1)</f>
        <v>15873670</v>
      </c>
      <c r="V19" s="655">
        <f>F19-U19</f>
        <v>0</v>
      </c>
    </row>
    <row r="20" spans="1:26" s="561" customFormat="1" ht="25.5" customHeight="1">
      <c r="A20" s="782"/>
      <c r="B20" s="773"/>
      <c r="C20" s="778"/>
      <c r="D20" s="772" t="s">
        <v>768</v>
      </c>
      <c r="E20" s="645">
        <v>14109930</v>
      </c>
      <c r="F20" s="645">
        <f>'인건비총계표(보조금)'!AB5+80</f>
        <v>14109930</v>
      </c>
      <c r="G20" s="639">
        <f t="shared" si="2"/>
        <v>0</v>
      </c>
      <c r="H20" s="769">
        <f t="shared" si="1"/>
        <v>0</v>
      </c>
      <c r="I20" s="817" t="s">
        <v>929</v>
      </c>
      <c r="J20" s="818"/>
      <c r="K20" s="819"/>
      <c r="L20" s="819"/>
      <c r="M20" s="820"/>
      <c r="N20" s="820"/>
      <c r="O20" s="1046" t="s">
        <v>930</v>
      </c>
      <c r="P20" s="1046"/>
      <c r="Q20" s="1046"/>
      <c r="R20" s="821"/>
      <c r="T20" s="655">
        <f>'인건비총계표(보조금)'!U5-'인건비총계표(보조금)'!U6-'인건비총계표(보조금)'!U630</f>
        <v>1763741030</v>
      </c>
      <c r="U20" s="655">
        <f>ROUNDUP(T20*0.8%,-1)</f>
        <v>14109930</v>
      </c>
      <c r="V20" s="655">
        <f>F20-U20</f>
        <v>0</v>
      </c>
    </row>
    <row r="21" spans="1:26" s="561" customFormat="1" ht="21" hidden="1" customHeight="1">
      <c r="A21" s="782"/>
      <c r="B21" s="778"/>
      <c r="C21" s="778" t="s">
        <v>109</v>
      </c>
      <c r="D21" s="778"/>
      <c r="E21" s="663">
        <v>0</v>
      </c>
      <c r="F21" s="663">
        <v>0</v>
      </c>
      <c r="G21" s="639">
        <f t="shared" si="2"/>
        <v>0</v>
      </c>
      <c r="H21" s="769" t="e">
        <f t="shared" si="1"/>
        <v>#DIV/0!</v>
      </c>
      <c r="I21" s="1028"/>
      <c r="J21" s="1029"/>
      <c r="K21" s="1029"/>
      <c r="L21" s="1029"/>
      <c r="M21" s="1029"/>
      <c r="N21" s="1029"/>
      <c r="O21" s="1029"/>
      <c r="P21" s="1029"/>
      <c r="Q21" s="1029"/>
      <c r="R21" s="1030"/>
      <c r="T21" s="655"/>
    </row>
    <row r="22" spans="1:26" s="561" customFormat="1" ht="25.5" customHeight="1">
      <c r="A22" s="782"/>
      <c r="B22" s="772" t="s">
        <v>769</v>
      </c>
      <c r="C22" s="772" t="s">
        <v>107</v>
      </c>
      <c r="D22" s="772"/>
      <c r="E22" s="645">
        <v>490000</v>
      </c>
      <c r="F22" s="645">
        <f>SUM(F23:F25)</f>
        <v>490000</v>
      </c>
      <c r="G22" s="639">
        <f t="shared" si="2"/>
        <v>0</v>
      </c>
      <c r="H22" s="769">
        <f t="shared" si="1"/>
        <v>0</v>
      </c>
      <c r="I22" s="817"/>
      <c r="J22" s="818"/>
      <c r="K22" s="819"/>
      <c r="L22" s="819"/>
      <c r="M22" s="820"/>
      <c r="N22" s="820"/>
      <c r="O22" s="820"/>
      <c r="P22" s="818"/>
      <c r="Q22" s="811"/>
      <c r="R22" s="821"/>
      <c r="T22" s="655"/>
    </row>
    <row r="23" spans="1:26" s="561" customFormat="1" ht="21.75" hidden="1" customHeight="1">
      <c r="A23" s="782"/>
      <c r="B23" s="786"/>
      <c r="C23" s="772" t="s">
        <v>110</v>
      </c>
      <c r="D23" s="772"/>
      <c r="E23" s="645">
        <v>0</v>
      </c>
      <c r="F23" s="645">
        <v>0</v>
      </c>
      <c r="G23" s="639">
        <f t="shared" si="2"/>
        <v>0</v>
      </c>
      <c r="H23" s="769" t="e">
        <f t="shared" si="1"/>
        <v>#DIV/0!</v>
      </c>
      <c r="I23" s="817"/>
      <c r="J23" s="818"/>
      <c r="K23" s="819"/>
      <c r="L23" s="819"/>
      <c r="M23" s="820"/>
      <c r="N23" s="820"/>
      <c r="O23" s="820"/>
      <c r="P23" s="818"/>
      <c r="Q23" s="811"/>
      <c r="R23" s="821"/>
      <c r="T23" s="655"/>
    </row>
    <row r="24" spans="1:26" s="561" customFormat="1" ht="21.75" hidden="1" customHeight="1">
      <c r="A24" s="782"/>
      <c r="B24" s="773"/>
      <c r="C24" s="772" t="s">
        <v>111</v>
      </c>
      <c r="D24" s="772"/>
      <c r="E24" s="645">
        <v>0</v>
      </c>
      <c r="F24" s="645">
        <v>0</v>
      </c>
      <c r="G24" s="639">
        <f t="shared" si="2"/>
        <v>0</v>
      </c>
      <c r="H24" s="769" t="e">
        <f t="shared" si="1"/>
        <v>#DIV/0!</v>
      </c>
      <c r="I24" s="817"/>
      <c r="J24" s="818"/>
      <c r="K24" s="819"/>
      <c r="L24" s="819"/>
      <c r="M24" s="820"/>
      <c r="N24" s="820"/>
      <c r="O24" s="820"/>
      <c r="P24" s="818"/>
      <c r="Q24" s="811"/>
      <c r="R24" s="821"/>
      <c r="T24" s="655"/>
    </row>
    <row r="25" spans="1:26" s="561" customFormat="1" ht="21.75" customHeight="1">
      <c r="A25" s="782"/>
      <c r="B25" s="778"/>
      <c r="C25" s="772" t="s">
        <v>112</v>
      </c>
      <c r="D25" s="772"/>
      <c r="E25" s="645">
        <v>490000</v>
      </c>
      <c r="F25" s="645">
        <v>490000</v>
      </c>
      <c r="G25" s="639">
        <f t="shared" si="2"/>
        <v>0</v>
      </c>
      <c r="H25" s="769">
        <f t="shared" si="1"/>
        <v>0</v>
      </c>
      <c r="I25" s="1042" t="s">
        <v>735</v>
      </c>
      <c r="J25" s="1043"/>
      <c r="K25" s="1043"/>
      <c r="L25" s="1043"/>
      <c r="M25" s="1043"/>
      <c r="N25" s="1043"/>
      <c r="O25" s="1043"/>
      <c r="P25" s="1043"/>
      <c r="Q25" s="1043"/>
      <c r="R25" s="1044"/>
      <c r="T25" s="655"/>
    </row>
    <row r="26" spans="1:26" s="561" customFormat="1" ht="21.75" customHeight="1">
      <c r="A26" s="782"/>
      <c r="B26" s="772" t="s">
        <v>156</v>
      </c>
      <c r="C26" s="772" t="s">
        <v>107</v>
      </c>
      <c r="D26" s="772"/>
      <c r="E26" s="645">
        <v>58210000</v>
      </c>
      <c r="F26" s="645">
        <f>F27+F28+F29+F30+F34+F35</f>
        <v>58210000</v>
      </c>
      <c r="G26" s="639">
        <f t="shared" si="2"/>
        <v>0</v>
      </c>
      <c r="H26" s="769">
        <f t="shared" si="1"/>
        <v>0</v>
      </c>
      <c r="I26" s="1022"/>
      <c r="J26" s="1023"/>
      <c r="K26" s="1023"/>
      <c r="L26" s="1023"/>
      <c r="M26" s="1023"/>
      <c r="N26" s="1023"/>
      <c r="O26" s="1023"/>
      <c r="P26" s="1023"/>
      <c r="Q26" s="1023"/>
      <c r="R26" s="1024"/>
      <c r="T26" s="655"/>
    </row>
    <row r="27" spans="1:26" s="561" customFormat="1" ht="21.75" hidden="1" customHeight="1">
      <c r="A27" s="782"/>
      <c r="B27" s="786"/>
      <c r="C27" s="772" t="s">
        <v>114</v>
      </c>
      <c r="D27" s="772" t="s">
        <v>163</v>
      </c>
      <c r="E27" s="645">
        <v>0</v>
      </c>
      <c r="F27" s="645">
        <v>0</v>
      </c>
      <c r="G27" s="639">
        <f t="shared" si="2"/>
        <v>0</v>
      </c>
      <c r="H27" s="769" t="e">
        <f t="shared" si="1"/>
        <v>#DIV/0!</v>
      </c>
      <c r="I27" s="1022"/>
      <c r="J27" s="1023"/>
      <c r="K27" s="1023"/>
      <c r="L27" s="1023"/>
      <c r="M27" s="1023"/>
      <c r="N27" s="1023"/>
      <c r="O27" s="1023"/>
      <c r="P27" s="1023"/>
      <c r="Q27" s="1023"/>
      <c r="R27" s="1024"/>
      <c r="T27" s="655"/>
    </row>
    <row r="28" spans="1:26" s="561" customFormat="1" ht="21.75" customHeight="1">
      <c r="A28" s="782"/>
      <c r="B28" s="773"/>
      <c r="C28" s="766" t="s">
        <v>775</v>
      </c>
      <c r="D28" s="772"/>
      <c r="E28" s="645">
        <v>9084170</v>
      </c>
      <c r="F28" s="645">
        <f>9000000-125830+210000</f>
        <v>9084170</v>
      </c>
      <c r="G28" s="639">
        <f t="shared" si="2"/>
        <v>0</v>
      </c>
      <c r="H28" s="769">
        <f t="shared" si="1"/>
        <v>0</v>
      </c>
      <c r="I28" s="1022" t="s">
        <v>175</v>
      </c>
      <c r="J28" s="1023"/>
      <c r="K28" s="1023"/>
      <c r="L28" s="1023"/>
      <c r="M28" s="1023"/>
      <c r="N28" s="1023"/>
      <c r="O28" s="1023"/>
      <c r="P28" s="1023"/>
      <c r="Q28" s="1023"/>
      <c r="R28" s="1024"/>
      <c r="T28" s="655"/>
    </row>
    <row r="29" spans="1:26" s="561" customFormat="1" ht="21.75" customHeight="1">
      <c r="A29" s="782"/>
      <c r="B29" s="773"/>
      <c r="C29" s="772" t="s">
        <v>116</v>
      </c>
      <c r="D29" s="772"/>
      <c r="E29" s="645">
        <v>38000000</v>
      </c>
      <c r="F29" s="645">
        <v>38000000</v>
      </c>
      <c r="G29" s="639">
        <f t="shared" si="2"/>
        <v>0</v>
      </c>
      <c r="H29" s="769">
        <f t="shared" si="1"/>
        <v>0</v>
      </c>
      <c r="I29" s="1067" t="s">
        <v>272</v>
      </c>
      <c r="J29" s="1023"/>
      <c r="K29" s="1023"/>
      <c r="L29" s="1023"/>
      <c r="M29" s="1023"/>
      <c r="N29" s="1023"/>
      <c r="O29" s="1023"/>
      <c r="P29" s="1023"/>
      <c r="Q29" s="1023"/>
      <c r="R29" s="1024"/>
      <c r="T29" s="655">
        <v>2931420</v>
      </c>
      <c r="U29" s="655">
        <f>T29*12</f>
        <v>35177040</v>
      </c>
    </row>
    <row r="30" spans="1:26" s="561" customFormat="1" ht="21.75" customHeight="1">
      <c r="A30" s="782"/>
      <c r="B30" s="773"/>
      <c r="C30" s="772" t="s">
        <v>117</v>
      </c>
      <c r="D30" s="772"/>
      <c r="E30" s="645">
        <v>6625830</v>
      </c>
      <c r="F30" s="645">
        <v>6625830</v>
      </c>
      <c r="G30" s="639">
        <f t="shared" si="2"/>
        <v>0</v>
      </c>
      <c r="H30" s="769">
        <f t="shared" si="1"/>
        <v>0</v>
      </c>
      <c r="I30" s="1022" t="s">
        <v>736</v>
      </c>
      <c r="J30" s="1023"/>
      <c r="K30" s="1023"/>
      <c r="L30" s="1023"/>
      <c r="M30" s="1023"/>
      <c r="N30" s="1023"/>
      <c r="O30" s="1023"/>
      <c r="P30" s="1023"/>
      <c r="Q30" s="1023"/>
      <c r="R30" s="1024"/>
      <c r="T30" s="655">
        <v>43916</v>
      </c>
      <c r="U30" s="655">
        <f>T30*80*12</f>
        <v>42159360</v>
      </c>
    </row>
    <row r="31" spans="1:26" s="561" customFormat="1" ht="21.75" hidden="1" customHeight="1">
      <c r="A31" s="782"/>
      <c r="B31" s="773"/>
      <c r="C31" s="786"/>
      <c r="D31" s="772" t="s">
        <v>171</v>
      </c>
      <c r="E31" s="645"/>
      <c r="F31" s="645"/>
      <c r="G31" s="639">
        <f t="shared" si="2"/>
        <v>0</v>
      </c>
      <c r="H31" s="769" t="e">
        <f t="shared" si="1"/>
        <v>#DIV/0!</v>
      </c>
      <c r="I31" s="1022" t="s">
        <v>174</v>
      </c>
      <c r="J31" s="1023"/>
      <c r="K31" s="1023"/>
      <c r="L31" s="1023"/>
      <c r="M31" s="1023"/>
      <c r="N31" s="1023"/>
      <c r="O31" s="1023"/>
      <c r="P31" s="1023"/>
      <c r="Q31" s="1023"/>
      <c r="R31" s="1024"/>
      <c r="T31" s="655"/>
      <c r="U31" s="719">
        <f>SUM(U29:U30)</f>
        <v>77336400</v>
      </c>
    </row>
    <row r="32" spans="1:26" s="561" customFormat="1" ht="21.75" hidden="1" customHeight="1">
      <c r="A32" s="782"/>
      <c r="B32" s="773"/>
      <c r="C32" s="773"/>
      <c r="D32" s="772" t="s">
        <v>172</v>
      </c>
      <c r="E32" s="645">
        <v>0</v>
      </c>
      <c r="F32" s="645">
        <v>0</v>
      </c>
      <c r="G32" s="639">
        <f t="shared" si="2"/>
        <v>0</v>
      </c>
      <c r="H32" s="769" t="e">
        <f t="shared" si="1"/>
        <v>#DIV/0!</v>
      </c>
      <c r="I32" s="1022"/>
      <c r="J32" s="1023"/>
      <c r="K32" s="1023"/>
      <c r="L32" s="1023"/>
      <c r="M32" s="1023"/>
      <c r="N32" s="1023"/>
      <c r="O32" s="1023"/>
      <c r="P32" s="1023"/>
      <c r="Q32" s="1023"/>
      <c r="R32" s="1024"/>
      <c r="T32" s="655"/>
    </row>
    <row r="33" spans="1:20" s="561" customFormat="1" ht="21.75" customHeight="1">
      <c r="A33" s="782"/>
      <c r="B33" s="773"/>
      <c r="C33" s="778"/>
      <c r="D33" s="772" t="s">
        <v>18</v>
      </c>
      <c r="E33" s="645">
        <v>6625830</v>
      </c>
      <c r="F33" s="645">
        <v>6625830</v>
      </c>
      <c r="G33" s="639">
        <f t="shared" si="2"/>
        <v>0</v>
      </c>
      <c r="H33" s="769">
        <f t="shared" si="1"/>
        <v>0</v>
      </c>
      <c r="I33" s="1022" t="s">
        <v>591</v>
      </c>
      <c r="J33" s="1023"/>
      <c r="K33" s="1023"/>
      <c r="L33" s="1023"/>
      <c r="M33" s="1023"/>
      <c r="N33" s="1023"/>
      <c r="O33" s="1023"/>
      <c r="P33" s="1023"/>
      <c r="Q33" s="1023"/>
      <c r="R33" s="1024"/>
      <c r="T33" s="655"/>
    </row>
    <row r="34" spans="1:20" s="561" customFormat="1" ht="21.75" customHeight="1">
      <c r="A34" s="789"/>
      <c r="B34" s="778"/>
      <c r="C34" s="772" t="s">
        <v>118</v>
      </c>
      <c r="D34" s="772"/>
      <c r="E34" s="645">
        <v>4500000</v>
      </c>
      <c r="F34" s="645">
        <v>4500000</v>
      </c>
      <c r="G34" s="639">
        <f t="shared" si="2"/>
        <v>0</v>
      </c>
      <c r="H34" s="769">
        <f t="shared" si="1"/>
        <v>0</v>
      </c>
      <c r="I34" s="1022" t="s">
        <v>959</v>
      </c>
      <c r="J34" s="1023"/>
      <c r="K34" s="1023"/>
      <c r="L34" s="1023"/>
      <c r="M34" s="1023"/>
      <c r="N34" s="1023"/>
      <c r="O34" s="1023"/>
      <c r="P34" s="1023"/>
      <c r="Q34" s="1023"/>
      <c r="R34" s="1024"/>
      <c r="T34" s="655"/>
    </row>
    <row r="35" spans="1:20" s="561" customFormat="1" ht="21.75" hidden="1" customHeight="1">
      <c r="A35" s="789"/>
      <c r="B35" s="778"/>
      <c r="C35" s="778" t="s">
        <v>119</v>
      </c>
      <c r="D35" s="772"/>
      <c r="E35" s="645">
        <v>0</v>
      </c>
      <c r="F35" s="645">
        <v>0</v>
      </c>
      <c r="G35" s="639">
        <f t="shared" si="2"/>
        <v>0</v>
      </c>
      <c r="H35" s="769" t="e">
        <f t="shared" si="1"/>
        <v>#DIV/0!</v>
      </c>
      <c r="I35" s="1022" t="s">
        <v>591</v>
      </c>
      <c r="J35" s="1023"/>
      <c r="K35" s="1023"/>
      <c r="L35" s="1023"/>
      <c r="M35" s="1023"/>
      <c r="N35" s="1023"/>
      <c r="O35" s="1023"/>
      <c r="P35" s="1023"/>
      <c r="Q35" s="1023"/>
      <c r="R35" s="1024"/>
      <c r="T35" s="655"/>
    </row>
    <row r="36" spans="1:20" s="561" customFormat="1" ht="24.75" customHeight="1">
      <c r="A36" s="789" t="s">
        <v>159</v>
      </c>
      <c r="B36" s="1071" t="s">
        <v>162</v>
      </c>
      <c r="C36" s="1072"/>
      <c r="D36" s="778"/>
      <c r="E36" s="663">
        <v>12000000</v>
      </c>
      <c r="F36" s="663">
        <f>F37</f>
        <v>12000000</v>
      </c>
      <c r="G36" s="639">
        <f t="shared" si="2"/>
        <v>0</v>
      </c>
      <c r="H36" s="769">
        <f t="shared" si="1"/>
        <v>0</v>
      </c>
      <c r="I36" s="1079"/>
      <c r="J36" s="1080"/>
      <c r="K36" s="1080"/>
      <c r="L36" s="1080"/>
      <c r="M36" s="1080"/>
      <c r="N36" s="1080"/>
      <c r="O36" s="1080"/>
      <c r="P36" s="1080"/>
      <c r="Q36" s="1080"/>
      <c r="R36" s="1081"/>
      <c r="T36" s="655"/>
    </row>
    <row r="37" spans="1:20" s="561" customFormat="1" ht="24" customHeight="1">
      <c r="A37" s="788"/>
      <c r="B37" s="772" t="s">
        <v>160</v>
      </c>
      <c r="C37" s="772" t="s">
        <v>157</v>
      </c>
      <c r="D37" s="772"/>
      <c r="E37" s="645">
        <v>12000000</v>
      </c>
      <c r="F37" s="645">
        <f>SUM(F38:F40)</f>
        <v>12000000</v>
      </c>
      <c r="G37" s="639">
        <f t="shared" si="2"/>
        <v>0</v>
      </c>
      <c r="H37" s="769">
        <f t="shared" si="1"/>
        <v>0</v>
      </c>
      <c r="I37" s="1022"/>
      <c r="J37" s="1023"/>
      <c r="K37" s="1023"/>
      <c r="L37" s="1023"/>
      <c r="M37" s="1023"/>
      <c r="N37" s="1023"/>
      <c r="O37" s="1023"/>
      <c r="P37" s="1023"/>
      <c r="Q37" s="1023"/>
      <c r="R37" s="1024"/>
      <c r="T37" s="655"/>
    </row>
    <row r="38" spans="1:20" s="561" customFormat="1" ht="19.5" hidden="1" customHeight="1">
      <c r="A38" s="782"/>
      <c r="B38" s="786"/>
      <c r="C38" s="772" t="s">
        <v>120</v>
      </c>
      <c r="D38" s="772"/>
      <c r="E38" s="645">
        <v>0</v>
      </c>
      <c r="F38" s="645">
        <v>0</v>
      </c>
      <c r="G38" s="639">
        <f t="shared" si="2"/>
        <v>0</v>
      </c>
      <c r="H38" s="769" t="e">
        <f t="shared" si="1"/>
        <v>#DIV/0!</v>
      </c>
      <c r="I38" s="1022"/>
      <c r="J38" s="1023"/>
      <c r="K38" s="1023"/>
      <c r="L38" s="1023"/>
      <c r="M38" s="1023"/>
      <c r="N38" s="1023"/>
      <c r="O38" s="1023"/>
      <c r="P38" s="1023"/>
      <c r="Q38" s="1023"/>
      <c r="R38" s="1024"/>
      <c r="T38" s="655"/>
    </row>
    <row r="39" spans="1:20" s="561" customFormat="1" ht="19.5" hidden="1" customHeight="1">
      <c r="A39" s="782"/>
      <c r="B39" s="773"/>
      <c r="C39" s="766" t="s">
        <v>121</v>
      </c>
      <c r="D39" s="766"/>
      <c r="E39" s="645">
        <v>0</v>
      </c>
      <c r="F39" s="645">
        <v>0</v>
      </c>
      <c r="G39" s="639">
        <f t="shared" si="2"/>
        <v>0</v>
      </c>
      <c r="H39" s="769" t="e">
        <f t="shared" si="1"/>
        <v>#DIV/0!</v>
      </c>
      <c r="I39" s="1022"/>
      <c r="J39" s="1023"/>
      <c r="K39" s="1023"/>
      <c r="L39" s="1023"/>
      <c r="M39" s="1023"/>
      <c r="N39" s="1023"/>
      <c r="O39" s="1023"/>
      <c r="P39" s="1023"/>
      <c r="Q39" s="1023"/>
      <c r="R39" s="1024"/>
      <c r="T39" s="655"/>
    </row>
    <row r="40" spans="1:20" s="561" customFormat="1" ht="28.5" customHeight="1">
      <c r="A40" s="790"/>
      <c r="B40" s="791"/>
      <c r="C40" s="822" t="s">
        <v>770</v>
      </c>
      <c r="D40" s="822" t="s">
        <v>167</v>
      </c>
      <c r="E40" s="678">
        <v>12000000</v>
      </c>
      <c r="F40" s="678">
        <v>12000000</v>
      </c>
      <c r="G40" s="793">
        <f t="shared" si="2"/>
        <v>0</v>
      </c>
      <c r="H40" s="823">
        <f t="shared" si="1"/>
        <v>0</v>
      </c>
      <c r="I40" s="1031" t="s">
        <v>168</v>
      </c>
      <c r="J40" s="1077"/>
      <c r="K40" s="1077"/>
      <c r="L40" s="1077"/>
      <c r="M40" s="1077"/>
      <c r="N40" s="1077"/>
      <c r="O40" s="1077"/>
      <c r="P40" s="1077"/>
      <c r="Q40" s="1077"/>
      <c r="R40" s="1078"/>
      <c r="T40" s="655"/>
    </row>
    <row r="41" spans="1:20" s="561" customFormat="1" ht="24.75" customHeight="1">
      <c r="A41" s="789" t="s">
        <v>23</v>
      </c>
      <c r="B41" s="1071" t="s">
        <v>162</v>
      </c>
      <c r="C41" s="1072"/>
      <c r="D41" s="777"/>
      <c r="E41" s="663">
        <v>225997570</v>
      </c>
      <c r="F41" s="663">
        <f>F42+F50</f>
        <v>165432640</v>
      </c>
      <c r="G41" s="824">
        <f t="shared" si="2"/>
        <v>-60564930</v>
      </c>
      <c r="H41" s="769">
        <f t="shared" si="1"/>
        <v>-26.798929740704736</v>
      </c>
      <c r="I41" s="1082"/>
      <c r="J41" s="1083"/>
      <c r="K41" s="1083"/>
      <c r="L41" s="1083"/>
      <c r="M41" s="1083"/>
      <c r="N41" s="1083"/>
      <c r="O41" s="1083"/>
      <c r="P41" s="1083"/>
      <c r="Q41" s="1083"/>
      <c r="R41" s="1084"/>
      <c r="T41" s="655"/>
    </row>
    <row r="42" spans="1:20" s="561" customFormat="1" ht="24.75" customHeight="1">
      <c r="A42" s="788"/>
      <c r="B42" s="772" t="s">
        <v>113</v>
      </c>
      <c r="C42" s="766" t="s">
        <v>107</v>
      </c>
      <c r="D42" s="766"/>
      <c r="E42" s="645">
        <v>157466570</v>
      </c>
      <c r="F42" s="645">
        <f>SUM(F43,F47)</f>
        <v>155332640</v>
      </c>
      <c r="G42" s="639">
        <f t="shared" si="2"/>
        <v>-2133930</v>
      </c>
      <c r="H42" s="769">
        <f t="shared" si="1"/>
        <v>-1.35516382937661</v>
      </c>
      <c r="I42" s="1042"/>
      <c r="J42" s="1043"/>
      <c r="K42" s="1043"/>
      <c r="L42" s="1043"/>
      <c r="M42" s="1043"/>
      <c r="N42" s="1043"/>
      <c r="O42" s="1043"/>
      <c r="P42" s="1043"/>
      <c r="Q42" s="1043"/>
      <c r="R42" s="1044"/>
      <c r="S42" s="516"/>
      <c r="T42" s="655"/>
    </row>
    <row r="43" spans="1:20" s="561" customFormat="1" ht="24.75" customHeight="1">
      <c r="A43" s="782"/>
      <c r="B43" s="786"/>
      <c r="C43" s="766" t="s">
        <v>125</v>
      </c>
      <c r="D43" s="766" t="s">
        <v>107</v>
      </c>
      <c r="E43" s="645">
        <v>136496570</v>
      </c>
      <c r="F43" s="645">
        <f>SUM(F44:F46)</f>
        <v>134362640</v>
      </c>
      <c r="G43" s="639">
        <f t="shared" si="2"/>
        <v>-2133930</v>
      </c>
      <c r="H43" s="769">
        <f t="shared" si="1"/>
        <v>-1.5633579656983323</v>
      </c>
      <c r="I43" s="1022"/>
      <c r="J43" s="1023"/>
      <c r="K43" s="1023"/>
      <c r="L43" s="1023"/>
      <c r="M43" s="1023"/>
      <c r="N43" s="1023"/>
      <c r="O43" s="1023"/>
      <c r="P43" s="1023"/>
      <c r="Q43" s="1023"/>
      <c r="R43" s="1024"/>
      <c r="S43" s="516"/>
      <c r="T43" s="655">
        <f>F43*70%</f>
        <v>94053848</v>
      </c>
    </row>
    <row r="44" spans="1:20" s="561" customFormat="1" ht="24.75" customHeight="1">
      <c r="A44" s="782"/>
      <c r="B44" s="773"/>
      <c r="C44" s="771"/>
      <c r="D44" s="771" t="s">
        <v>165</v>
      </c>
      <c r="E44" s="682">
        <v>3448500</v>
      </c>
      <c r="F44" s="682">
        <f>생활보장급여!G8</f>
        <v>3412200</v>
      </c>
      <c r="G44" s="639">
        <f t="shared" si="2"/>
        <v>-36300</v>
      </c>
      <c r="H44" s="769">
        <f t="shared" si="1"/>
        <v>-1.0526315789473684</v>
      </c>
      <c r="I44" s="1076" t="s">
        <v>937</v>
      </c>
      <c r="J44" s="1026"/>
      <c r="K44" s="1026"/>
      <c r="L44" s="1026"/>
      <c r="M44" s="1026"/>
      <c r="N44" s="1026"/>
      <c r="O44" s="1026"/>
      <c r="P44" s="1026"/>
      <c r="Q44" s="1026"/>
      <c r="R44" s="1027"/>
      <c r="S44" s="516"/>
      <c r="T44" s="655">
        <f>F43*30%</f>
        <v>40308792</v>
      </c>
    </row>
    <row r="45" spans="1:20" s="561" customFormat="1" ht="24.75" customHeight="1">
      <c r="A45" s="782"/>
      <c r="B45" s="773"/>
      <c r="C45" s="774"/>
      <c r="D45" s="766" t="s">
        <v>32</v>
      </c>
      <c r="E45" s="645">
        <v>131505780</v>
      </c>
      <c r="F45" s="645">
        <f>생활보장급여!G10</f>
        <v>129440280</v>
      </c>
      <c r="G45" s="639">
        <f t="shared" si="2"/>
        <v>-2065500</v>
      </c>
      <c r="H45" s="769">
        <f t="shared" si="1"/>
        <v>-1.5706533963754294</v>
      </c>
      <c r="I45" s="1076" t="s">
        <v>935</v>
      </c>
      <c r="J45" s="1026"/>
      <c r="K45" s="1026"/>
      <c r="L45" s="1026"/>
      <c r="M45" s="1026"/>
      <c r="N45" s="1026"/>
      <c r="O45" s="1026"/>
      <c r="P45" s="1026"/>
      <c r="Q45" s="1026"/>
      <c r="R45" s="1027"/>
      <c r="S45" s="516"/>
      <c r="T45" s="655" t="e">
        <f>F45+#REF!+#REF!+'라-2.자부담세출'!F52+'라-3.후원금세출'!F54+#REF!</f>
        <v>#REF!</v>
      </c>
    </row>
    <row r="46" spans="1:20" s="561" customFormat="1" ht="24.75" customHeight="1">
      <c r="A46" s="782"/>
      <c r="B46" s="773"/>
      <c r="C46" s="774"/>
      <c r="D46" s="766" t="s">
        <v>126</v>
      </c>
      <c r="E46" s="645">
        <v>1542290</v>
      </c>
      <c r="F46" s="645">
        <f>생활보장급여!G11</f>
        <v>1510160</v>
      </c>
      <c r="G46" s="639">
        <f t="shared" si="2"/>
        <v>-32130</v>
      </c>
      <c r="H46" s="769">
        <f t="shared" si="1"/>
        <v>-2.0832657930739353</v>
      </c>
      <c r="I46" s="1022" t="s">
        <v>936</v>
      </c>
      <c r="J46" s="1023"/>
      <c r="K46" s="1023"/>
      <c r="L46" s="1023"/>
      <c r="M46" s="1023"/>
      <c r="N46" s="1023"/>
      <c r="O46" s="1023"/>
      <c r="P46" s="1023"/>
      <c r="Q46" s="1023"/>
      <c r="R46" s="1024"/>
      <c r="S46" s="516"/>
      <c r="T46" s="655"/>
    </row>
    <row r="47" spans="1:20" s="561" customFormat="1" ht="24.75" customHeight="1">
      <c r="A47" s="782"/>
      <c r="B47" s="825"/>
      <c r="C47" s="776" t="s">
        <v>129</v>
      </c>
      <c r="D47" s="774" t="s">
        <v>157</v>
      </c>
      <c r="E47" s="826">
        <v>20970000</v>
      </c>
      <c r="F47" s="826">
        <f>SUM(F48:F49)</f>
        <v>20970000</v>
      </c>
      <c r="G47" s="639">
        <f t="shared" si="2"/>
        <v>0</v>
      </c>
      <c r="H47" s="769">
        <f t="shared" si="1"/>
        <v>0</v>
      </c>
      <c r="I47" s="1068"/>
      <c r="J47" s="1037"/>
      <c r="K47" s="1037"/>
      <c r="L47" s="1037"/>
      <c r="M47" s="1037"/>
      <c r="N47" s="1037"/>
      <c r="O47" s="1037"/>
      <c r="P47" s="1037"/>
      <c r="Q47" s="1037"/>
      <c r="R47" s="1038"/>
      <c r="S47" s="516"/>
      <c r="T47" s="655"/>
    </row>
    <row r="48" spans="1:20" s="561" customFormat="1" ht="30.75" customHeight="1">
      <c r="A48" s="782"/>
      <c r="B48" s="825"/>
      <c r="C48" s="786"/>
      <c r="D48" s="772" t="s">
        <v>166</v>
      </c>
      <c r="E48" s="645">
        <v>7000000</v>
      </c>
      <c r="F48" s="645">
        <v>7000000</v>
      </c>
      <c r="G48" s="639">
        <f t="shared" si="2"/>
        <v>0</v>
      </c>
      <c r="H48" s="769">
        <f t="shared" si="1"/>
        <v>0</v>
      </c>
      <c r="I48" s="1073" t="s">
        <v>63</v>
      </c>
      <c r="J48" s="1074"/>
      <c r="K48" s="1074"/>
      <c r="L48" s="1074"/>
      <c r="M48" s="1074"/>
      <c r="N48" s="1074"/>
      <c r="O48" s="1074"/>
      <c r="P48" s="1074"/>
      <c r="Q48" s="1074"/>
      <c r="R48" s="1075"/>
      <c r="T48" s="655"/>
    </row>
    <row r="49" spans="1:20" s="561" customFormat="1" ht="24.75" customHeight="1">
      <c r="A49" s="789"/>
      <c r="B49" s="827"/>
      <c r="C49" s="778"/>
      <c r="D49" s="772" t="s">
        <v>169</v>
      </c>
      <c r="E49" s="645">
        <v>13970000</v>
      </c>
      <c r="F49" s="645">
        <f>13700000+270000</f>
        <v>13970000</v>
      </c>
      <c r="G49" s="639">
        <f t="shared" si="2"/>
        <v>0</v>
      </c>
      <c r="H49" s="810">
        <f t="shared" si="1"/>
        <v>0</v>
      </c>
      <c r="I49" s="1022" t="s">
        <v>173</v>
      </c>
      <c r="J49" s="1023"/>
      <c r="K49" s="1023"/>
      <c r="L49" s="1023"/>
      <c r="M49" s="1023"/>
      <c r="N49" s="1023"/>
      <c r="O49" s="1023"/>
      <c r="P49" s="1023"/>
      <c r="Q49" s="1023"/>
      <c r="R49" s="1024"/>
      <c r="T49" s="655"/>
    </row>
    <row r="50" spans="1:20" s="561" customFormat="1" ht="20.25" customHeight="1">
      <c r="A50" s="782"/>
      <c r="B50" s="772" t="s">
        <v>123</v>
      </c>
      <c r="C50" s="766" t="s">
        <v>107</v>
      </c>
      <c r="D50" s="766"/>
      <c r="E50" s="645">
        <v>68531000</v>
      </c>
      <c r="F50" s="645">
        <f>SUM(F51:F52)</f>
        <v>10100000</v>
      </c>
      <c r="G50" s="639">
        <f t="shared" si="2"/>
        <v>-58431000</v>
      </c>
      <c r="H50" s="769">
        <f t="shared" si="1"/>
        <v>-85.262144139148717</v>
      </c>
      <c r="I50" s="1036"/>
      <c r="J50" s="1037"/>
      <c r="K50" s="1037"/>
      <c r="L50" s="1037"/>
      <c r="M50" s="1037"/>
      <c r="N50" s="1037"/>
      <c r="O50" s="1037"/>
      <c r="P50" s="1037"/>
      <c r="Q50" s="1037"/>
      <c r="R50" s="1038"/>
      <c r="T50" s="655"/>
    </row>
    <row r="51" spans="1:20" s="561" customFormat="1" ht="25.5" customHeight="1">
      <c r="A51" s="782"/>
      <c r="B51" s="773"/>
      <c r="C51" s="771" t="s">
        <v>158</v>
      </c>
      <c r="D51" s="771" t="s">
        <v>164</v>
      </c>
      <c r="E51" s="682">
        <v>8000000</v>
      </c>
      <c r="F51" s="682">
        <v>8000000</v>
      </c>
      <c r="G51" s="816">
        <f t="shared" si="2"/>
        <v>0</v>
      </c>
      <c r="H51" s="769">
        <f t="shared" si="1"/>
        <v>0</v>
      </c>
      <c r="I51" s="1039" t="s">
        <v>408</v>
      </c>
      <c r="J51" s="1040"/>
      <c r="K51" s="1040"/>
      <c r="L51" s="1040"/>
      <c r="M51" s="1040"/>
      <c r="N51" s="1040"/>
      <c r="O51" s="1040"/>
      <c r="P51" s="1040"/>
      <c r="Q51" s="1040"/>
      <c r="R51" s="1041"/>
      <c r="T51" s="655"/>
    </row>
    <row r="52" spans="1:20" s="561" customFormat="1" ht="22.5" customHeight="1">
      <c r="A52" s="782"/>
      <c r="B52" s="773"/>
      <c r="C52" s="766" t="s">
        <v>859</v>
      </c>
      <c r="D52" s="766" t="s">
        <v>107</v>
      </c>
      <c r="E52" s="645">
        <v>60531000</v>
      </c>
      <c r="F52" s="645">
        <f>SUM(F53:F55)</f>
        <v>2100000</v>
      </c>
      <c r="G52" s="639">
        <f t="shared" ref="G52:G55" si="3">F52-E52</f>
        <v>-58431000</v>
      </c>
      <c r="H52" s="769">
        <f t="shared" si="1"/>
        <v>-96.53070327600733</v>
      </c>
      <c r="I52" s="1022"/>
      <c r="J52" s="1023"/>
      <c r="K52" s="1023"/>
      <c r="L52" s="1023"/>
      <c r="M52" s="1023"/>
      <c r="N52" s="1023"/>
      <c r="O52" s="1023"/>
      <c r="P52" s="1023"/>
      <c r="Q52" s="1023"/>
      <c r="R52" s="1024"/>
      <c r="T52" s="655"/>
    </row>
    <row r="53" spans="1:20" s="561" customFormat="1" ht="22.5" customHeight="1">
      <c r="A53" s="782"/>
      <c r="B53" s="773"/>
      <c r="C53" s="771"/>
      <c r="D53" s="766" t="s">
        <v>859</v>
      </c>
      <c r="E53" s="645">
        <v>50006000</v>
      </c>
      <c r="F53" s="645"/>
      <c r="G53" s="639">
        <f t="shared" si="3"/>
        <v>-50006000</v>
      </c>
      <c r="H53" s="769">
        <v>0</v>
      </c>
      <c r="I53" s="1022" t="s">
        <v>997</v>
      </c>
      <c r="J53" s="1023"/>
      <c r="K53" s="1023"/>
      <c r="L53" s="1023"/>
      <c r="M53" s="1023"/>
      <c r="N53" s="1023"/>
      <c r="O53" s="1023"/>
      <c r="P53" s="1023"/>
      <c r="Q53" s="1023"/>
      <c r="R53" s="1024"/>
      <c r="T53" s="655"/>
    </row>
    <row r="54" spans="1:20" s="561" customFormat="1" ht="22.5" customHeight="1">
      <c r="A54" s="782"/>
      <c r="B54" s="773"/>
      <c r="C54" s="774"/>
      <c r="D54" s="766" t="s">
        <v>859</v>
      </c>
      <c r="E54" s="645">
        <v>9650000</v>
      </c>
      <c r="F54" s="645"/>
      <c r="G54" s="639">
        <f t="shared" si="3"/>
        <v>-9650000</v>
      </c>
      <c r="H54" s="769">
        <v>0</v>
      </c>
      <c r="I54" s="1022" t="s">
        <v>995</v>
      </c>
      <c r="J54" s="1023"/>
      <c r="K54" s="1023"/>
      <c r="L54" s="1023"/>
      <c r="M54" s="1023"/>
      <c r="N54" s="1023"/>
      <c r="O54" s="1023"/>
      <c r="P54" s="1023"/>
      <c r="Q54" s="1023"/>
      <c r="R54" s="1024"/>
      <c r="T54" s="655"/>
    </row>
    <row r="55" spans="1:20" s="561" customFormat="1" ht="23.25" customHeight="1">
      <c r="A55" s="782"/>
      <c r="B55" s="778"/>
      <c r="C55" s="777"/>
      <c r="D55" s="766" t="s">
        <v>859</v>
      </c>
      <c r="E55" s="645">
        <v>875000</v>
      </c>
      <c r="F55" s="645">
        <v>2100000</v>
      </c>
      <c r="G55" s="639">
        <f t="shared" si="3"/>
        <v>1225000</v>
      </c>
      <c r="H55" s="769">
        <v>0</v>
      </c>
      <c r="I55" s="1025" t="s">
        <v>996</v>
      </c>
      <c r="J55" s="1026"/>
      <c r="K55" s="1026"/>
      <c r="L55" s="1026"/>
      <c r="M55" s="1026"/>
      <c r="N55" s="1026"/>
      <c r="O55" s="1026"/>
      <c r="P55" s="1026"/>
      <c r="Q55" s="1026"/>
      <c r="R55" s="1027"/>
      <c r="T55" s="655"/>
    </row>
    <row r="56" spans="1:20" s="561" customFormat="1" ht="24" customHeight="1">
      <c r="A56" s="787" t="s">
        <v>149</v>
      </c>
      <c r="B56" s="1017" t="s">
        <v>162</v>
      </c>
      <c r="C56" s="1018"/>
      <c r="D56" s="766"/>
      <c r="E56" s="645">
        <v>511720</v>
      </c>
      <c r="F56" s="645">
        <f>F57</f>
        <v>542480</v>
      </c>
      <c r="G56" s="639">
        <f>F56-E56</f>
        <v>30760</v>
      </c>
      <c r="H56" s="769">
        <f t="shared" ref="H56:H61" si="4">G56/E56*100</f>
        <v>6.0110998202141799</v>
      </c>
      <c r="I56" s="1068"/>
      <c r="J56" s="1069"/>
      <c r="K56" s="1069"/>
      <c r="L56" s="1069"/>
      <c r="M56" s="1069"/>
      <c r="N56" s="1069"/>
      <c r="O56" s="1069"/>
      <c r="P56" s="1069"/>
      <c r="Q56" s="1069"/>
      <c r="R56" s="1070"/>
      <c r="T56" s="655"/>
    </row>
    <row r="57" spans="1:20" s="561" customFormat="1" ht="24" customHeight="1">
      <c r="A57" s="788"/>
      <c r="B57" s="772" t="s">
        <v>149</v>
      </c>
      <c r="C57" s="772" t="s">
        <v>130</v>
      </c>
      <c r="D57" s="772"/>
      <c r="E57" s="638">
        <v>511720</v>
      </c>
      <c r="F57" s="638">
        <f>F58</f>
        <v>542480</v>
      </c>
      <c r="G57" s="639">
        <f t="shared" ref="G57:G60" si="5">F57-E57</f>
        <v>30760</v>
      </c>
      <c r="H57" s="769">
        <f t="shared" si="4"/>
        <v>6.0110998202141799</v>
      </c>
      <c r="I57" s="1022"/>
      <c r="J57" s="1023"/>
      <c r="K57" s="1023"/>
      <c r="L57" s="1023"/>
      <c r="M57" s="1023"/>
      <c r="N57" s="1023"/>
      <c r="O57" s="1023"/>
      <c r="P57" s="1023"/>
      <c r="Q57" s="1023"/>
      <c r="R57" s="1024"/>
      <c r="T57" s="655"/>
    </row>
    <row r="58" spans="1:20" s="561" customFormat="1" ht="24" customHeight="1">
      <c r="A58" s="789"/>
      <c r="B58" s="772"/>
      <c r="C58" s="772" t="s">
        <v>149</v>
      </c>
      <c r="D58" s="772"/>
      <c r="E58" s="646">
        <v>511720</v>
      </c>
      <c r="F58" s="646">
        <f>다.국도시세입!F39</f>
        <v>542480</v>
      </c>
      <c r="G58" s="639">
        <f t="shared" si="5"/>
        <v>30760</v>
      </c>
      <c r="H58" s="769">
        <f t="shared" si="4"/>
        <v>6.0110998202141799</v>
      </c>
      <c r="I58" s="1022"/>
      <c r="J58" s="1034"/>
      <c r="K58" s="1034"/>
      <c r="L58" s="1034"/>
      <c r="M58" s="1034"/>
      <c r="N58" s="1034"/>
      <c r="O58" s="1034"/>
      <c r="P58" s="1034"/>
      <c r="Q58" s="1034"/>
      <c r="R58" s="1035"/>
      <c r="T58" s="655"/>
    </row>
    <row r="59" spans="1:20" s="561" customFormat="1" ht="24" customHeight="1">
      <c r="A59" s="787" t="s">
        <v>580</v>
      </c>
      <c r="B59" s="1017" t="s">
        <v>162</v>
      </c>
      <c r="C59" s="1018"/>
      <c r="D59" s="772"/>
      <c r="E59" s="638">
        <v>40110830</v>
      </c>
      <c r="F59" s="638">
        <f>F60</f>
        <v>25205000</v>
      </c>
      <c r="G59" s="639">
        <f t="shared" si="5"/>
        <v>-14905830</v>
      </c>
      <c r="H59" s="769">
        <f t="shared" si="4"/>
        <v>-37.161609470559448</v>
      </c>
      <c r="I59" s="1022"/>
      <c r="J59" s="1034"/>
      <c r="K59" s="1034"/>
      <c r="L59" s="1034"/>
      <c r="M59" s="1034"/>
      <c r="N59" s="1034"/>
      <c r="O59" s="1034"/>
      <c r="P59" s="1034"/>
      <c r="Q59" s="1034"/>
      <c r="R59" s="1035"/>
      <c r="T59" s="655"/>
    </row>
    <row r="60" spans="1:20" s="561" customFormat="1" ht="24" customHeight="1">
      <c r="A60" s="788"/>
      <c r="B60" s="775" t="s">
        <v>151</v>
      </c>
      <c r="C60" s="772" t="s">
        <v>107</v>
      </c>
      <c r="D60" s="772"/>
      <c r="E60" s="645">
        <v>40110830</v>
      </c>
      <c r="F60" s="645">
        <f>F61</f>
        <v>25205000</v>
      </c>
      <c r="G60" s="639">
        <f t="shared" si="5"/>
        <v>-14905830</v>
      </c>
      <c r="H60" s="769">
        <f t="shared" si="4"/>
        <v>-37.161609470559448</v>
      </c>
      <c r="I60" s="1022"/>
      <c r="J60" s="1034"/>
      <c r="K60" s="1034"/>
      <c r="L60" s="1034"/>
      <c r="M60" s="1034"/>
      <c r="N60" s="1034"/>
      <c r="O60" s="1034"/>
      <c r="P60" s="1034"/>
      <c r="Q60" s="1034"/>
      <c r="R60" s="1035"/>
      <c r="T60" s="655"/>
    </row>
    <row r="61" spans="1:20" s="561" customFormat="1" ht="24" customHeight="1">
      <c r="A61" s="790"/>
      <c r="B61" s="791"/>
      <c r="C61" s="792" t="s">
        <v>150</v>
      </c>
      <c r="D61" s="792"/>
      <c r="E61" s="678">
        <v>40110830</v>
      </c>
      <c r="F61" s="678">
        <f>다.국도시세입!F34</f>
        <v>25205000</v>
      </c>
      <c r="G61" s="793">
        <f>F61-E61</f>
        <v>-14905830</v>
      </c>
      <c r="H61" s="794">
        <f t="shared" si="4"/>
        <v>-37.161609470559448</v>
      </c>
      <c r="I61" s="1031"/>
      <c r="J61" s="1032"/>
      <c r="K61" s="1032"/>
      <c r="L61" s="1032"/>
      <c r="M61" s="1032"/>
      <c r="N61" s="1032"/>
      <c r="O61" s="1032"/>
      <c r="P61" s="1032"/>
      <c r="Q61" s="1032"/>
      <c r="R61" s="1033"/>
      <c r="T61" s="655"/>
    </row>
    <row r="62" spans="1:20" s="561" customFormat="1" ht="16.5" customHeight="1">
      <c r="A62" s="795"/>
      <c r="B62" s="795"/>
      <c r="C62" s="796"/>
      <c r="D62" s="796"/>
      <c r="E62" s="797"/>
      <c r="F62" s="797"/>
      <c r="G62" s="798"/>
      <c r="H62" s="799"/>
      <c r="I62" s="800"/>
      <c r="J62" s="801"/>
      <c r="K62" s="801"/>
      <c r="L62" s="801"/>
      <c r="M62" s="801"/>
      <c r="N62" s="801"/>
      <c r="O62" s="801"/>
      <c r="P62" s="801"/>
      <c r="Q62" s="801"/>
      <c r="R62" s="801"/>
      <c r="T62" s="655"/>
    </row>
    <row r="63" spans="1:20" s="561" customFormat="1" ht="12" customHeight="1">
      <c r="E63" s="475"/>
      <c r="G63" s="802"/>
      <c r="J63" s="667"/>
      <c r="K63" s="667"/>
      <c r="L63" s="667"/>
      <c r="M63" s="667"/>
      <c r="N63" s="667"/>
      <c r="O63" s="667"/>
      <c r="P63" s="667"/>
      <c r="Q63" s="493"/>
      <c r="R63" s="667"/>
      <c r="T63" s="655"/>
    </row>
    <row r="64" spans="1:20" s="561" customFormat="1" ht="12" customHeight="1">
      <c r="E64" s="475"/>
      <c r="G64" s="802"/>
      <c r="J64" s="667"/>
      <c r="K64" s="667"/>
      <c r="L64" s="667"/>
      <c r="M64" s="667"/>
      <c r="N64" s="667"/>
      <c r="O64" s="667"/>
      <c r="P64" s="667"/>
      <c r="Q64" s="493"/>
      <c r="R64" s="667"/>
      <c r="T64" s="655"/>
    </row>
    <row r="65" spans="5:20" s="561" customFormat="1" ht="12" customHeight="1">
      <c r="E65" s="475"/>
      <c r="G65" s="802"/>
      <c r="J65" s="667"/>
      <c r="K65" s="667"/>
      <c r="L65" s="667"/>
      <c r="M65" s="667"/>
      <c r="N65" s="667"/>
      <c r="O65" s="667"/>
      <c r="P65" s="667"/>
      <c r="Q65" s="493"/>
      <c r="R65" s="667"/>
      <c r="T65" s="655"/>
    </row>
    <row r="66" spans="5:20" s="561" customFormat="1" ht="12" customHeight="1">
      <c r="E66" s="475"/>
      <c r="G66" s="802"/>
      <c r="J66" s="667"/>
      <c r="K66" s="667"/>
      <c r="L66" s="667"/>
      <c r="M66" s="667"/>
      <c r="N66" s="667"/>
      <c r="O66" s="667"/>
      <c r="P66" s="667"/>
      <c r="Q66" s="493"/>
      <c r="R66" s="667"/>
      <c r="T66" s="655"/>
    </row>
    <row r="67" spans="5:20" s="561" customFormat="1" ht="12" customHeight="1">
      <c r="E67" s="475"/>
      <c r="G67" s="802"/>
      <c r="J67" s="667"/>
      <c r="K67" s="667"/>
      <c r="L67" s="667"/>
      <c r="M67" s="667"/>
      <c r="N67" s="667"/>
      <c r="O67" s="667"/>
      <c r="P67" s="667"/>
      <c r="Q67" s="493"/>
      <c r="R67" s="667"/>
      <c r="T67" s="655"/>
    </row>
    <row r="68" spans="5:20" s="561" customFormat="1" ht="12" customHeight="1">
      <c r="E68" s="475"/>
      <c r="G68" s="802"/>
      <c r="J68" s="667"/>
      <c r="K68" s="667"/>
      <c r="L68" s="667"/>
      <c r="M68" s="667"/>
      <c r="N68" s="667"/>
      <c r="O68" s="667"/>
      <c r="P68" s="667"/>
      <c r="Q68" s="493"/>
      <c r="R68" s="667"/>
      <c r="T68" s="655"/>
    </row>
    <row r="69" spans="5:20" s="561" customFormat="1" ht="12" customHeight="1">
      <c r="E69" s="475"/>
      <c r="G69" s="802"/>
      <c r="J69" s="667"/>
      <c r="K69" s="667"/>
      <c r="L69" s="667"/>
      <c r="M69" s="667"/>
      <c r="N69" s="667"/>
      <c r="O69" s="667"/>
      <c r="P69" s="667"/>
      <c r="Q69" s="493"/>
      <c r="R69" s="667"/>
      <c r="T69" s="655"/>
    </row>
    <row r="70" spans="5:20" s="561" customFormat="1" ht="12" customHeight="1">
      <c r="E70" s="475"/>
      <c r="G70" s="803"/>
      <c r="J70" s="667"/>
      <c r="K70" s="667"/>
      <c r="L70" s="667"/>
      <c r="M70" s="667"/>
      <c r="N70" s="667"/>
      <c r="O70" s="667"/>
      <c r="P70" s="667"/>
      <c r="Q70" s="493"/>
      <c r="R70" s="667"/>
      <c r="T70" s="655"/>
    </row>
    <row r="71" spans="5:20" s="561" customFormat="1" ht="12" customHeight="1">
      <c r="E71" s="475"/>
      <c r="G71" s="803"/>
      <c r="J71" s="667"/>
      <c r="K71" s="667"/>
      <c r="L71" s="667"/>
      <c r="M71" s="667"/>
      <c r="N71" s="667"/>
      <c r="O71" s="667"/>
      <c r="P71" s="667"/>
      <c r="Q71" s="493"/>
      <c r="R71" s="667"/>
      <c r="T71" s="655"/>
    </row>
    <row r="72" spans="5:20" s="561" customFormat="1" ht="12" customHeight="1">
      <c r="E72" s="475"/>
      <c r="G72" s="803"/>
      <c r="J72" s="667"/>
      <c r="K72" s="667"/>
      <c r="L72" s="667"/>
      <c r="M72" s="667"/>
      <c r="N72" s="667"/>
      <c r="O72" s="667"/>
      <c r="P72" s="667"/>
      <c r="Q72" s="493"/>
      <c r="R72" s="667"/>
      <c r="T72" s="655"/>
    </row>
    <row r="73" spans="5:20" s="561" customFormat="1" ht="12" customHeight="1">
      <c r="E73" s="475"/>
      <c r="G73" s="803"/>
      <c r="J73" s="667"/>
      <c r="K73" s="667"/>
      <c r="L73" s="667"/>
      <c r="M73" s="667"/>
      <c r="N73" s="667"/>
      <c r="O73" s="667"/>
      <c r="P73" s="667"/>
      <c r="Q73" s="493"/>
      <c r="R73" s="667"/>
      <c r="T73" s="655"/>
    </row>
    <row r="74" spans="5:20" s="561" customFormat="1" ht="12" customHeight="1">
      <c r="E74" s="475"/>
      <c r="G74" s="803"/>
      <c r="J74" s="667"/>
      <c r="K74" s="667"/>
      <c r="L74" s="667"/>
      <c r="M74" s="667"/>
      <c r="N74" s="667"/>
      <c r="O74" s="667"/>
      <c r="P74" s="667"/>
      <c r="Q74" s="493"/>
      <c r="R74" s="667"/>
      <c r="T74" s="655"/>
    </row>
    <row r="75" spans="5:20" s="561" customFormat="1" ht="12" customHeight="1">
      <c r="E75" s="475"/>
      <c r="G75" s="803"/>
      <c r="J75" s="667"/>
      <c r="K75" s="667"/>
      <c r="L75" s="667"/>
      <c r="M75" s="667"/>
      <c r="N75" s="667"/>
      <c r="O75" s="667"/>
      <c r="P75" s="667"/>
      <c r="Q75" s="493"/>
      <c r="R75" s="667"/>
      <c r="T75" s="655"/>
    </row>
    <row r="76" spans="5:20" s="561" customFormat="1" ht="12" customHeight="1">
      <c r="E76" s="475"/>
      <c r="G76" s="803"/>
      <c r="J76" s="667"/>
      <c r="K76" s="667"/>
      <c r="L76" s="667"/>
      <c r="M76" s="667"/>
      <c r="N76" s="667"/>
      <c r="O76" s="667"/>
      <c r="P76" s="667"/>
      <c r="Q76" s="493"/>
      <c r="R76" s="667"/>
      <c r="T76" s="655"/>
    </row>
    <row r="77" spans="5:20" s="561" customFormat="1" ht="12" customHeight="1">
      <c r="E77" s="475"/>
      <c r="G77" s="803"/>
      <c r="J77" s="667"/>
      <c r="K77" s="667"/>
      <c r="L77" s="667"/>
      <c r="M77" s="667"/>
      <c r="N77" s="667"/>
      <c r="O77" s="667"/>
      <c r="P77" s="667"/>
      <c r="Q77" s="493"/>
      <c r="R77" s="667"/>
      <c r="T77" s="655"/>
    </row>
    <row r="78" spans="5:20" s="561" customFormat="1" ht="12" customHeight="1">
      <c r="E78" s="475"/>
      <c r="G78" s="803"/>
      <c r="J78" s="667"/>
      <c r="K78" s="667"/>
      <c r="L78" s="667"/>
      <c r="M78" s="667"/>
      <c r="N78" s="667"/>
      <c r="O78" s="667"/>
      <c r="P78" s="667"/>
      <c r="Q78" s="493"/>
      <c r="R78" s="667"/>
      <c r="T78" s="655"/>
    </row>
    <row r="79" spans="5:20" s="561" customFormat="1" ht="12" customHeight="1">
      <c r="E79" s="475"/>
      <c r="G79" s="803"/>
      <c r="J79" s="667"/>
      <c r="K79" s="667"/>
      <c r="L79" s="667"/>
      <c r="M79" s="667"/>
      <c r="N79" s="667"/>
      <c r="O79" s="667"/>
      <c r="P79" s="667"/>
      <c r="Q79" s="493"/>
      <c r="R79" s="667"/>
      <c r="T79" s="655"/>
    </row>
    <row r="80" spans="5:20" s="561" customFormat="1" ht="12" customHeight="1">
      <c r="E80" s="475"/>
      <c r="G80" s="803"/>
      <c r="J80" s="667"/>
      <c r="K80" s="667"/>
      <c r="L80" s="667"/>
      <c r="M80" s="667"/>
      <c r="N80" s="667"/>
      <c r="O80" s="667"/>
      <c r="P80" s="667"/>
      <c r="Q80" s="493"/>
      <c r="R80" s="667"/>
      <c r="T80" s="655"/>
    </row>
    <row r="81" spans="5:20" s="561" customFormat="1" ht="12" customHeight="1">
      <c r="E81" s="475"/>
      <c r="G81" s="803"/>
      <c r="J81" s="667"/>
      <c r="K81" s="667"/>
      <c r="L81" s="667"/>
      <c r="M81" s="667"/>
      <c r="N81" s="667"/>
      <c r="O81" s="667"/>
      <c r="P81" s="667"/>
      <c r="Q81" s="493"/>
      <c r="R81" s="667"/>
      <c r="T81" s="655"/>
    </row>
    <row r="82" spans="5:20" s="561" customFormat="1" ht="12" customHeight="1">
      <c r="E82" s="475"/>
      <c r="G82" s="803"/>
      <c r="J82" s="667"/>
      <c r="K82" s="667"/>
      <c r="L82" s="667"/>
      <c r="M82" s="667"/>
      <c r="N82" s="667"/>
      <c r="O82" s="667"/>
      <c r="P82" s="667"/>
      <c r="Q82" s="493"/>
      <c r="R82" s="667"/>
      <c r="T82" s="655"/>
    </row>
    <row r="83" spans="5:20" s="561" customFormat="1" ht="12" customHeight="1">
      <c r="E83" s="475"/>
      <c r="G83" s="803"/>
      <c r="J83" s="667"/>
      <c r="K83" s="667"/>
      <c r="L83" s="667"/>
      <c r="M83" s="667"/>
      <c r="N83" s="667"/>
      <c r="O83" s="667"/>
      <c r="P83" s="667"/>
      <c r="Q83" s="493"/>
      <c r="R83" s="667"/>
      <c r="T83" s="655"/>
    </row>
    <row r="84" spans="5:20" s="561" customFormat="1" ht="12" customHeight="1">
      <c r="E84" s="475"/>
      <c r="G84" s="803"/>
      <c r="J84" s="667"/>
      <c r="K84" s="667"/>
      <c r="L84" s="667"/>
      <c r="M84" s="667"/>
      <c r="N84" s="667"/>
      <c r="O84" s="667"/>
      <c r="P84" s="667"/>
      <c r="Q84" s="493"/>
      <c r="R84" s="667"/>
      <c r="T84" s="655"/>
    </row>
    <row r="85" spans="5:20" s="561" customFormat="1" ht="12" customHeight="1">
      <c r="E85" s="475"/>
      <c r="G85" s="803"/>
      <c r="J85" s="667"/>
      <c r="K85" s="667"/>
      <c r="L85" s="667"/>
      <c r="M85" s="667"/>
      <c r="N85" s="667"/>
      <c r="O85" s="667"/>
      <c r="P85" s="667"/>
      <c r="Q85" s="493"/>
      <c r="R85" s="667"/>
      <c r="T85" s="655"/>
    </row>
    <row r="86" spans="5:20" s="561" customFormat="1" ht="12" customHeight="1">
      <c r="E86" s="475"/>
      <c r="G86" s="803"/>
      <c r="J86" s="667"/>
      <c r="K86" s="667"/>
      <c r="L86" s="667"/>
      <c r="M86" s="667"/>
      <c r="N86" s="667"/>
      <c r="O86" s="667"/>
      <c r="P86" s="667"/>
      <c r="Q86" s="493"/>
      <c r="R86" s="667"/>
      <c r="T86" s="655"/>
    </row>
    <row r="87" spans="5:20" s="561" customFormat="1" ht="12" customHeight="1">
      <c r="E87" s="475"/>
      <c r="G87" s="803"/>
      <c r="J87" s="667"/>
      <c r="K87" s="667"/>
      <c r="L87" s="667"/>
      <c r="M87" s="667"/>
      <c r="N87" s="667"/>
      <c r="O87" s="667"/>
      <c r="P87" s="667"/>
      <c r="Q87" s="493"/>
      <c r="R87" s="667"/>
      <c r="T87" s="655"/>
    </row>
    <row r="88" spans="5:20" s="561" customFormat="1" ht="12" customHeight="1">
      <c r="E88" s="475"/>
      <c r="G88" s="803"/>
      <c r="J88" s="667"/>
      <c r="K88" s="667"/>
      <c r="L88" s="667"/>
      <c r="M88" s="667"/>
      <c r="N88" s="667"/>
      <c r="O88" s="667"/>
      <c r="P88" s="667"/>
      <c r="Q88" s="493"/>
      <c r="R88" s="667"/>
      <c r="T88" s="655"/>
    </row>
    <row r="89" spans="5:20" s="561" customFormat="1" ht="12" customHeight="1">
      <c r="E89" s="475"/>
      <c r="G89" s="803"/>
      <c r="J89" s="667"/>
      <c r="K89" s="667"/>
      <c r="L89" s="667"/>
      <c r="M89" s="667"/>
      <c r="N89" s="667"/>
      <c r="O89" s="667"/>
      <c r="P89" s="667"/>
      <c r="Q89" s="493"/>
      <c r="R89" s="667"/>
      <c r="T89" s="655"/>
    </row>
    <row r="90" spans="5:20" s="561" customFormat="1" ht="12" customHeight="1">
      <c r="E90" s="475"/>
      <c r="G90" s="803"/>
      <c r="J90" s="667"/>
      <c r="K90" s="667"/>
      <c r="L90" s="667"/>
      <c r="M90" s="667"/>
      <c r="N90" s="667"/>
      <c r="O90" s="667"/>
      <c r="P90" s="667"/>
      <c r="Q90" s="493"/>
      <c r="R90" s="667"/>
      <c r="T90" s="655"/>
    </row>
    <row r="91" spans="5:20" s="561" customFormat="1" ht="12" customHeight="1">
      <c r="E91" s="475"/>
      <c r="G91" s="803"/>
      <c r="J91" s="667"/>
      <c r="K91" s="667"/>
      <c r="L91" s="667"/>
      <c r="M91" s="667"/>
      <c r="N91" s="667"/>
      <c r="O91" s="667"/>
      <c r="P91" s="667"/>
      <c r="Q91" s="493"/>
      <c r="R91" s="667"/>
      <c r="T91" s="655"/>
    </row>
    <row r="92" spans="5:20" s="561" customFormat="1" ht="12" customHeight="1">
      <c r="E92" s="475"/>
      <c r="G92" s="803"/>
      <c r="J92" s="667"/>
      <c r="K92" s="667"/>
      <c r="L92" s="667"/>
      <c r="M92" s="667"/>
      <c r="N92" s="667"/>
      <c r="O92" s="667"/>
      <c r="P92" s="667"/>
      <c r="Q92" s="493"/>
      <c r="R92" s="667"/>
      <c r="T92" s="655"/>
    </row>
    <row r="93" spans="5:20" s="561" customFormat="1" ht="12" customHeight="1">
      <c r="E93" s="475"/>
      <c r="G93" s="803"/>
      <c r="J93" s="667"/>
      <c r="K93" s="667"/>
      <c r="L93" s="667"/>
      <c r="M93" s="667"/>
      <c r="N93" s="667"/>
      <c r="O93" s="667"/>
      <c r="P93" s="667"/>
      <c r="Q93" s="493"/>
      <c r="R93" s="667"/>
      <c r="T93" s="655"/>
    </row>
    <row r="94" spans="5:20" s="561" customFormat="1" ht="12" customHeight="1">
      <c r="E94" s="475"/>
      <c r="G94" s="803"/>
      <c r="J94" s="667"/>
      <c r="K94" s="667"/>
      <c r="L94" s="667"/>
      <c r="M94" s="667"/>
      <c r="N94" s="667"/>
      <c r="O94" s="667"/>
      <c r="P94" s="667"/>
      <c r="Q94" s="493"/>
      <c r="R94" s="667"/>
      <c r="T94" s="655"/>
    </row>
    <row r="95" spans="5:20" s="561" customFormat="1" ht="12" customHeight="1">
      <c r="E95" s="475"/>
      <c r="G95" s="803"/>
      <c r="J95" s="667"/>
      <c r="K95" s="667"/>
      <c r="L95" s="667"/>
      <c r="M95" s="667"/>
      <c r="N95" s="667"/>
      <c r="O95" s="667"/>
      <c r="P95" s="667"/>
      <c r="Q95" s="493"/>
      <c r="R95" s="667"/>
      <c r="T95" s="655"/>
    </row>
    <row r="96" spans="5:20" s="561" customFormat="1" ht="12" customHeight="1">
      <c r="E96" s="475"/>
      <c r="G96" s="803"/>
      <c r="J96" s="667"/>
      <c r="K96" s="667"/>
      <c r="L96" s="667"/>
      <c r="M96" s="667"/>
      <c r="N96" s="667"/>
      <c r="O96" s="667"/>
      <c r="P96" s="667"/>
      <c r="Q96" s="493"/>
      <c r="R96" s="667"/>
      <c r="T96" s="655"/>
    </row>
    <row r="97" spans="5:20" s="561" customFormat="1" ht="12" customHeight="1">
      <c r="E97" s="475"/>
      <c r="G97" s="803"/>
      <c r="J97" s="667"/>
      <c r="K97" s="667"/>
      <c r="L97" s="667"/>
      <c r="M97" s="667"/>
      <c r="N97" s="667"/>
      <c r="O97" s="667"/>
      <c r="P97" s="667"/>
      <c r="Q97" s="493"/>
      <c r="R97" s="667"/>
      <c r="T97" s="655"/>
    </row>
    <row r="98" spans="5:20" s="561" customFormat="1" ht="12" customHeight="1">
      <c r="E98" s="475"/>
      <c r="G98" s="803"/>
      <c r="J98" s="667"/>
      <c r="K98" s="667"/>
      <c r="L98" s="667"/>
      <c r="M98" s="667"/>
      <c r="N98" s="667"/>
      <c r="O98" s="667"/>
      <c r="P98" s="667"/>
      <c r="Q98" s="493"/>
      <c r="R98" s="667"/>
      <c r="T98" s="655"/>
    </row>
    <row r="99" spans="5:20" s="561" customFormat="1" ht="12" customHeight="1">
      <c r="E99" s="475"/>
      <c r="G99" s="803"/>
      <c r="J99" s="667"/>
      <c r="K99" s="667"/>
      <c r="L99" s="667"/>
      <c r="M99" s="667"/>
      <c r="N99" s="667"/>
      <c r="O99" s="667"/>
      <c r="P99" s="667"/>
      <c r="Q99" s="493"/>
      <c r="R99" s="667"/>
      <c r="T99" s="655"/>
    </row>
    <row r="100" spans="5:20" s="561" customFormat="1" ht="12" customHeight="1">
      <c r="E100" s="475"/>
      <c r="G100" s="803"/>
      <c r="J100" s="667"/>
      <c r="K100" s="667"/>
      <c r="L100" s="667"/>
      <c r="M100" s="667"/>
      <c r="N100" s="667"/>
      <c r="O100" s="667"/>
      <c r="P100" s="667"/>
      <c r="Q100" s="493"/>
      <c r="R100" s="667"/>
      <c r="T100" s="655"/>
    </row>
    <row r="101" spans="5:20" s="561" customFormat="1" ht="12" customHeight="1">
      <c r="E101" s="475"/>
      <c r="G101" s="803"/>
      <c r="J101" s="667"/>
      <c r="K101" s="667"/>
      <c r="L101" s="667"/>
      <c r="M101" s="667"/>
      <c r="N101" s="667"/>
      <c r="O101" s="667"/>
      <c r="P101" s="667"/>
      <c r="Q101" s="493"/>
      <c r="R101" s="667"/>
      <c r="T101" s="655"/>
    </row>
    <row r="102" spans="5:20" s="561" customFormat="1" ht="12" customHeight="1">
      <c r="E102" s="475"/>
      <c r="G102" s="803"/>
      <c r="J102" s="667"/>
      <c r="K102" s="667"/>
      <c r="L102" s="667"/>
      <c r="M102" s="667"/>
      <c r="N102" s="667"/>
      <c r="O102" s="667"/>
      <c r="P102" s="667"/>
      <c r="Q102" s="493"/>
      <c r="R102" s="667"/>
      <c r="T102" s="655"/>
    </row>
    <row r="103" spans="5:20" s="561" customFormat="1" ht="12" customHeight="1">
      <c r="E103" s="475"/>
      <c r="G103" s="803"/>
      <c r="J103" s="667"/>
      <c r="K103" s="667"/>
      <c r="L103" s="667"/>
      <c r="M103" s="667"/>
      <c r="N103" s="667"/>
      <c r="O103" s="667"/>
      <c r="P103" s="667"/>
      <c r="Q103" s="493"/>
      <c r="R103" s="667"/>
      <c r="T103" s="655"/>
    </row>
    <row r="104" spans="5:20" s="561" customFormat="1" ht="12" customHeight="1">
      <c r="E104" s="475"/>
      <c r="G104" s="803"/>
      <c r="J104" s="667"/>
      <c r="K104" s="667"/>
      <c r="L104" s="667"/>
      <c r="M104" s="667"/>
      <c r="N104" s="667"/>
      <c r="O104" s="667"/>
      <c r="P104" s="667"/>
      <c r="Q104" s="493"/>
      <c r="R104" s="667"/>
      <c r="T104" s="655"/>
    </row>
    <row r="105" spans="5:20" s="561" customFormat="1" ht="12" customHeight="1">
      <c r="E105" s="475"/>
      <c r="G105" s="803"/>
      <c r="J105" s="667"/>
      <c r="K105" s="667"/>
      <c r="L105" s="667"/>
      <c r="M105" s="667"/>
      <c r="N105" s="667"/>
      <c r="O105" s="667"/>
      <c r="P105" s="667"/>
      <c r="Q105" s="493"/>
      <c r="R105" s="667"/>
      <c r="T105" s="655"/>
    </row>
    <row r="106" spans="5:20" s="561" customFormat="1" ht="12" customHeight="1">
      <c r="E106" s="475"/>
      <c r="G106" s="803"/>
      <c r="J106" s="667"/>
      <c r="K106" s="667"/>
      <c r="L106" s="667"/>
      <c r="M106" s="667"/>
      <c r="N106" s="667"/>
      <c r="O106" s="667"/>
      <c r="P106" s="667"/>
      <c r="Q106" s="493"/>
      <c r="R106" s="667"/>
      <c r="T106" s="655"/>
    </row>
    <row r="107" spans="5:20" s="561" customFormat="1" ht="12" customHeight="1">
      <c r="E107" s="475"/>
      <c r="G107" s="803"/>
      <c r="J107" s="667"/>
      <c r="K107" s="667"/>
      <c r="L107" s="667"/>
      <c r="M107" s="667"/>
      <c r="N107" s="667"/>
      <c r="O107" s="667"/>
      <c r="P107" s="667"/>
      <c r="Q107" s="493"/>
      <c r="R107" s="667"/>
      <c r="T107" s="655"/>
    </row>
    <row r="108" spans="5:20" s="561" customFormat="1" ht="12" customHeight="1">
      <c r="E108" s="475"/>
      <c r="G108" s="803"/>
      <c r="J108" s="667"/>
      <c r="K108" s="667"/>
      <c r="L108" s="667"/>
      <c r="M108" s="667"/>
      <c r="N108" s="667"/>
      <c r="O108" s="667"/>
      <c r="P108" s="667"/>
      <c r="Q108" s="493"/>
      <c r="R108" s="667"/>
      <c r="T108" s="655"/>
    </row>
    <row r="109" spans="5:20" s="561" customFormat="1" ht="12" customHeight="1">
      <c r="E109" s="475"/>
      <c r="G109" s="803"/>
      <c r="J109" s="667"/>
      <c r="K109" s="667"/>
      <c r="L109" s="667"/>
      <c r="M109" s="667"/>
      <c r="N109" s="667"/>
      <c r="O109" s="667"/>
      <c r="P109" s="667"/>
      <c r="Q109" s="493"/>
      <c r="R109" s="667"/>
      <c r="T109" s="655"/>
    </row>
    <row r="110" spans="5:20" s="561" customFormat="1" ht="12" customHeight="1">
      <c r="E110" s="475"/>
      <c r="G110" s="803"/>
      <c r="J110" s="667"/>
      <c r="K110" s="667"/>
      <c r="L110" s="667"/>
      <c r="M110" s="667"/>
      <c r="N110" s="667"/>
      <c r="O110" s="667"/>
      <c r="P110" s="667"/>
      <c r="Q110" s="493"/>
      <c r="R110" s="667"/>
      <c r="T110" s="655"/>
    </row>
    <row r="111" spans="5:20" s="561" customFormat="1" ht="12" customHeight="1">
      <c r="E111" s="475"/>
      <c r="G111" s="803"/>
      <c r="J111" s="667"/>
      <c r="K111" s="667"/>
      <c r="L111" s="667"/>
      <c r="M111" s="667"/>
      <c r="N111" s="667"/>
      <c r="O111" s="667"/>
      <c r="P111" s="667"/>
      <c r="Q111" s="493"/>
      <c r="R111" s="667"/>
      <c r="T111" s="655"/>
    </row>
    <row r="112" spans="5:20" s="561" customFormat="1" ht="12" customHeight="1">
      <c r="E112" s="475"/>
      <c r="G112" s="803"/>
      <c r="J112" s="667"/>
      <c r="K112" s="667"/>
      <c r="L112" s="667"/>
      <c r="M112" s="667"/>
      <c r="N112" s="667"/>
      <c r="O112" s="667"/>
      <c r="P112" s="667"/>
      <c r="Q112" s="493"/>
      <c r="R112" s="667"/>
      <c r="T112" s="655"/>
    </row>
    <row r="113" spans="5:20" s="561" customFormat="1" ht="12" customHeight="1">
      <c r="E113" s="475"/>
      <c r="G113" s="803"/>
      <c r="J113" s="667"/>
      <c r="K113" s="667"/>
      <c r="L113" s="667"/>
      <c r="M113" s="667"/>
      <c r="N113" s="667"/>
      <c r="O113" s="667"/>
      <c r="P113" s="667"/>
      <c r="Q113" s="493"/>
      <c r="R113" s="667"/>
      <c r="T113" s="655"/>
    </row>
    <row r="114" spans="5:20" s="561" customFormat="1" ht="12" customHeight="1">
      <c r="E114" s="475"/>
      <c r="G114" s="803"/>
      <c r="J114" s="667"/>
      <c r="K114" s="667"/>
      <c r="L114" s="667"/>
      <c r="M114" s="667"/>
      <c r="N114" s="667"/>
      <c r="O114" s="667"/>
      <c r="P114" s="667"/>
      <c r="Q114" s="493"/>
      <c r="R114" s="667"/>
      <c r="T114" s="655"/>
    </row>
    <row r="115" spans="5:20" s="561" customFormat="1" ht="12" customHeight="1">
      <c r="E115" s="475"/>
      <c r="G115" s="803"/>
      <c r="J115" s="667"/>
      <c r="K115" s="667"/>
      <c r="L115" s="667"/>
      <c r="M115" s="667"/>
      <c r="N115" s="667"/>
      <c r="O115" s="667"/>
      <c r="P115" s="667"/>
      <c r="Q115" s="493"/>
      <c r="R115" s="667"/>
      <c r="T115" s="655"/>
    </row>
    <row r="116" spans="5:20" s="561" customFormat="1" ht="12" customHeight="1">
      <c r="E116" s="475"/>
      <c r="G116" s="803"/>
      <c r="J116" s="667"/>
      <c r="K116" s="667"/>
      <c r="L116" s="667"/>
      <c r="M116" s="667"/>
      <c r="N116" s="667"/>
      <c r="O116" s="667"/>
      <c r="P116" s="667"/>
      <c r="Q116" s="493"/>
      <c r="R116" s="667"/>
      <c r="T116" s="655"/>
    </row>
    <row r="117" spans="5:20" s="561" customFormat="1" ht="12" customHeight="1">
      <c r="E117" s="475"/>
      <c r="G117" s="803"/>
      <c r="J117" s="667"/>
      <c r="K117" s="667"/>
      <c r="L117" s="667"/>
      <c r="M117" s="667"/>
      <c r="N117" s="667"/>
      <c r="O117" s="667"/>
      <c r="P117" s="667"/>
      <c r="Q117" s="493"/>
      <c r="R117" s="667"/>
      <c r="T117" s="655"/>
    </row>
    <row r="118" spans="5:20" s="561" customFormat="1" ht="12" customHeight="1">
      <c r="E118" s="475"/>
      <c r="G118" s="803"/>
      <c r="J118" s="667"/>
      <c r="K118" s="667"/>
      <c r="L118" s="667"/>
      <c r="M118" s="667"/>
      <c r="N118" s="667"/>
      <c r="O118" s="667"/>
      <c r="P118" s="667"/>
      <c r="Q118" s="493"/>
      <c r="R118" s="667"/>
      <c r="T118" s="655"/>
    </row>
    <row r="119" spans="5:20" s="561" customFormat="1" ht="12" customHeight="1">
      <c r="E119" s="475"/>
      <c r="G119" s="803"/>
      <c r="J119" s="667"/>
      <c r="K119" s="667"/>
      <c r="L119" s="667"/>
      <c r="M119" s="667"/>
      <c r="N119" s="667"/>
      <c r="O119" s="667"/>
      <c r="P119" s="667"/>
      <c r="Q119" s="493"/>
      <c r="R119" s="667"/>
      <c r="T119" s="655"/>
    </row>
    <row r="120" spans="5:20" s="561" customFormat="1" ht="12" customHeight="1">
      <c r="E120" s="475"/>
      <c r="G120" s="803"/>
      <c r="J120" s="667"/>
      <c r="K120" s="667"/>
      <c r="L120" s="667"/>
      <c r="M120" s="667"/>
      <c r="N120" s="667"/>
      <c r="O120" s="667"/>
      <c r="P120" s="667"/>
      <c r="Q120" s="493"/>
      <c r="R120" s="667"/>
      <c r="T120" s="655"/>
    </row>
    <row r="121" spans="5:20" s="561" customFormat="1" ht="12" customHeight="1">
      <c r="E121" s="475"/>
      <c r="G121" s="803"/>
      <c r="J121" s="667"/>
      <c r="K121" s="667"/>
      <c r="L121" s="667"/>
      <c r="M121" s="667"/>
      <c r="N121" s="667"/>
      <c r="O121" s="667"/>
      <c r="P121" s="667"/>
      <c r="Q121" s="493"/>
      <c r="R121" s="667"/>
      <c r="T121" s="655"/>
    </row>
    <row r="122" spans="5:20" s="561" customFormat="1" ht="12" customHeight="1">
      <c r="E122" s="475"/>
      <c r="G122" s="803"/>
      <c r="J122" s="667"/>
      <c r="K122" s="667"/>
      <c r="L122" s="667"/>
      <c r="M122" s="667"/>
      <c r="N122" s="667"/>
      <c r="O122" s="667"/>
      <c r="P122" s="667"/>
      <c r="Q122" s="493"/>
      <c r="R122" s="667"/>
      <c r="T122" s="655"/>
    </row>
    <row r="123" spans="5:20" s="561" customFormat="1" ht="12" customHeight="1">
      <c r="E123" s="475"/>
      <c r="G123" s="803"/>
      <c r="J123" s="667"/>
      <c r="K123" s="667"/>
      <c r="L123" s="667"/>
      <c r="M123" s="667"/>
      <c r="N123" s="667"/>
      <c r="O123" s="667"/>
      <c r="P123" s="667"/>
      <c r="Q123" s="493"/>
      <c r="R123" s="667"/>
      <c r="T123" s="655"/>
    </row>
    <row r="124" spans="5:20" s="561" customFormat="1" ht="12" customHeight="1">
      <c r="E124" s="475"/>
      <c r="G124" s="803"/>
      <c r="J124" s="667"/>
      <c r="K124" s="667"/>
      <c r="L124" s="667"/>
      <c r="M124" s="667"/>
      <c r="N124" s="667"/>
      <c r="O124" s="667"/>
      <c r="P124" s="667"/>
      <c r="Q124" s="493"/>
      <c r="R124" s="667"/>
      <c r="T124" s="655"/>
    </row>
    <row r="125" spans="5:20" s="561" customFormat="1" ht="12" customHeight="1">
      <c r="E125" s="475"/>
      <c r="G125" s="803"/>
      <c r="J125" s="667"/>
      <c r="K125" s="667"/>
      <c r="L125" s="667"/>
      <c r="M125" s="667"/>
      <c r="N125" s="667"/>
      <c r="O125" s="667"/>
      <c r="P125" s="667"/>
      <c r="Q125" s="493"/>
      <c r="R125" s="667"/>
      <c r="T125" s="655"/>
    </row>
    <row r="126" spans="5:20" s="561" customFormat="1" ht="12" customHeight="1">
      <c r="E126" s="475"/>
      <c r="G126" s="803"/>
      <c r="J126" s="667"/>
      <c r="K126" s="667"/>
      <c r="L126" s="667"/>
      <c r="M126" s="667"/>
      <c r="N126" s="667"/>
      <c r="O126" s="667"/>
      <c r="P126" s="667"/>
      <c r="Q126" s="493"/>
      <c r="R126" s="667"/>
      <c r="T126" s="655"/>
    </row>
    <row r="127" spans="5:20" s="561" customFormat="1" ht="12" customHeight="1">
      <c r="E127" s="475"/>
      <c r="G127" s="803"/>
      <c r="J127" s="667"/>
      <c r="K127" s="667"/>
      <c r="L127" s="667"/>
      <c r="M127" s="667"/>
      <c r="N127" s="667"/>
      <c r="O127" s="667"/>
      <c r="P127" s="667"/>
      <c r="Q127" s="493"/>
      <c r="R127" s="667"/>
      <c r="T127" s="655"/>
    </row>
    <row r="128" spans="5:20" s="561" customFormat="1" ht="12" customHeight="1">
      <c r="E128" s="475"/>
      <c r="G128" s="803"/>
      <c r="J128" s="667"/>
      <c r="K128" s="667"/>
      <c r="L128" s="667"/>
      <c r="M128" s="667"/>
      <c r="N128" s="667"/>
      <c r="O128" s="667"/>
      <c r="P128" s="667"/>
      <c r="Q128" s="493"/>
      <c r="R128" s="667"/>
      <c r="T128" s="655"/>
    </row>
    <row r="129" spans="5:20" s="561" customFormat="1" ht="12" customHeight="1">
      <c r="E129" s="475"/>
      <c r="G129" s="803"/>
      <c r="J129" s="667"/>
      <c r="K129" s="667"/>
      <c r="L129" s="667"/>
      <c r="M129" s="667"/>
      <c r="N129" s="667"/>
      <c r="O129" s="667"/>
      <c r="P129" s="667"/>
      <c r="Q129" s="493"/>
      <c r="R129" s="667"/>
      <c r="T129" s="655"/>
    </row>
    <row r="130" spans="5:20" s="561" customFormat="1" ht="12" customHeight="1">
      <c r="E130" s="475"/>
      <c r="G130" s="803"/>
      <c r="J130" s="667"/>
      <c r="K130" s="667"/>
      <c r="L130" s="667"/>
      <c r="M130" s="667"/>
      <c r="N130" s="667"/>
      <c r="O130" s="667"/>
      <c r="P130" s="667"/>
      <c r="Q130" s="493"/>
      <c r="R130" s="667"/>
      <c r="T130" s="655"/>
    </row>
    <row r="131" spans="5:20" s="561" customFormat="1" ht="12" customHeight="1">
      <c r="E131" s="475"/>
      <c r="G131" s="803"/>
      <c r="J131" s="667"/>
      <c r="K131" s="667"/>
      <c r="L131" s="667"/>
      <c r="M131" s="667"/>
      <c r="N131" s="667"/>
      <c r="O131" s="667"/>
      <c r="P131" s="667"/>
      <c r="Q131" s="493"/>
      <c r="R131" s="667"/>
      <c r="T131" s="655"/>
    </row>
    <row r="132" spans="5:20" s="561" customFormat="1" ht="12" customHeight="1">
      <c r="E132" s="475"/>
      <c r="G132" s="803"/>
      <c r="J132" s="667"/>
      <c r="K132" s="667"/>
      <c r="L132" s="667"/>
      <c r="M132" s="667"/>
      <c r="N132" s="667"/>
      <c r="O132" s="667"/>
      <c r="P132" s="667"/>
      <c r="Q132" s="493"/>
      <c r="R132" s="667"/>
      <c r="T132" s="655"/>
    </row>
    <row r="133" spans="5:20" s="561" customFormat="1" ht="12" customHeight="1">
      <c r="E133" s="475"/>
      <c r="G133" s="803"/>
      <c r="J133" s="667"/>
      <c r="K133" s="667"/>
      <c r="L133" s="667"/>
      <c r="M133" s="667"/>
      <c r="N133" s="667"/>
      <c r="O133" s="667"/>
      <c r="P133" s="667"/>
      <c r="Q133" s="493"/>
      <c r="R133" s="667"/>
      <c r="T133" s="655"/>
    </row>
    <row r="134" spans="5:20" s="561" customFormat="1" ht="12" customHeight="1">
      <c r="E134" s="475"/>
      <c r="G134" s="803"/>
      <c r="J134" s="667"/>
      <c r="K134" s="667"/>
      <c r="L134" s="667"/>
      <c r="M134" s="667"/>
      <c r="N134" s="667"/>
      <c r="O134" s="667"/>
      <c r="P134" s="667"/>
      <c r="Q134" s="493"/>
      <c r="R134" s="667"/>
      <c r="T134" s="655"/>
    </row>
    <row r="135" spans="5:20" s="561" customFormat="1" ht="12" customHeight="1">
      <c r="E135" s="475"/>
      <c r="G135" s="803"/>
      <c r="J135" s="667"/>
      <c r="K135" s="667"/>
      <c r="L135" s="667"/>
      <c r="M135" s="667"/>
      <c r="N135" s="667"/>
      <c r="O135" s="667"/>
      <c r="P135" s="667"/>
      <c r="Q135" s="493"/>
      <c r="R135" s="667"/>
      <c r="T135" s="655"/>
    </row>
    <row r="136" spans="5:20" s="561" customFormat="1" ht="12" customHeight="1">
      <c r="E136" s="475"/>
      <c r="G136" s="803"/>
      <c r="J136" s="667"/>
      <c r="K136" s="667"/>
      <c r="L136" s="667"/>
      <c r="M136" s="667"/>
      <c r="N136" s="667"/>
      <c r="O136" s="667"/>
      <c r="P136" s="667"/>
      <c r="Q136" s="493"/>
      <c r="R136" s="667"/>
      <c r="T136" s="655"/>
    </row>
    <row r="137" spans="5:20" s="561" customFormat="1" ht="12" customHeight="1">
      <c r="E137" s="475"/>
      <c r="G137" s="803"/>
      <c r="J137" s="667"/>
      <c r="K137" s="667"/>
      <c r="L137" s="667"/>
      <c r="M137" s="667"/>
      <c r="N137" s="667"/>
      <c r="O137" s="667"/>
      <c r="P137" s="667"/>
      <c r="Q137" s="493"/>
      <c r="R137" s="667"/>
      <c r="T137" s="655"/>
    </row>
    <row r="138" spans="5:20" s="561" customFormat="1" ht="12" customHeight="1">
      <c r="E138" s="475"/>
      <c r="G138" s="803"/>
      <c r="J138" s="667"/>
      <c r="K138" s="667"/>
      <c r="L138" s="667"/>
      <c r="M138" s="667"/>
      <c r="N138" s="667"/>
      <c r="O138" s="667"/>
      <c r="P138" s="667"/>
      <c r="Q138" s="493"/>
      <c r="R138" s="667"/>
      <c r="T138" s="655"/>
    </row>
    <row r="139" spans="5:20" s="561" customFormat="1" ht="12" customHeight="1">
      <c r="E139" s="475"/>
      <c r="G139" s="803"/>
      <c r="J139" s="667"/>
      <c r="K139" s="667"/>
      <c r="L139" s="667"/>
      <c r="M139" s="667"/>
      <c r="N139" s="667"/>
      <c r="O139" s="667"/>
      <c r="P139" s="667"/>
      <c r="Q139" s="493"/>
      <c r="R139" s="667"/>
      <c r="T139" s="655"/>
    </row>
    <row r="140" spans="5:20" s="561" customFormat="1" ht="12" customHeight="1">
      <c r="E140" s="475"/>
      <c r="G140" s="803"/>
      <c r="J140" s="667"/>
      <c r="K140" s="667"/>
      <c r="L140" s="667"/>
      <c r="M140" s="667"/>
      <c r="N140" s="667"/>
      <c r="O140" s="667"/>
      <c r="P140" s="667"/>
      <c r="Q140" s="493"/>
      <c r="R140" s="667"/>
      <c r="T140" s="655"/>
    </row>
    <row r="141" spans="5:20" s="561" customFormat="1" ht="12" customHeight="1">
      <c r="E141" s="475"/>
      <c r="G141" s="803"/>
      <c r="J141" s="667"/>
      <c r="K141" s="667"/>
      <c r="L141" s="667"/>
      <c r="M141" s="667"/>
      <c r="N141" s="667"/>
      <c r="O141" s="667"/>
      <c r="P141" s="667"/>
      <c r="Q141" s="493"/>
      <c r="R141" s="667"/>
      <c r="T141" s="655"/>
    </row>
    <row r="142" spans="5:20" s="561" customFormat="1" ht="12" customHeight="1">
      <c r="E142" s="475"/>
      <c r="G142" s="803"/>
      <c r="J142" s="667"/>
      <c r="K142" s="667"/>
      <c r="L142" s="667"/>
      <c r="M142" s="667"/>
      <c r="N142" s="667"/>
      <c r="O142" s="667"/>
      <c r="P142" s="667"/>
      <c r="Q142" s="493"/>
      <c r="R142" s="667"/>
      <c r="T142" s="655"/>
    </row>
    <row r="143" spans="5:20" s="561" customFormat="1" ht="12" customHeight="1">
      <c r="E143" s="475"/>
      <c r="G143" s="803"/>
      <c r="J143" s="667"/>
      <c r="K143" s="667"/>
      <c r="L143" s="667"/>
      <c r="M143" s="667"/>
      <c r="N143" s="667"/>
      <c r="O143" s="667"/>
      <c r="P143" s="667"/>
      <c r="Q143" s="493"/>
      <c r="R143" s="667"/>
      <c r="T143" s="655"/>
    </row>
    <row r="144" spans="5:20" s="561" customFormat="1" ht="12" customHeight="1">
      <c r="E144" s="475"/>
      <c r="G144" s="803"/>
      <c r="J144" s="667"/>
      <c r="K144" s="667"/>
      <c r="L144" s="667"/>
      <c r="M144" s="667"/>
      <c r="N144" s="667"/>
      <c r="O144" s="667"/>
      <c r="P144" s="667"/>
      <c r="Q144" s="493"/>
      <c r="R144" s="667"/>
      <c r="T144" s="655"/>
    </row>
    <row r="145" spans="5:20" s="561" customFormat="1" ht="12" customHeight="1">
      <c r="E145" s="475"/>
      <c r="G145" s="803"/>
      <c r="J145" s="667"/>
      <c r="K145" s="667"/>
      <c r="L145" s="667"/>
      <c r="M145" s="667"/>
      <c r="N145" s="667"/>
      <c r="O145" s="667"/>
      <c r="P145" s="667"/>
      <c r="Q145" s="493"/>
      <c r="R145" s="667"/>
      <c r="T145" s="655"/>
    </row>
    <row r="146" spans="5:20" s="561" customFormat="1" ht="12" customHeight="1">
      <c r="E146" s="475"/>
      <c r="G146" s="803"/>
      <c r="J146" s="667"/>
      <c r="K146" s="667"/>
      <c r="L146" s="667"/>
      <c r="M146" s="667"/>
      <c r="N146" s="667"/>
      <c r="O146" s="667"/>
      <c r="P146" s="667"/>
      <c r="Q146" s="493"/>
      <c r="R146" s="667"/>
      <c r="T146" s="655"/>
    </row>
    <row r="147" spans="5:20" s="561" customFormat="1" ht="12" customHeight="1">
      <c r="E147" s="475"/>
      <c r="G147" s="803"/>
      <c r="J147" s="667"/>
      <c r="K147" s="667"/>
      <c r="L147" s="667"/>
      <c r="M147" s="667"/>
      <c r="N147" s="667"/>
      <c r="O147" s="667"/>
      <c r="P147" s="667"/>
      <c r="Q147" s="493"/>
      <c r="R147" s="667"/>
      <c r="T147" s="655"/>
    </row>
    <row r="148" spans="5:20" s="561" customFormat="1" ht="12" customHeight="1">
      <c r="E148" s="475"/>
      <c r="G148" s="803"/>
      <c r="J148" s="667"/>
      <c r="K148" s="667"/>
      <c r="L148" s="667"/>
      <c r="M148" s="667"/>
      <c r="N148" s="667"/>
      <c r="O148" s="667"/>
      <c r="P148" s="667"/>
      <c r="Q148" s="493"/>
      <c r="R148" s="667"/>
      <c r="T148" s="655"/>
    </row>
    <row r="149" spans="5:20" s="561" customFormat="1" ht="12" customHeight="1">
      <c r="E149" s="475"/>
      <c r="G149" s="803"/>
      <c r="J149" s="667"/>
      <c r="K149" s="667"/>
      <c r="L149" s="667"/>
      <c r="M149" s="667"/>
      <c r="N149" s="667"/>
      <c r="O149" s="667"/>
      <c r="P149" s="667"/>
      <c r="Q149" s="493"/>
      <c r="R149" s="667"/>
      <c r="T149" s="655"/>
    </row>
    <row r="150" spans="5:20" s="561" customFormat="1" ht="12" customHeight="1">
      <c r="E150" s="475"/>
      <c r="G150" s="803"/>
      <c r="J150" s="667"/>
      <c r="K150" s="667"/>
      <c r="L150" s="667"/>
      <c r="M150" s="667"/>
      <c r="N150" s="667"/>
      <c r="O150" s="667"/>
      <c r="P150" s="667"/>
      <c r="Q150" s="493"/>
      <c r="R150" s="667"/>
      <c r="T150" s="655"/>
    </row>
    <row r="151" spans="5:20" s="561" customFormat="1" ht="12" customHeight="1">
      <c r="E151" s="475"/>
      <c r="G151" s="803"/>
      <c r="J151" s="667"/>
      <c r="K151" s="667"/>
      <c r="L151" s="667"/>
      <c r="M151" s="667"/>
      <c r="N151" s="667"/>
      <c r="O151" s="667"/>
      <c r="P151" s="667"/>
      <c r="Q151" s="493"/>
      <c r="R151" s="667"/>
      <c r="T151" s="655"/>
    </row>
    <row r="152" spans="5:20" s="561" customFormat="1" ht="12" customHeight="1">
      <c r="E152" s="475"/>
      <c r="G152" s="803"/>
      <c r="J152" s="667"/>
      <c r="K152" s="667"/>
      <c r="L152" s="667"/>
      <c r="M152" s="667"/>
      <c r="N152" s="667"/>
      <c r="O152" s="667"/>
      <c r="P152" s="667"/>
      <c r="Q152" s="493"/>
      <c r="R152" s="667"/>
      <c r="T152" s="655"/>
    </row>
    <row r="153" spans="5:20" s="561" customFormat="1" ht="12" customHeight="1">
      <c r="E153" s="475"/>
      <c r="G153" s="803"/>
      <c r="J153" s="667"/>
      <c r="K153" s="667"/>
      <c r="L153" s="667"/>
      <c r="M153" s="667"/>
      <c r="N153" s="667"/>
      <c r="O153" s="667"/>
      <c r="P153" s="667"/>
      <c r="Q153" s="493"/>
      <c r="R153" s="667"/>
      <c r="T153" s="655"/>
    </row>
    <row r="154" spans="5:20" s="561" customFormat="1" ht="10.5">
      <c r="E154" s="475"/>
      <c r="G154" s="803"/>
      <c r="J154" s="667"/>
      <c r="K154" s="667"/>
      <c r="L154" s="667"/>
      <c r="M154" s="667"/>
      <c r="N154" s="667"/>
      <c r="O154" s="667"/>
      <c r="P154" s="667"/>
      <c r="Q154" s="493"/>
      <c r="R154" s="667"/>
      <c r="T154" s="655"/>
    </row>
    <row r="155" spans="5:20" s="561" customFormat="1" ht="10.5">
      <c r="E155" s="475"/>
      <c r="G155" s="803"/>
      <c r="J155" s="667"/>
      <c r="K155" s="667"/>
      <c r="L155" s="667"/>
      <c r="M155" s="667"/>
      <c r="N155" s="667"/>
      <c r="O155" s="667"/>
      <c r="P155" s="667"/>
      <c r="Q155" s="493"/>
      <c r="R155" s="667"/>
      <c r="T155" s="655"/>
    </row>
    <row r="156" spans="5:20" s="561" customFormat="1" ht="10.5">
      <c r="E156" s="475"/>
      <c r="G156" s="803"/>
      <c r="J156" s="667"/>
      <c r="K156" s="667"/>
      <c r="L156" s="667"/>
      <c r="M156" s="667"/>
      <c r="N156" s="667"/>
      <c r="O156" s="667"/>
      <c r="P156" s="667"/>
      <c r="Q156" s="493"/>
      <c r="R156" s="667"/>
      <c r="T156" s="655"/>
    </row>
    <row r="157" spans="5:20" s="561" customFormat="1" ht="10.5">
      <c r="E157" s="475"/>
      <c r="G157" s="803"/>
      <c r="J157" s="667"/>
      <c r="K157" s="667"/>
      <c r="L157" s="667"/>
      <c r="M157" s="667"/>
      <c r="N157" s="667"/>
      <c r="O157" s="667"/>
      <c r="P157" s="667"/>
      <c r="Q157" s="493"/>
      <c r="R157" s="667"/>
      <c r="T157" s="655"/>
    </row>
    <row r="158" spans="5:20" s="561" customFormat="1" ht="10.5">
      <c r="E158" s="475"/>
      <c r="G158" s="803"/>
      <c r="J158" s="667"/>
      <c r="K158" s="667"/>
      <c r="L158" s="667"/>
      <c r="M158" s="667"/>
      <c r="N158" s="667"/>
      <c r="O158" s="667"/>
      <c r="P158" s="667"/>
      <c r="Q158" s="493"/>
      <c r="R158" s="667"/>
      <c r="T158" s="655"/>
    </row>
    <row r="159" spans="5:20" s="561" customFormat="1" ht="10.5">
      <c r="E159" s="475"/>
      <c r="G159" s="803"/>
      <c r="J159" s="667"/>
      <c r="K159" s="667"/>
      <c r="L159" s="667"/>
      <c r="M159" s="667"/>
      <c r="N159" s="667"/>
      <c r="O159" s="667"/>
      <c r="P159" s="667"/>
      <c r="Q159" s="493"/>
      <c r="R159" s="667"/>
      <c r="T159" s="655"/>
    </row>
    <row r="160" spans="5:20" s="561" customFormat="1" ht="10.5">
      <c r="E160" s="475"/>
      <c r="G160" s="803"/>
      <c r="J160" s="667"/>
      <c r="K160" s="667"/>
      <c r="L160" s="667"/>
      <c r="M160" s="667"/>
      <c r="N160" s="667"/>
      <c r="O160" s="667"/>
      <c r="P160" s="667"/>
      <c r="Q160" s="493"/>
      <c r="R160" s="667"/>
      <c r="T160" s="655"/>
    </row>
    <row r="161" spans="5:20" s="561" customFormat="1" ht="10.5">
      <c r="E161" s="475"/>
      <c r="G161" s="803"/>
      <c r="J161" s="667"/>
      <c r="K161" s="667"/>
      <c r="L161" s="667"/>
      <c r="M161" s="667"/>
      <c r="N161" s="667"/>
      <c r="O161" s="667"/>
      <c r="P161" s="667"/>
      <c r="Q161" s="493"/>
      <c r="R161" s="667"/>
      <c r="T161" s="655"/>
    </row>
    <row r="162" spans="5:20" s="561" customFormat="1" ht="10.5">
      <c r="E162" s="475"/>
      <c r="G162" s="803"/>
      <c r="J162" s="667"/>
      <c r="K162" s="667"/>
      <c r="L162" s="667"/>
      <c r="M162" s="667"/>
      <c r="N162" s="667"/>
      <c r="O162" s="667"/>
      <c r="P162" s="667"/>
      <c r="Q162" s="493"/>
      <c r="R162" s="667"/>
      <c r="T162" s="655"/>
    </row>
    <row r="163" spans="5:20" s="561" customFormat="1" ht="10.5">
      <c r="E163" s="475"/>
      <c r="G163" s="803"/>
      <c r="J163" s="667"/>
      <c r="K163" s="667"/>
      <c r="L163" s="667"/>
      <c r="M163" s="667"/>
      <c r="N163" s="667"/>
      <c r="O163" s="667"/>
      <c r="P163" s="667"/>
      <c r="Q163" s="493"/>
      <c r="R163" s="667"/>
      <c r="T163" s="655"/>
    </row>
    <row r="164" spans="5:20" s="561" customFormat="1" ht="10.5">
      <c r="E164" s="475"/>
      <c r="G164" s="803"/>
      <c r="J164" s="667"/>
      <c r="K164" s="667"/>
      <c r="L164" s="667"/>
      <c r="M164" s="667"/>
      <c r="N164" s="667"/>
      <c r="O164" s="667"/>
      <c r="P164" s="667"/>
      <c r="Q164" s="493"/>
      <c r="R164" s="667"/>
      <c r="T164" s="655"/>
    </row>
    <row r="165" spans="5:20" s="561" customFormat="1" ht="10.5">
      <c r="E165" s="475"/>
      <c r="G165" s="803"/>
      <c r="J165" s="667"/>
      <c r="K165" s="667"/>
      <c r="L165" s="667"/>
      <c r="M165" s="667"/>
      <c r="N165" s="667"/>
      <c r="O165" s="667"/>
      <c r="P165" s="667"/>
      <c r="Q165" s="493"/>
      <c r="R165" s="667"/>
      <c r="T165" s="655"/>
    </row>
    <row r="166" spans="5:20" s="561" customFormat="1" ht="10.5">
      <c r="E166" s="475"/>
      <c r="G166" s="803"/>
      <c r="J166" s="667"/>
      <c r="K166" s="667"/>
      <c r="L166" s="667"/>
      <c r="M166" s="667"/>
      <c r="N166" s="667"/>
      <c r="O166" s="667"/>
      <c r="P166" s="667"/>
      <c r="Q166" s="493"/>
      <c r="R166" s="667"/>
      <c r="T166" s="655"/>
    </row>
    <row r="167" spans="5:20" s="561" customFormat="1" ht="10.5">
      <c r="E167" s="475"/>
      <c r="G167" s="803"/>
      <c r="J167" s="667"/>
      <c r="K167" s="667"/>
      <c r="L167" s="667"/>
      <c r="M167" s="667"/>
      <c r="N167" s="667"/>
      <c r="O167" s="667"/>
      <c r="P167" s="667"/>
      <c r="Q167" s="493"/>
      <c r="R167" s="667"/>
      <c r="T167" s="655"/>
    </row>
    <row r="168" spans="5:20" s="561" customFormat="1" ht="10.5">
      <c r="E168" s="475"/>
      <c r="G168" s="803"/>
      <c r="J168" s="667"/>
      <c r="K168" s="667"/>
      <c r="L168" s="667"/>
      <c r="M168" s="667"/>
      <c r="N168" s="667"/>
      <c r="O168" s="667"/>
      <c r="P168" s="667"/>
      <c r="Q168" s="493"/>
      <c r="R168" s="667"/>
      <c r="T168" s="655"/>
    </row>
    <row r="169" spans="5:20" s="561" customFormat="1" ht="10.5">
      <c r="E169" s="475"/>
      <c r="G169" s="803"/>
      <c r="J169" s="667"/>
      <c r="K169" s="667"/>
      <c r="L169" s="667"/>
      <c r="M169" s="667"/>
      <c r="N169" s="667"/>
      <c r="O169" s="667"/>
      <c r="P169" s="667"/>
      <c r="Q169" s="493"/>
      <c r="R169" s="667"/>
      <c r="T169" s="655"/>
    </row>
    <row r="170" spans="5:20" s="561" customFormat="1" ht="10.5">
      <c r="E170" s="475"/>
      <c r="G170" s="803"/>
      <c r="J170" s="667"/>
      <c r="K170" s="667"/>
      <c r="L170" s="667"/>
      <c r="M170" s="667"/>
      <c r="N170" s="667"/>
      <c r="O170" s="667"/>
      <c r="P170" s="667"/>
      <c r="Q170" s="493"/>
      <c r="R170" s="667"/>
      <c r="T170" s="655"/>
    </row>
    <row r="171" spans="5:20" s="561" customFormat="1" ht="10.5">
      <c r="E171" s="475"/>
      <c r="G171" s="803"/>
      <c r="J171" s="667"/>
      <c r="K171" s="667"/>
      <c r="L171" s="667"/>
      <c r="M171" s="667"/>
      <c r="N171" s="667"/>
      <c r="O171" s="667"/>
      <c r="P171" s="667"/>
      <c r="Q171" s="493"/>
      <c r="R171" s="667"/>
      <c r="T171" s="655"/>
    </row>
    <row r="172" spans="5:20" s="561" customFormat="1" ht="10.5">
      <c r="E172" s="475"/>
      <c r="G172" s="803"/>
      <c r="J172" s="667"/>
      <c r="K172" s="667"/>
      <c r="L172" s="667"/>
      <c r="M172" s="667"/>
      <c r="N172" s="667"/>
      <c r="O172" s="667"/>
      <c r="P172" s="667"/>
      <c r="Q172" s="493"/>
      <c r="R172" s="667"/>
      <c r="T172" s="655"/>
    </row>
    <row r="173" spans="5:20" s="561" customFormat="1" ht="10.5">
      <c r="E173" s="475"/>
      <c r="G173" s="803"/>
      <c r="J173" s="667"/>
      <c r="K173" s="667"/>
      <c r="L173" s="667"/>
      <c r="M173" s="667"/>
      <c r="N173" s="667"/>
      <c r="O173" s="667"/>
      <c r="P173" s="667"/>
      <c r="Q173" s="493"/>
      <c r="R173" s="667"/>
      <c r="T173" s="655"/>
    </row>
    <row r="174" spans="5:20" s="561" customFormat="1" ht="10.5">
      <c r="E174" s="475"/>
      <c r="G174" s="803"/>
      <c r="J174" s="667"/>
      <c r="K174" s="667"/>
      <c r="L174" s="667"/>
      <c r="M174" s="667"/>
      <c r="N174" s="667"/>
      <c r="O174" s="667"/>
      <c r="P174" s="667"/>
      <c r="Q174" s="493"/>
      <c r="R174" s="667"/>
      <c r="T174" s="655"/>
    </row>
    <row r="175" spans="5:20" s="561" customFormat="1" ht="10.5">
      <c r="E175" s="475"/>
      <c r="G175" s="803"/>
      <c r="J175" s="667"/>
      <c r="K175" s="667"/>
      <c r="L175" s="667"/>
      <c r="M175" s="667"/>
      <c r="N175" s="667"/>
      <c r="O175" s="667"/>
      <c r="P175" s="667"/>
      <c r="Q175" s="493"/>
      <c r="R175" s="667"/>
      <c r="T175" s="655"/>
    </row>
    <row r="176" spans="5:20" s="561" customFormat="1" ht="10.5">
      <c r="E176" s="475"/>
      <c r="G176" s="803"/>
      <c r="J176" s="667"/>
      <c r="K176" s="667"/>
      <c r="L176" s="667"/>
      <c r="M176" s="667"/>
      <c r="N176" s="667"/>
      <c r="O176" s="667"/>
      <c r="P176" s="667"/>
      <c r="Q176" s="493"/>
      <c r="R176" s="667"/>
      <c r="T176" s="655"/>
    </row>
    <row r="177" spans="5:20" s="561" customFormat="1" ht="10.5">
      <c r="E177" s="475"/>
      <c r="G177" s="803"/>
      <c r="J177" s="667"/>
      <c r="K177" s="667"/>
      <c r="L177" s="667"/>
      <c r="M177" s="667"/>
      <c r="N177" s="667"/>
      <c r="O177" s="667"/>
      <c r="P177" s="667"/>
      <c r="Q177" s="493"/>
      <c r="R177" s="667"/>
      <c r="T177" s="655"/>
    </row>
    <row r="178" spans="5:20" s="561" customFormat="1" ht="10.5">
      <c r="E178" s="475"/>
      <c r="G178" s="803"/>
      <c r="J178" s="667"/>
      <c r="K178" s="667"/>
      <c r="L178" s="667"/>
      <c r="M178" s="667"/>
      <c r="N178" s="667"/>
      <c r="O178" s="667"/>
      <c r="P178" s="667"/>
      <c r="Q178" s="493"/>
      <c r="R178" s="667"/>
      <c r="T178" s="655"/>
    </row>
    <row r="179" spans="5:20" s="561" customFormat="1" ht="10.5">
      <c r="E179" s="475"/>
      <c r="G179" s="803"/>
      <c r="J179" s="667"/>
      <c r="K179" s="667"/>
      <c r="L179" s="667"/>
      <c r="M179" s="667"/>
      <c r="N179" s="667"/>
      <c r="O179" s="667"/>
      <c r="P179" s="667"/>
      <c r="Q179" s="493"/>
      <c r="R179" s="667"/>
      <c r="T179" s="655"/>
    </row>
    <row r="180" spans="5:20" s="561" customFormat="1" ht="10.5">
      <c r="E180" s="475"/>
      <c r="G180" s="803"/>
      <c r="J180" s="667"/>
      <c r="K180" s="667"/>
      <c r="L180" s="667"/>
      <c r="M180" s="667"/>
      <c r="N180" s="667"/>
      <c r="O180" s="667"/>
      <c r="P180" s="667"/>
      <c r="Q180" s="493"/>
      <c r="R180" s="667"/>
      <c r="T180" s="655"/>
    </row>
    <row r="181" spans="5:20" s="561" customFormat="1" ht="10.5">
      <c r="E181" s="475"/>
      <c r="G181" s="803"/>
      <c r="J181" s="667"/>
      <c r="K181" s="667"/>
      <c r="L181" s="667"/>
      <c r="M181" s="667"/>
      <c r="N181" s="667"/>
      <c r="O181" s="667"/>
      <c r="P181" s="667"/>
      <c r="Q181" s="493"/>
      <c r="R181" s="667"/>
      <c r="T181" s="655"/>
    </row>
    <row r="182" spans="5:20" s="561" customFormat="1" ht="10.5">
      <c r="E182" s="475"/>
      <c r="G182" s="803"/>
      <c r="J182" s="667"/>
      <c r="K182" s="667"/>
      <c r="L182" s="667"/>
      <c r="M182" s="667"/>
      <c r="N182" s="667"/>
      <c r="O182" s="667"/>
      <c r="P182" s="667"/>
      <c r="Q182" s="493"/>
      <c r="R182" s="667"/>
      <c r="T182" s="655"/>
    </row>
    <row r="183" spans="5:20" s="561" customFormat="1" ht="10.5">
      <c r="E183" s="475"/>
      <c r="G183" s="803"/>
      <c r="J183" s="667"/>
      <c r="K183" s="667"/>
      <c r="L183" s="667"/>
      <c r="M183" s="667"/>
      <c r="N183" s="667"/>
      <c r="O183" s="667"/>
      <c r="P183" s="667"/>
      <c r="Q183" s="493"/>
      <c r="R183" s="667"/>
      <c r="T183" s="655"/>
    </row>
    <row r="184" spans="5:20" s="561" customFormat="1" ht="10.5">
      <c r="E184" s="475"/>
      <c r="G184" s="803"/>
      <c r="J184" s="667"/>
      <c r="K184" s="667"/>
      <c r="L184" s="667"/>
      <c r="M184" s="667"/>
      <c r="N184" s="667"/>
      <c r="O184" s="667"/>
      <c r="P184" s="667"/>
      <c r="Q184" s="493"/>
      <c r="R184" s="667"/>
      <c r="T184" s="655"/>
    </row>
    <row r="185" spans="5:20" s="561" customFormat="1" ht="10.5">
      <c r="E185" s="475"/>
      <c r="G185" s="803"/>
      <c r="J185" s="667"/>
      <c r="K185" s="667"/>
      <c r="L185" s="667"/>
      <c r="M185" s="667"/>
      <c r="N185" s="667"/>
      <c r="O185" s="667"/>
      <c r="P185" s="667"/>
      <c r="Q185" s="493"/>
      <c r="R185" s="667"/>
      <c r="T185" s="655"/>
    </row>
    <row r="186" spans="5:20" s="561" customFormat="1" ht="10.5">
      <c r="E186" s="475"/>
      <c r="G186" s="803"/>
      <c r="J186" s="667"/>
      <c r="K186" s="667"/>
      <c r="L186" s="667"/>
      <c r="M186" s="667"/>
      <c r="N186" s="667"/>
      <c r="O186" s="667"/>
      <c r="P186" s="667"/>
      <c r="Q186" s="493"/>
      <c r="R186" s="667"/>
      <c r="T186" s="655"/>
    </row>
    <row r="187" spans="5:20" s="561" customFormat="1" ht="10.5">
      <c r="E187" s="475"/>
      <c r="G187" s="803"/>
      <c r="J187" s="667"/>
      <c r="K187" s="667"/>
      <c r="L187" s="667"/>
      <c r="M187" s="667"/>
      <c r="N187" s="667"/>
      <c r="O187" s="667"/>
      <c r="P187" s="667"/>
      <c r="Q187" s="493"/>
      <c r="R187" s="667"/>
      <c r="T187" s="655"/>
    </row>
    <row r="188" spans="5:20" s="561" customFormat="1" ht="10.5">
      <c r="E188" s="475"/>
      <c r="G188" s="803"/>
      <c r="J188" s="667"/>
      <c r="K188" s="667"/>
      <c r="L188" s="667"/>
      <c r="M188" s="667"/>
      <c r="N188" s="667"/>
      <c r="O188" s="667"/>
      <c r="P188" s="667"/>
      <c r="Q188" s="493"/>
      <c r="R188" s="667"/>
      <c r="T188" s="655"/>
    </row>
    <row r="189" spans="5:20" s="561" customFormat="1" ht="10.5">
      <c r="E189" s="475"/>
      <c r="G189" s="803"/>
      <c r="J189" s="667"/>
      <c r="K189" s="667"/>
      <c r="L189" s="667"/>
      <c r="M189" s="667"/>
      <c r="N189" s="667"/>
      <c r="O189" s="667"/>
      <c r="P189" s="667"/>
      <c r="Q189" s="493"/>
      <c r="R189" s="667"/>
      <c r="T189" s="655"/>
    </row>
    <row r="190" spans="5:20" s="561" customFormat="1" ht="10.5">
      <c r="E190" s="475"/>
      <c r="G190" s="803"/>
      <c r="J190" s="667"/>
      <c r="K190" s="667"/>
      <c r="L190" s="667"/>
      <c r="M190" s="667"/>
      <c r="N190" s="667"/>
      <c r="O190" s="667"/>
      <c r="P190" s="667"/>
      <c r="Q190" s="493"/>
      <c r="R190" s="667"/>
      <c r="T190" s="655"/>
    </row>
    <row r="191" spans="5:20" s="561" customFormat="1" ht="10.5">
      <c r="E191" s="475"/>
      <c r="G191" s="803"/>
      <c r="J191" s="667"/>
      <c r="K191" s="667"/>
      <c r="L191" s="667"/>
      <c r="M191" s="667"/>
      <c r="N191" s="667"/>
      <c r="O191" s="667"/>
      <c r="P191" s="667"/>
      <c r="Q191" s="493"/>
      <c r="R191" s="667"/>
      <c r="T191" s="655"/>
    </row>
    <row r="192" spans="5:20" s="561" customFormat="1" ht="10.5">
      <c r="E192" s="475"/>
      <c r="G192" s="803"/>
      <c r="J192" s="667"/>
      <c r="K192" s="667"/>
      <c r="L192" s="667"/>
      <c r="M192" s="667"/>
      <c r="N192" s="667"/>
      <c r="O192" s="667"/>
      <c r="P192" s="667"/>
      <c r="Q192" s="493"/>
      <c r="R192" s="667"/>
      <c r="T192" s="655"/>
    </row>
    <row r="193" spans="5:20" s="561" customFormat="1" ht="10.5">
      <c r="E193" s="475"/>
      <c r="G193" s="803"/>
      <c r="J193" s="667"/>
      <c r="K193" s="667"/>
      <c r="L193" s="667"/>
      <c r="M193" s="667"/>
      <c r="N193" s="667"/>
      <c r="O193" s="667"/>
      <c r="P193" s="667"/>
      <c r="Q193" s="493"/>
      <c r="R193" s="667"/>
      <c r="T193" s="655"/>
    </row>
    <row r="194" spans="5:20" s="561" customFormat="1" ht="10.5">
      <c r="E194" s="475"/>
      <c r="G194" s="803"/>
      <c r="J194" s="667"/>
      <c r="K194" s="667"/>
      <c r="L194" s="667"/>
      <c r="M194" s="667"/>
      <c r="N194" s="667"/>
      <c r="O194" s="667"/>
      <c r="P194" s="667"/>
      <c r="Q194" s="493"/>
      <c r="R194" s="667"/>
      <c r="T194" s="655"/>
    </row>
    <row r="195" spans="5:20" s="561" customFormat="1" ht="10.5">
      <c r="E195" s="475"/>
      <c r="G195" s="803"/>
      <c r="J195" s="667"/>
      <c r="K195" s="667"/>
      <c r="L195" s="667"/>
      <c r="M195" s="667"/>
      <c r="N195" s="667"/>
      <c r="O195" s="667"/>
      <c r="P195" s="667"/>
      <c r="Q195" s="493"/>
      <c r="R195" s="667"/>
      <c r="T195" s="655"/>
    </row>
    <row r="196" spans="5:20" s="561" customFormat="1" ht="10.5">
      <c r="E196" s="475"/>
      <c r="G196" s="803"/>
      <c r="J196" s="667"/>
      <c r="K196" s="667"/>
      <c r="L196" s="667"/>
      <c r="M196" s="667"/>
      <c r="N196" s="667"/>
      <c r="O196" s="667"/>
      <c r="P196" s="667"/>
      <c r="Q196" s="493"/>
      <c r="R196" s="667"/>
      <c r="T196" s="655"/>
    </row>
    <row r="197" spans="5:20" s="561" customFormat="1" ht="10.5">
      <c r="E197" s="475"/>
      <c r="G197" s="803"/>
      <c r="J197" s="667"/>
      <c r="K197" s="667"/>
      <c r="L197" s="667"/>
      <c r="M197" s="667"/>
      <c r="N197" s="667"/>
      <c r="O197" s="667"/>
      <c r="P197" s="667"/>
      <c r="Q197" s="493"/>
      <c r="R197" s="667"/>
      <c r="T197" s="655"/>
    </row>
    <row r="198" spans="5:20" s="561" customFormat="1" ht="10.5">
      <c r="E198" s="475"/>
      <c r="G198" s="803"/>
      <c r="J198" s="667"/>
      <c r="K198" s="667"/>
      <c r="L198" s="667"/>
      <c r="M198" s="667"/>
      <c r="N198" s="667"/>
      <c r="O198" s="667"/>
      <c r="P198" s="667"/>
      <c r="Q198" s="493"/>
      <c r="R198" s="667"/>
      <c r="T198" s="655"/>
    </row>
    <row r="199" spans="5:20" s="561" customFormat="1" ht="10.5">
      <c r="E199" s="475"/>
      <c r="G199" s="803"/>
      <c r="J199" s="667"/>
      <c r="K199" s="667"/>
      <c r="L199" s="667"/>
      <c r="M199" s="667"/>
      <c r="N199" s="667"/>
      <c r="O199" s="667"/>
      <c r="P199" s="667"/>
      <c r="Q199" s="493"/>
      <c r="R199" s="667"/>
      <c r="T199" s="655"/>
    </row>
    <row r="200" spans="5:20" s="561" customFormat="1" ht="10.5">
      <c r="E200" s="475"/>
      <c r="G200" s="803"/>
      <c r="J200" s="667"/>
      <c r="K200" s="667"/>
      <c r="L200" s="667"/>
      <c r="M200" s="667"/>
      <c r="N200" s="667"/>
      <c r="O200" s="667"/>
      <c r="P200" s="667"/>
      <c r="Q200" s="493"/>
      <c r="R200" s="667"/>
      <c r="T200" s="655"/>
    </row>
    <row r="201" spans="5:20" s="561" customFormat="1" ht="10.5">
      <c r="E201" s="475"/>
      <c r="G201" s="803"/>
      <c r="J201" s="667"/>
      <c r="K201" s="667"/>
      <c r="L201" s="667"/>
      <c r="M201" s="667"/>
      <c r="N201" s="667"/>
      <c r="O201" s="667"/>
      <c r="P201" s="667"/>
      <c r="Q201" s="493"/>
      <c r="R201" s="667"/>
      <c r="T201" s="655"/>
    </row>
    <row r="202" spans="5:20" s="561" customFormat="1" ht="10.5">
      <c r="E202" s="475"/>
      <c r="G202" s="803"/>
      <c r="J202" s="667"/>
      <c r="K202" s="667"/>
      <c r="L202" s="667"/>
      <c r="M202" s="667"/>
      <c r="N202" s="667"/>
      <c r="O202" s="667"/>
      <c r="P202" s="667"/>
      <c r="Q202" s="493"/>
      <c r="R202" s="667"/>
      <c r="T202" s="655"/>
    </row>
    <row r="203" spans="5:20" s="561" customFormat="1" ht="10.5">
      <c r="E203" s="475"/>
      <c r="G203" s="803"/>
      <c r="J203" s="667"/>
      <c r="K203" s="667"/>
      <c r="L203" s="667"/>
      <c r="M203" s="667"/>
      <c r="N203" s="667"/>
      <c r="O203" s="667"/>
      <c r="P203" s="667"/>
      <c r="Q203" s="493"/>
      <c r="R203" s="667"/>
      <c r="T203" s="655"/>
    </row>
    <row r="204" spans="5:20" s="561" customFormat="1" ht="10.5">
      <c r="E204" s="475"/>
      <c r="G204" s="803"/>
      <c r="J204" s="667"/>
      <c r="K204" s="667"/>
      <c r="L204" s="667"/>
      <c r="M204" s="667"/>
      <c r="N204" s="667"/>
      <c r="O204" s="667"/>
      <c r="P204" s="667"/>
      <c r="Q204" s="493"/>
      <c r="R204" s="667"/>
      <c r="T204" s="655"/>
    </row>
    <row r="205" spans="5:20" s="561" customFormat="1" ht="10.5">
      <c r="E205" s="475"/>
      <c r="G205" s="803"/>
      <c r="J205" s="667"/>
      <c r="K205" s="667"/>
      <c r="L205" s="667"/>
      <c r="M205" s="667"/>
      <c r="N205" s="667"/>
      <c r="O205" s="667"/>
      <c r="P205" s="667"/>
      <c r="Q205" s="493"/>
      <c r="R205" s="667"/>
      <c r="T205" s="655"/>
    </row>
    <row r="206" spans="5:20" s="561" customFormat="1" ht="10.5">
      <c r="E206" s="475"/>
      <c r="G206" s="803"/>
      <c r="J206" s="667"/>
      <c r="K206" s="667"/>
      <c r="L206" s="667"/>
      <c r="M206" s="667"/>
      <c r="N206" s="667"/>
      <c r="O206" s="667"/>
      <c r="P206" s="667"/>
      <c r="Q206" s="493"/>
      <c r="R206" s="667"/>
      <c r="T206" s="655"/>
    </row>
    <row r="207" spans="5:20" s="561" customFormat="1" ht="10.5">
      <c r="E207" s="475"/>
      <c r="G207" s="803"/>
      <c r="J207" s="667"/>
      <c r="K207" s="667"/>
      <c r="L207" s="667"/>
      <c r="M207" s="667"/>
      <c r="N207" s="667"/>
      <c r="O207" s="667"/>
      <c r="P207" s="667"/>
      <c r="Q207" s="493"/>
      <c r="R207" s="667"/>
      <c r="T207" s="655"/>
    </row>
    <row r="208" spans="5:20" s="561" customFormat="1" ht="10.5">
      <c r="E208" s="475"/>
      <c r="G208" s="803"/>
      <c r="J208" s="667"/>
      <c r="K208" s="667"/>
      <c r="L208" s="667"/>
      <c r="M208" s="667"/>
      <c r="N208" s="667"/>
      <c r="O208" s="667"/>
      <c r="P208" s="667"/>
      <c r="Q208" s="493"/>
      <c r="R208" s="667"/>
      <c r="T208" s="655"/>
    </row>
    <row r="209" spans="5:20" s="561" customFormat="1" ht="10.5">
      <c r="E209" s="475"/>
      <c r="G209" s="803"/>
      <c r="J209" s="667"/>
      <c r="K209" s="667"/>
      <c r="L209" s="667"/>
      <c r="M209" s="667"/>
      <c r="N209" s="667"/>
      <c r="O209" s="667"/>
      <c r="P209" s="667"/>
      <c r="Q209" s="493"/>
      <c r="R209" s="667"/>
      <c r="T209" s="655"/>
    </row>
    <row r="210" spans="5:20" s="561" customFormat="1" ht="10.5">
      <c r="E210" s="475"/>
      <c r="G210" s="803"/>
      <c r="J210" s="667"/>
      <c r="K210" s="667"/>
      <c r="L210" s="667"/>
      <c r="M210" s="667"/>
      <c r="N210" s="667"/>
      <c r="O210" s="667"/>
      <c r="P210" s="667"/>
      <c r="Q210" s="493"/>
      <c r="R210" s="667"/>
      <c r="T210" s="655"/>
    </row>
    <row r="211" spans="5:20" s="561" customFormat="1" ht="10.5">
      <c r="E211" s="475"/>
      <c r="G211" s="803"/>
      <c r="J211" s="667"/>
      <c r="K211" s="667"/>
      <c r="L211" s="667"/>
      <c r="M211" s="667"/>
      <c r="N211" s="667"/>
      <c r="O211" s="667"/>
      <c r="P211" s="667"/>
      <c r="Q211" s="493"/>
      <c r="R211" s="667"/>
      <c r="T211" s="655"/>
    </row>
    <row r="212" spans="5:20" s="561" customFormat="1" ht="10.5">
      <c r="E212" s="475"/>
      <c r="G212" s="803"/>
      <c r="J212" s="667"/>
      <c r="K212" s="667"/>
      <c r="L212" s="667"/>
      <c r="M212" s="667"/>
      <c r="N212" s="667"/>
      <c r="O212" s="667"/>
      <c r="P212" s="667"/>
      <c r="Q212" s="493"/>
      <c r="R212" s="667"/>
      <c r="T212" s="655"/>
    </row>
    <row r="213" spans="5:20" s="561" customFormat="1" ht="10.5">
      <c r="E213" s="475"/>
      <c r="G213" s="803"/>
      <c r="J213" s="667"/>
      <c r="K213" s="667"/>
      <c r="L213" s="667"/>
      <c r="M213" s="667"/>
      <c r="N213" s="667"/>
      <c r="O213" s="667"/>
      <c r="P213" s="667"/>
      <c r="Q213" s="493"/>
      <c r="R213" s="667"/>
      <c r="T213" s="655"/>
    </row>
    <row r="214" spans="5:20" s="561" customFormat="1" ht="10.5">
      <c r="E214" s="475"/>
      <c r="G214" s="803"/>
      <c r="J214" s="667"/>
      <c r="K214" s="667"/>
      <c r="L214" s="667"/>
      <c r="M214" s="667"/>
      <c r="N214" s="667"/>
      <c r="O214" s="667"/>
      <c r="P214" s="667"/>
      <c r="Q214" s="493"/>
      <c r="R214" s="667"/>
      <c r="T214" s="655"/>
    </row>
    <row r="215" spans="5:20" s="561" customFormat="1" ht="10.5">
      <c r="E215" s="475"/>
      <c r="G215" s="803"/>
      <c r="J215" s="667"/>
      <c r="K215" s="667"/>
      <c r="L215" s="667"/>
      <c r="M215" s="667"/>
      <c r="N215" s="667"/>
      <c r="O215" s="667"/>
      <c r="P215" s="667"/>
      <c r="Q215" s="493"/>
      <c r="R215" s="667"/>
      <c r="T215" s="655"/>
    </row>
    <row r="216" spans="5:20" s="561" customFormat="1" ht="10.5">
      <c r="E216" s="475"/>
      <c r="G216" s="803"/>
      <c r="J216" s="667"/>
      <c r="K216" s="667"/>
      <c r="L216" s="667"/>
      <c r="M216" s="667"/>
      <c r="N216" s="667"/>
      <c r="O216" s="667"/>
      <c r="P216" s="667"/>
      <c r="Q216" s="493"/>
      <c r="R216" s="667"/>
      <c r="T216" s="655"/>
    </row>
    <row r="217" spans="5:20" s="561" customFormat="1" ht="10.5">
      <c r="E217" s="475"/>
      <c r="G217" s="803"/>
      <c r="J217" s="667"/>
      <c r="K217" s="667"/>
      <c r="L217" s="667"/>
      <c r="M217" s="667"/>
      <c r="N217" s="667"/>
      <c r="O217" s="667"/>
      <c r="P217" s="667"/>
      <c r="Q217" s="493"/>
      <c r="R217" s="667"/>
      <c r="T217" s="655"/>
    </row>
    <row r="218" spans="5:20" s="561" customFormat="1" ht="10.5">
      <c r="E218" s="475"/>
      <c r="G218" s="803"/>
      <c r="J218" s="667"/>
      <c r="K218" s="667"/>
      <c r="L218" s="667"/>
      <c r="M218" s="667"/>
      <c r="N218" s="667"/>
      <c r="O218" s="667"/>
      <c r="P218" s="667"/>
      <c r="Q218" s="493"/>
      <c r="R218" s="667"/>
      <c r="T218" s="655"/>
    </row>
    <row r="219" spans="5:20" s="561" customFormat="1" ht="10.5">
      <c r="E219" s="475"/>
      <c r="G219" s="803"/>
      <c r="J219" s="667"/>
      <c r="K219" s="667"/>
      <c r="L219" s="667"/>
      <c r="M219" s="667"/>
      <c r="N219" s="667"/>
      <c r="O219" s="667"/>
      <c r="P219" s="667"/>
      <c r="Q219" s="493"/>
      <c r="R219" s="667"/>
      <c r="T219" s="655"/>
    </row>
    <row r="220" spans="5:20" s="561" customFormat="1" ht="10.5">
      <c r="E220" s="475"/>
      <c r="G220" s="803"/>
      <c r="J220" s="667"/>
      <c r="K220" s="667"/>
      <c r="L220" s="667"/>
      <c r="M220" s="667"/>
      <c r="N220" s="667"/>
      <c r="O220" s="667"/>
      <c r="P220" s="667"/>
      <c r="Q220" s="493"/>
      <c r="R220" s="667"/>
      <c r="T220" s="655"/>
    </row>
    <row r="221" spans="5:20" s="561" customFormat="1" ht="10.5">
      <c r="E221" s="475"/>
      <c r="G221" s="803"/>
      <c r="J221" s="667"/>
      <c r="K221" s="667"/>
      <c r="L221" s="667"/>
      <c r="M221" s="667"/>
      <c r="N221" s="667"/>
      <c r="O221" s="667"/>
      <c r="P221" s="667"/>
      <c r="Q221" s="493"/>
      <c r="R221" s="667"/>
      <c r="T221" s="655"/>
    </row>
    <row r="222" spans="5:20" s="561" customFormat="1" ht="10.5">
      <c r="E222" s="475"/>
      <c r="G222" s="803"/>
      <c r="J222" s="667"/>
      <c r="K222" s="667"/>
      <c r="L222" s="667"/>
      <c r="M222" s="667"/>
      <c r="N222" s="667"/>
      <c r="O222" s="667"/>
      <c r="P222" s="667"/>
      <c r="Q222" s="493"/>
      <c r="R222" s="667"/>
      <c r="T222" s="655"/>
    </row>
    <row r="223" spans="5:20" s="561" customFormat="1" ht="10.5">
      <c r="E223" s="475"/>
      <c r="G223" s="803"/>
      <c r="J223" s="667"/>
      <c r="K223" s="667"/>
      <c r="L223" s="667"/>
      <c r="M223" s="667"/>
      <c r="N223" s="667"/>
      <c r="O223" s="667"/>
      <c r="P223" s="667"/>
      <c r="Q223" s="493"/>
      <c r="R223" s="667"/>
      <c r="T223" s="655"/>
    </row>
    <row r="224" spans="5:20" s="561" customFormat="1" ht="10.5">
      <c r="E224" s="475"/>
      <c r="G224" s="803"/>
      <c r="J224" s="667"/>
      <c r="K224" s="667"/>
      <c r="L224" s="667"/>
      <c r="M224" s="667"/>
      <c r="N224" s="667"/>
      <c r="O224" s="667"/>
      <c r="P224" s="667"/>
      <c r="Q224" s="493"/>
      <c r="R224" s="667"/>
      <c r="T224" s="655"/>
    </row>
    <row r="225" spans="5:20" s="561" customFormat="1" ht="10.5">
      <c r="E225" s="475"/>
      <c r="G225" s="803"/>
      <c r="J225" s="667"/>
      <c r="K225" s="667"/>
      <c r="L225" s="667"/>
      <c r="M225" s="667"/>
      <c r="N225" s="667"/>
      <c r="O225" s="667"/>
      <c r="P225" s="667"/>
      <c r="Q225" s="493"/>
      <c r="R225" s="667"/>
      <c r="T225" s="655"/>
    </row>
    <row r="226" spans="5:20" s="561" customFormat="1" ht="10.5">
      <c r="E226" s="475"/>
      <c r="G226" s="803"/>
      <c r="J226" s="667"/>
      <c r="K226" s="667"/>
      <c r="L226" s="667"/>
      <c r="M226" s="667"/>
      <c r="N226" s="667"/>
      <c r="O226" s="667"/>
      <c r="P226" s="667"/>
      <c r="Q226" s="493"/>
      <c r="R226" s="667"/>
      <c r="T226" s="655"/>
    </row>
    <row r="227" spans="5:20" s="561" customFormat="1" ht="10.5">
      <c r="E227" s="475"/>
      <c r="G227" s="803"/>
      <c r="J227" s="667"/>
      <c r="K227" s="667"/>
      <c r="L227" s="667"/>
      <c r="M227" s="667"/>
      <c r="N227" s="667"/>
      <c r="O227" s="667"/>
      <c r="P227" s="667"/>
      <c r="Q227" s="493"/>
      <c r="R227" s="667"/>
      <c r="T227" s="655"/>
    </row>
    <row r="228" spans="5:20" s="561" customFormat="1" ht="10.5">
      <c r="E228" s="475"/>
      <c r="G228" s="803"/>
      <c r="J228" s="667"/>
      <c r="K228" s="667"/>
      <c r="L228" s="667"/>
      <c r="M228" s="667"/>
      <c r="N228" s="667"/>
      <c r="O228" s="667"/>
      <c r="P228" s="667"/>
      <c r="Q228" s="493"/>
      <c r="R228" s="667"/>
      <c r="T228" s="655"/>
    </row>
    <row r="229" spans="5:20" s="561" customFormat="1" ht="10.5">
      <c r="E229" s="475"/>
      <c r="G229" s="803"/>
      <c r="J229" s="667"/>
      <c r="K229" s="667"/>
      <c r="L229" s="667"/>
      <c r="M229" s="667"/>
      <c r="N229" s="667"/>
      <c r="O229" s="667"/>
      <c r="P229" s="667"/>
      <c r="Q229" s="493"/>
      <c r="R229" s="667"/>
      <c r="T229" s="655"/>
    </row>
    <row r="230" spans="5:20" s="561" customFormat="1" ht="10.5">
      <c r="E230" s="475"/>
      <c r="G230" s="803"/>
      <c r="J230" s="667"/>
      <c r="K230" s="667"/>
      <c r="L230" s="667"/>
      <c r="M230" s="667"/>
      <c r="N230" s="667"/>
      <c r="O230" s="667"/>
      <c r="P230" s="667"/>
      <c r="Q230" s="493"/>
      <c r="R230" s="667"/>
      <c r="T230" s="655"/>
    </row>
    <row r="231" spans="5:20" s="561" customFormat="1" ht="10.5">
      <c r="E231" s="475"/>
      <c r="G231" s="803"/>
      <c r="J231" s="667"/>
      <c r="K231" s="667"/>
      <c r="L231" s="667"/>
      <c r="M231" s="667"/>
      <c r="N231" s="667"/>
      <c r="O231" s="667"/>
      <c r="P231" s="667"/>
      <c r="Q231" s="493"/>
      <c r="R231" s="667"/>
      <c r="T231" s="655"/>
    </row>
    <row r="232" spans="5:20" s="561" customFormat="1" ht="10.5">
      <c r="E232" s="475"/>
      <c r="G232" s="803"/>
      <c r="J232" s="667"/>
      <c r="K232" s="667"/>
      <c r="L232" s="667"/>
      <c r="M232" s="667"/>
      <c r="N232" s="667"/>
      <c r="O232" s="667"/>
      <c r="P232" s="667"/>
      <c r="Q232" s="493"/>
      <c r="R232" s="667"/>
      <c r="T232" s="655"/>
    </row>
  </sheetData>
  <mergeCells count="66">
    <mergeCell ref="B36:C36"/>
    <mergeCell ref="I49:R49"/>
    <mergeCell ref="I48:R48"/>
    <mergeCell ref="B41:C41"/>
    <mergeCell ref="I43:R43"/>
    <mergeCell ref="I44:R44"/>
    <mergeCell ref="I40:R40"/>
    <mergeCell ref="I36:R36"/>
    <mergeCell ref="I37:R37"/>
    <mergeCell ref="I38:R38"/>
    <mergeCell ref="I45:R45"/>
    <mergeCell ref="I47:R47"/>
    <mergeCell ref="I46:R46"/>
    <mergeCell ref="I39:R39"/>
    <mergeCell ref="I41:R41"/>
    <mergeCell ref="I42:R42"/>
    <mergeCell ref="B59:C59"/>
    <mergeCell ref="B56:C56"/>
    <mergeCell ref="I56:R56"/>
    <mergeCell ref="I58:R58"/>
    <mergeCell ref="I57:R57"/>
    <mergeCell ref="I29:R29"/>
    <mergeCell ref="I26:R26"/>
    <mergeCell ref="I21:R21"/>
    <mergeCell ref="I28:R28"/>
    <mergeCell ref="I35:R35"/>
    <mergeCell ref="I31:R31"/>
    <mergeCell ref="I34:R34"/>
    <mergeCell ref="I32:R32"/>
    <mergeCell ref="A2:D2"/>
    <mergeCell ref="I27:R27"/>
    <mergeCell ref="I14:Q14"/>
    <mergeCell ref="I30:R30"/>
    <mergeCell ref="I33:R33"/>
    <mergeCell ref="I11:Q11"/>
    <mergeCell ref="I7:P7"/>
    <mergeCell ref="I12:Q12"/>
    <mergeCell ref="I8:R8"/>
    <mergeCell ref="I15:R15"/>
    <mergeCell ref="I9:Q9"/>
    <mergeCell ref="B7:C7"/>
    <mergeCell ref="G4:H4"/>
    <mergeCell ref="I10:Q10"/>
    <mergeCell ref="I6:R6"/>
    <mergeCell ref="Q3:R3"/>
    <mergeCell ref="F4:F5"/>
    <mergeCell ref="A6:C6"/>
    <mergeCell ref="E4:E5"/>
    <mergeCell ref="A4:D4"/>
    <mergeCell ref="I4:R5"/>
    <mergeCell ref="I54:R54"/>
    <mergeCell ref="I55:R55"/>
    <mergeCell ref="I13:R13"/>
    <mergeCell ref="I61:R61"/>
    <mergeCell ref="I60:R60"/>
    <mergeCell ref="I59:R59"/>
    <mergeCell ref="I50:R50"/>
    <mergeCell ref="I51:R51"/>
    <mergeCell ref="I52:R52"/>
    <mergeCell ref="I53:R53"/>
    <mergeCell ref="I18:R18"/>
    <mergeCell ref="I19:R19"/>
    <mergeCell ref="I25:R25"/>
    <mergeCell ref="I16:R16"/>
    <mergeCell ref="I17:R17"/>
    <mergeCell ref="O20:Q20"/>
  </mergeCells>
  <phoneticPr fontId="2" type="noConversion"/>
  <pageMargins left="0.13" right="0.13" top="0.66" bottom="0.17" header="0.37" footer="0.17"/>
  <pageSetup paperSize="9" scale="83" orientation="portrait" horizontalDpi="4294967293" verticalDpi="4294967293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zoomScaleNormal="100" workbookViewId="0">
      <selection activeCell="F11" sqref="F11"/>
    </sheetView>
  </sheetViews>
  <sheetFormatPr defaultRowHeight="13.5"/>
  <cols>
    <col min="1" max="1" width="5.44140625" style="804" customWidth="1"/>
    <col min="2" max="2" width="7" style="561" customWidth="1"/>
    <col min="3" max="3" width="8.88671875" style="804" customWidth="1"/>
    <col min="4" max="4" width="8.77734375" style="804" customWidth="1"/>
    <col min="5" max="5" width="11.44140625" style="805" customWidth="1"/>
    <col min="6" max="6" width="11.6640625" style="804" customWidth="1"/>
    <col min="7" max="7" width="11.44140625" style="806" customWidth="1"/>
    <col min="8" max="8" width="5.77734375" style="804" customWidth="1"/>
    <col min="9" max="9" width="10.6640625" style="804" bestFit="1" customWidth="1"/>
    <col min="10" max="10" width="1.44140625" style="807" customWidth="1"/>
    <col min="11" max="11" width="2" style="807" customWidth="1"/>
    <col min="12" max="12" width="2.21875" style="807" customWidth="1"/>
    <col min="13" max="13" width="1.44140625" style="807" customWidth="1"/>
    <col min="14" max="14" width="2.5546875" style="807" customWidth="1"/>
    <col min="15" max="16" width="1.6640625" style="807" customWidth="1"/>
    <col min="17" max="17" width="8.21875" style="808" customWidth="1"/>
    <col min="18" max="18" width="3.21875" style="807" customWidth="1"/>
    <col min="19" max="19" width="8.88671875" style="804" hidden="1" customWidth="1"/>
    <col min="20" max="20" width="11.5546875" style="809" hidden="1" customWidth="1"/>
    <col min="21" max="21" width="12.5546875" style="804" hidden="1" customWidth="1"/>
    <col min="22" max="22" width="13.6640625" style="804" hidden="1" customWidth="1"/>
    <col min="23" max="23" width="10.44140625" style="804" hidden="1" customWidth="1"/>
    <col min="24" max="24" width="11.44140625" style="804" hidden="1" customWidth="1"/>
    <col min="25" max="25" width="16.77734375" style="804" hidden="1" customWidth="1"/>
    <col min="26" max="26" width="19" style="804" hidden="1" customWidth="1"/>
    <col min="27" max="37" width="8.88671875" style="804"/>
    <col min="38" max="16384" width="8.88671875" style="271"/>
  </cols>
  <sheetData>
    <row r="1" spans="1:37" s="496" customFormat="1" ht="22.5" customHeight="1">
      <c r="A1" s="615" t="s">
        <v>963</v>
      </c>
      <c r="B1" s="615"/>
      <c r="C1" s="743"/>
      <c r="D1" s="744"/>
      <c r="G1" s="745"/>
      <c r="T1" s="746"/>
    </row>
    <row r="2" spans="1:37" s="499" customFormat="1" ht="16.5" customHeight="1">
      <c r="A2" s="1016" t="s">
        <v>949</v>
      </c>
      <c r="B2" s="1016"/>
      <c r="C2" s="1016"/>
      <c r="D2" s="1016"/>
      <c r="E2" s="747"/>
      <c r="F2" s="748"/>
      <c r="G2" s="749"/>
      <c r="H2" s="748"/>
      <c r="I2" s="748"/>
      <c r="J2" s="750"/>
      <c r="K2" s="750"/>
      <c r="L2" s="750"/>
      <c r="M2" s="750"/>
      <c r="N2" s="750"/>
      <c r="O2" s="750"/>
      <c r="P2" s="750"/>
      <c r="Q2" s="751"/>
      <c r="R2" s="750"/>
      <c r="S2" s="748"/>
      <c r="U2" s="748"/>
      <c r="V2" s="748"/>
      <c r="W2" s="748"/>
      <c r="X2" s="748"/>
      <c r="Y2" s="748"/>
      <c r="Z2" s="748"/>
      <c r="AA2" s="748"/>
      <c r="AB2" s="748"/>
      <c r="AC2" s="748"/>
      <c r="AD2" s="748"/>
      <c r="AE2" s="748"/>
      <c r="AF2" s="748"/>
      <c r="AG2" s="748"/>
      <c r="AH2" s="748"/>
      <c r="AI2" s="748"/>
      <c r="AJ2" s="748"/>
      <c r="AK2" s="748"/>
    </row>
    <row r="3" spans="1:37" s="624" customFormat="1" ht="19.5" customHeight="1">
      <c r="A3" s="752" t="s">
        <v>950</v>
      </c>
      <c r="B3" s="494"/>
      <c r="C3" s="748"/>
      <c r="D3" s="748"/>
      <c r="E3" s="747"/>
      <c r="F3" s="748"/>
      <c r="G3" s="749"/>
      <c r="H3" s="748"/>
      <c r="I3" s="748"/>
      <c r="J3" s="750"/>
      <c r="K3" s="750"/>
      <c r="L3" s="750"/>
      <c r="M3" s="750"/>
      <c r="N3" s="750"/>
      <c r="O3" s="750"/>
      <c r="P3" s="750"/>
      <c r="Q3" s="1066" t="s">
        <v>0</v>
      </c>
      <c r="R3" s="1066"/>
      <c r="S3" s="748"/>
      <c r="T3" s="753"/>
      <c r="U3" s="748"/>
      <c r="V3" s="748"/>
      <c r="W3" s="748"/>
      <c r="X3" s="748"/>
      <c r="Y3" s="748"/>
      <c r="Z3" s="748"/>
      <c r="AA3" s="748"/>
      <c r="AB3" s="748"/>
      <c r="AC3" s="748"/>
      <c r="AD3" s="748"/>
      <c r="AE3" s="748"/>
      <c r="AF3" s="748"/>
      <c r="AG3" s="748"/>
      <c r="AH3" s="748"/>
      <c r="AI3" s="748"/>
      <c r="AJ3" s="748"/>
      <c r="AK3" s="748"/>
    </row>
    <row r="4" spans="1:37" s="500" customFormat="1" ht="23.25" customHeight="1">
      <c r="A4" s="1049" t="s">
        <v>4</v>
      </c>
      <c r="B4" s="1050"/>
      <c r="C4" s="1050"/>
      <c r="D4" s="1051"/>
      <c r="E4" s="997" t="str">
        <f>'다-3.후원금세입'!D4:D5</f>
        <v>전년도예산
( A )</v>
      </c>
      <c r="F4" s="995" t="str">
        <f>'다-3.후원금세입'!E4:E5</f>
        <v>2020년예산
( B )</v>
      </c>
      <c r="G4" s="1019" t="s">
        <v>757</v>
      </c>
      <c r="H4" s="1019"/>
      <c r="I4" s="1052" t="s">
        <v>62</v>
      </c>
      <c r="J4" s="1053"/>
      <c r="K4" s="1053"/>
      <c r="L4" s="1053"/>
      <c r="M4" s="1053"/>
      <c r="N4" s="1053"/>
      <c r="O4" s="1053"/>
      <c r="P4" s="1053"/>
      <c r="Q4" s="1053"/>
      <c r="R4" s="1054"/>
      <c r="T4" s="754"/>
    </row>
    <row r="5" spans="1:37" s="500" customFormat="1" ht="22.5" customHeight="1" thickBot="1">
      <c r="A5" s="628" t="s">
        <v>1</v>
      </c>
      <c r="B5" s="755" t="s">
        <v>2</v>
      </c>
      <c r="C5" s="629" t="s">
        <v>3</v>
      </c>
      <c r="D5" s="629" t="s">
        <v>108</v>
      </c>
      <c r="E5" s="998"/>
      <c r="F5" s="996"/>
      <c r="G5" s="756" t="s">
        <v>751</v>
      </c>
      <c r="H5" s="757" t="s">
        <v>752</v>
      </c>
      <c r="I5" s="1055"/>
      <c r="J5" s="1056"/>
      <c r="K5" s="1056"/>
      <c r="L5" s="1056"/>
      <c r="M5" s="1056"/>
      <c r="N5" s="1056"/>
      <c r="O5" s="1056"/>
      <c r="P5" s="1056"/>
      <c r="Q5" s="1056"/>
      <c r="R5" s="1057"/>
      <c r="T5" s="758"/>
      <c r="U5" s="759"/>
    </row>
    <row r="6" spans="1:37" s="492" customFormat="1" ht="29.25" customHeight="1" thickTop="1">
      <c r="A6" s="1010" t="s">
        <v>39</v>
      </c>
      <c r="B6" s="1048"/>
      <c r="C6" s="1048"/>
      <c r="D6" s="760"/>
      <c r="E6" s="633">
        <v>212260000</v>
      </c>
      <c r="F6" s="633">
        <f>SUM(F7,F20,F34,F37)</f>
        <v>207420000</v>
      </c>
      <c r="G6" s="761">
        <f>F6-E6</f>
        <v>-4840000</v>
      </c>
      <c r="H6" s="762">
        <f>G6/E6*100</f>
        <v>-2.2802223687929897</v>
      </c>
      <c r="I6" s="1063"/>
      <c r="J6" s="1064"/>
      <c r="K6" s="1064"/>
      <c r="L6" s="1064"/>
      <c r="M6" s="1064"/>
      <c r="N6" s="1064"/>
      <c r="O6" s="1064"/>
      <c r="P6" s="1064"/>
      <c r="Q6" s="1064"/>
      <c r="R6" s="1065"/>
      <c r="T6" s="763">
        <f>(67920000)+(31750000)</f>
        <v>99670000</v>
      </c>
      <c r="U6" s="764"/>
    </row>
    <row r="7" spans="1:37" s="561" customFormat="1" ht="26.25" customHeight="1">
      <c r="A7" s="765" t="s">
        <v>958</v>
      </c>
      <c r="B7" s="766" t="s">
        <v>50</v>
      </c>
      <c r="C7" s="767" t="s">
        <v>28</v>
      </c>
      <c r="D7" s="768"/>
      <c r="E7" s="638">
        <v>155111300</v>
      </c>
      <c r="F7" s="638">
        <f>F8+F9+F14+F15</f>
        <v>155111300</v>
      </c>
      <c r="G7" s="639">
        <f>F7-E7</f>
        <v>0</v>
      </c>
      <c r="H7" s="769">
        <f t="shared" ref="H7:H39" si="0">G7/E7*100</f>
        <v>0</v>
      </c>
      <c r="I7" s="1085"/>
      <c r="J7" s="1086"/>
      <c r="K7" s="1086"/>
      <c r="L7" s="1086"/>
      <c r="M7" s="1086"/>
      <c r="N7" s="1086"/>
      <c r="O7" s="1086"/>
      <c r="P7" s="1086"/>
      <c r="Q7" s="1086"/>
      <c r="R7" s="1087"/>
      <c r="T7" s="655"/>
    </row>
    <row r="8" spans="1:37" s="561" customFormat="1" ht="26.25" customHeight="1">
      <c r="A8" s="770"/>
      <c r="B8" s="771"/>
      <c r="C8" s="772" t="s">
        <v>10</v>
      </c>
      <c r="D8" s="772"/>
      <c r="E8" s="663">
        <v>78161000</v>
      </c>
      <c r="F8" s="663">
        <f>'인건비총계표(보조금)'!F676</f>
        <v>78161000</v>
      </c>
      <c r="G8" s="639">
        <f t="shared" ref="G8:G21" si="1">F8-E8</f>
        <v>0</v>
      </c>
      <c r="H8" s="769">
        <f t="shared" si="0"/>
        <v>0</v>
      </c>
      <c r="I8" s="1082" t="s">
        <v>957</v>
      </c>
      <c r="J8" s="1083"/>
      <c r="K8" s="1083"/>
      <c r="L8" s="1083"/>
      <c r="M8" s="1083"/>
      <c r="N8" s="1083"/>
      <c r="O8" s="1083"/>
      <c r="P8" s="1083"/>
      <c r="Q8" s="1083"/>
      <c r="R8" s="1084"/>
      <c r="T8" s="655"/>
    </row>
    <row r="9" spans="1:37" s="561" customFormat="1" ht="26.25" customHeight="1">
      <c r="A9" s="770"/>
      <c r="B9" s="773"/>
      <c r="C9" s="772" t="s">
        <v>13</v>
      </c>
      <c r="D9" s="772" t="s">
        <v>6</v>
      </c>
      <c r="E9" s="663">
        <v>57149600</v>
      </c>
      <c r="F9" s="663">
        <f>SUM(F10:F13)</f>
        <v>57149600</v>
      </c>
      <c r="G9" s="639">
        <f t="shared" si="1"/>
        <v>0</v>
      </c>
      <c r="H9" s="769">
        <f t="shared" si="0"/>
        <v>0</v>
      </c>
      <c r="I9" s="1082" t="s">
        <v>957</v>
      </c>
      <c r="J9" s="1083"/>
      <c r="K9" s="1083"/>
      <c r="L9" s="1083"/>
      <c r="M9" s="1083"/>
      <c r="N9" s="1083"/>
      <c r="O9" s="1083"/>
      <c r="P9" s="1083"/>
      <c r="Q9" s="1083"/>
      <c r="R9" s="1084"/>
      <c r="T9" s="655"/>
      <c r="AB9" s="475"/>
      <c r="AC9" s="475"/>
    </row>
    <row r="10" spans="1:37" s="561" customFormat="1" ht="26.25" customHeight="1">
      <c r="A10" s="770"/>
      <c r="B10" s="773"/>
      <c r="C10" s="774"/>
      <c r="D10" s="766" t="s">
        <v>29</v>
      </c>
      <c r="E10" s="663">
        <v>7817400</v>
      </c>
      <c r="F10" s="663">
        <f>'인건비총계표(보조금)'!M676</f>
        <v>7817400</v>
      </c>
      <c r="G10" s="639">
        <f t="shared" si="1"/>
        <v>0</v>
      </c>
      <c r="H10" s="769">
        <f t="shared" si="0"/>
        <v>0</v>
      </c>
      <c r="I10" s="1082"/>
      <c r="J10" s="1083"/>
      <c r="K10" s="1083"/>
      <c r="L10" s="1083"/>
      <c r="M10" s="1083"/>
      <c r="N10" s="1083"/>
      <c r="O10" s="1083"/>
      <c r="P10" s="1083"/>
      <c r="Q10" s="1083"/>
      <c r="R10" s="1084"/>
      <c r="T10" s="655"/>
    </row>
    <row r="11" spans="1:37" s="561" customFormat="1" ht="26.25" customHeight="1">
      <c r="A11" s="770"/>
      <c r="B11" s="773"/>
      <c r="C11" s="774"/>
      <c r="D11" s="775" t="s">
        <v>40</v>
      </c>
      <c r="E11" s="663">
        <v>21756400</v>
      </c>
      <c r="F11" s="663">
        <f>'인건비총계표(보조금)'!R676</f>
        <v>21756400</v>
      </c>
      <c r="G11" s="639">
        <f t="shared" si="1"/>
        <v>0</v>
      </c>
      <c r="H11" s="769">
        <f t="shared" si="0"/>
        <v>0</v>
      </c>
      <c r="I11" s="1082"/>
      <c r="J11" s="1083"/>
      <c r="K11" s="1083"/>
      <c r="L11" s="1083"/>
      <c r="M11" s="1083"/>
      <c r="N11" s="1083"/>
      <c r="O11" s="1083"/>
      <c r="P11" s="1083"/>
      <c r="Q11" s="1083"/>
      <c r="R11" s="1084"/>
      <c r="T11" s="655"/>
    </row>
    <row r="12" spans="1:37" s="561" customFormat="1" ht="26.25" customHeight="1">
      <c r="A12" s="770"/>
      <c r="B12" s="773"/>
      <c r="C12" s="773"/>
      <c r="D12" s="772" t="s">
        <v>8</v>
      </c>
      <c r="E12" s="663">
        <v>1200000</v>
      </c>
      <c r="F12" s="663">
        <f>'인건비총계표(보조금)'!O676</f>
        <v>1200000</v>
      </c>
      <c r="G12" s="639">
        <f t="shared" si="1"/>
        <v>0</v>
      </c>
      <c r="H12" s="769">
        <f t="shared" si="0"/>
        <v>0</v>
      </c>
      <c r="I12" s="1082"/>
      <c r="J12" s="1083"/>
      <c r="K12" s="1083"/>
      <c r="L12" s="1083"/>
      <c r="M12" s="1083"/>
      <c r="N12" s="1083"/>
      <c r="O12" s="1083"/>
      <c r="P12" s="1083"/>
      <c r="Q12" s="1083"/>
      <c r="R12" s="1084"/>
      <c r="T12" s="655"/>
    </row>
    <row r="13" spans="1:37" s="561" customFormat="1" ht="26.25" customHeight="1">
      <c r="A13" s="774"/>
      <c r="B13" s="773"/>
      <c r="D13" s="766" t="s">
        <v>947</v>
      </c>
      <c r="E13" s="645">
        <v>26375800</v>
      </c>
      <c r="F13" s="645">
        <f>'인건비총계표(보조금)'!S5+'인건비총계표(보조금)'!S676</f>
        <v>26375800</v>
      </c>
      <c r="G13" s="639">
        <f>F13-E13</f>
        <v>0</v>
      </c>
      <c r="H13" s="769">
        <f t="shared" si="0"/>
        <v>0</v>
      </c>
      <c r="I13" s="1082"/>
      <c r="J13" s="1083"/>
      <c r="K13" s="1083"/>
      <c r="L13" s="1083"/>
      <c r="M13" s="1083"/>
      <c r="N13" s="1083"/>
      <c r="O13" s="1083"/>
      <c r="P13" s="1083"/>
      <c r="Q13" s="1083"/>
      <c r="R13" s="1084"/>
      <c r="T13" s="655"/>
    </row>
    <row r="14" spans="1:37" s="561" customFormat="1" ht="26.25" customHeight="1">
      <c r="A14" s="770"/>
      <c r="B14" s="773"/>
      <c r="C14" s="766" t="s">
        <v>38</v>
      </c>
      <c r="D14" s="766"/>
      <c r="E14" s="663">
        <v>9178460</v>
      </c>
      <c r="F14" s="663">
        <f>'인건비총계표(보조금)'!W676</f>
        <v>9178460</v>
      </c>
      <c r="G14" s="639">
        <f t="shared" si="1"/>
        <v>0</v>
      </c>
      <c r="H14" s="769">
        <f t="shared" si="0"/>
        <v>0</v>
      </c>
      <c r="I14" s="1082"/>
      <c r="J14" s="1083"/>
      <c r="K14" s="1083"/>
      <c r="L14" s="1083"/>
      <c r="M14" s="1083"/>
      <c r="N14" s="1083"/>
      <c r="O14" s="1083"/>
      <c r="P14" s="1083"/>
      <c r="Q14" s="1083"/>
      <c r="R14" s="1084"/>
      <c r="T14" s="655"/>
    </row>
    <row r="15" spans="1:37" s="561" customFormat="1" ht="26.25" customHeight="1">
      <c r="A15" s="770"/>
      <c r="B15" s="773"/>
      <c r="C15" s="776" t="s">
        <v>124</v>
      </c>
      <c r="D15" s="777" t="s">
        <v>107</v>
      </c>
      <c r="E15" s="663">
        <v>10622240</v>
      </c>
      <c r="F15" s="663">
        <f>SUM(F16:F19)</f>
        <v>10622240</v>
      </c>
      <c r="G15" s="639">
        <f t="shared" si="1"/>
        <v>0</v>
      </c>
      <c r="H15" s="769">
        <f t="shared" si="0"/>
        <v>0</v>
      </c>
      <c r="I15" s="1082"/>
      <c r="J15" s="1083"/>
      <c r="K15" s="1083"/>
      <c r="L15" s="1083"/>
      <c r="M15" s="1083"/>
      <c r="N15" s="1083"/>
      <c r="O15" s="1083"/>
      <c r="P15" s="1083"/>
      <c r="Q15" s="1083"/>
      <c r="R15" s="1084"/>
      <c r="T15" s="655"/>
    </row>
    <row r="16" spans="1:37" s="561" customFormat="1" ht="26.25" customHeight="1">
      <c r="A16" s="770"/>
      <c r="B16" s="773"/>
      <c r="C16" s="771"/>
      <c r="D16" s="771" t="s">
        <v>765</v>
      </c>
      <c r="E16" s="663">
        <v>3814500</v>
      </c>
      <c r="F16" s="663">
        <f>'인건비총계표(보조금)'!Y676+'인건비총계표(보조금)'!Z676</f>
        <v>3814500</v>
      </c>
      <c r="G16" s="639">
        <f t="shared" si="1"/>
        <v>0</v>
      </c>
      <c r="H16" s="769">
        <f t="shared" si="0"/>
        <v>0</v>
      </c>
      <c r="I16" s="1082"/>
      <c r="J16" s="1083"/>
      <c r="K16" s="1083"/>
      <c r="L16" s="1083"/>
      <c r="M16" s="1083"/>
      <c r="N16" s="1083"/>
      <c r="O16" s="1083"/>
      <c r="P16" s="1083"/>
      <c r="Q16" s="1083"/>
      <c r="R16" s="1084"/>
      <c r="T16" s="655"/>
    </row>
    <row r="17" spans="1:20" s="561" customFormat="1" ht="26.25" customHeight="1">
      <c r="A17" s="770"/>
      <c r="B17" s="773"/>
      <c r="C17" s="774"/>
      <c r="D17" s="766" t="s">
        <v>766</v>
      </c>
      <c r="E17" s="663">
        <v>4935400</v>
      </c>
      <c r="F17" s="663">
        <f>'인건비총계표(보조금)'!X676</f>
        <v>4935400</v>
      </c>
      <c r="G17" s="639">
        <f t="shared" si="1"/>
        <v>0</v>
      </c>
      <c r="H17" s="769">
        <f t="shared" si="0"/>
        <v>0</v>
      </c>
      <c r="I17" s="1082"/>
      <c r="J17" s="1083"/>
      <c r="K17" s="1083"/>
      <c r="L17" s="1083"/>
      <c r="M17" s="1083"/>
      <c r="N17" s="1083"/>
      <c r="O17" s="1083"/>
      <c r="P17" s="1083"/>
      <c r="Q17" s="1083"/>
      <c r="R17" s="1084"/>
      <c r="T17" s="655"/>
    </row>
    <row r="18" spans="1:20" s="561" customFormat="1" ht="26.25" customHeight="1">
      <c r="A18" s="770"/>
      <c r="B18" s="773"/>
      <c r="C18" s="773"/>
      <c r="D18" s="772" t="s">
        <v>767</v>
      </c>
      <c r="E18" s="663">
        <v>991240</v>
      </c>
      <c r="F18" s="663">
        <f>'인건비총계표(보조금)'!AA676</f>
        <v>991240</v>
      </c>
      <c r="G18" s="639">
        <f t="shared" si="1"/>
        <v>0</v>
      </c>
      <c r="H18" s="769">
        <f t="shared" si="0"/>
        <v>0</v>
      </c>
      <c r="I18" s="1082"/>
      <c r="J18" s="1083"/>
      <c r="K18" s="1083"/>
      <c r="L18" s="1083"/>
      <c r="M18" s="1083"/>
      <c r="N18" s="1083"/>
      <c r="O18" s="1083"/>
      <c r="P18" s="1083"/>
      <c r="Q18" s="1083"/>
      <c r="R18" s="1084"/>
      <c r="T18" s="655"/>
    </row>
    <row r="19" spans="1:20" s="561" customFormat="1" ht="26.25" customHeight="1">
      <c r="A19" s="770"/>
      <c r="B19" s="773"/>
      <c r="C19" s="778"/>
      <c r="D19" s="772" t="s">
        <v>768</v>
      </c>
      <c r="E19" s="663">
        <v>881100</v>
      </c>
      <c r="F19" s="663">
        <f>'인건비총계표(보조금)'!AB676</f>
        <v>881100</v>
      </c>
      <c r="G19" s="639">
        <f t="shared" si="1"/>
        <v>0</v>
      </c>
      <c r="H19" s="769">
        <f t="shared" si="0"/>
        <v>0</v>
      </c>
      <c r="I19" s="1082"/>
      <c r="J19" s="1083"/>
      <c r="K19" s="1083"/>
      <c r="L19" s="1083"/>
      <c r="M19" s="1083"/>
      <c r="N19" s="1083"/>
      <c r="O19" s="1083"/>
      <c r="P19" s="1083"/>
      <c r="Q19" s="1083"/>
      <c r="R19" s="1084"/>
      <c r="T19" s="655"/>
    </row>
    <row r="20" spans="1:20" s="561" customFormat="1" ht="26.25" customHeight="1">
      <c r="A20" s="773" t="s">
        <v>23</v>
      </c>
      <c r="B20" s="1088" t="s">
        <v>28</v>
      </c>
      <c r="C20" s="1089"/>
      <c r="D20" s="766"/>
      <c r="E20" s="663">
        <v>45740000</v>
      </c>
      <c r="F20" s="663">
        <f>SUM(F21,F25,F31,F33)</f>
        <v>46160000</v>
      </c>
      <c r="G20" s="639">
        <f t="shared" si="1"/>
        <v>420000</v>
      </c>
      <c r="H20" s="769"/>
      <c r="I20" s="779"/>
      <c r="J20" s="780"/>
      <c r="K20" s="780"/>
      <c r="L20" s="780"/>
      <c r="M20" s="780"/>
      <c r="N20" s="780"/>
      <c r="O20" s="780"/>
      <c r="P20" s="780"/>
      <c r="Q20" s="780"/>
      <c r="R20" s="781"/>
      <c r="T20" s="655"/>
    </row>
    <row r="21" spans="1:20" s="561" customFormat="1" ht="26.25" customHeight="1">
      <c r="A21" s="770"/>
      <c r="B21" s="773"/>
      <c r="C21" s="766" t="s">
        <v>1017</v>
      </c>
      <c r="D21" s="774" t="s">
        <v>948</v>
      </c>
      <c r="E21" s="663">
        <v>6600000</v>
      </c>
      <c r="F21" s="663">
        <f>SUM(F22:F24)</f>
        <v>6600000</v>
      </c>
      <c r="G21" s="639">
        <f t="shared" si="1"/>
        <v>0</v>
      </c>
      <c r="H21" s="769"/>
      <c r="I21" s="1082"/>
      <c r="J21" s="1083"/>
      <c r="K21" s="1083"/>
      <c r="L21" s="1083"/>
      <c r="M21" s="1083"/>
      <c r="N21" s="1083"/>
      <c r="O21" s="1083"/>
      <c r="P21" s="1083"/>
      <c r="Q21" s="1083"/>
      <c r="R21" s="1084"/>
      <c r="T21" s="655"/>
    </row>
    <row r="22" spans="1:20" s="561" customFormat="1" ht="26.25" customHeight="1">
      <c r="A22" s="782"/>
      <c r="B22" s="773"/>
      <c r="C22" s="774"/>
      <c r="D22" s="766" t="s">
        <v>153</v>
      </c>
      <c r="E22" s="645">
        <v>3600000</v>
      </c>
      <c r="F22" s="645">
        <v>3600000</v>
      </c>
      <c r="G22" s="639">
        <f>F22-E22</f>
        <v>0</v>
      </c>
      <c r="H22" s="769">
        <f t="shared" si="0"/>
        <v>0</v>
      </c>
      <c r="I22" s="1022" t="s">
        <v>641</v>
      </c>
      <c r="J22" s="1023"/>
      <c r="K22" s="1023"/>
      <c r="L22" s="1023"/>
      <c r="M22" s="1023"/>
      <c r="N22" s="1023"/>
      <c r="O22" s="1023"/>
      <c r="P22" s="1023"/>
      <c r="Q22" s="1023"/>
      <c r="R22" s="1024"/>
      <c r="T22" s="655"/>
    </row>
    <row r="23" spans="1:20" s="561" customFormat="1" ht="26.25" hidden="1" customHeight="1">
      <c r="A23" s="782"/>
      <c r="B23" s="773"/>
      <c r="C23" s="774"/>
      <c r="D23" s="775" t="s">
        <v>774</v>
      </c>
      <c r="E23" s="645">
        <v>0</v>
      </c>
      <c r="F23" s="645">
        <v>0</v>
      </c>
      <c r="G23" s="639">
        <f>F23-E23</f>
        <v>0</v>
      </c>
      <c r="H23" s="769" t="e">
        <f t="shared" si="0"/>
        <v>#DIV/0!</v>
      </c>
      <c r="I23" s="1022" t="s">
        <v>64</v>
      </c>
      <c r="J23" s="1090"/>
      <c r="K23" s="1090"/>
      <c r="L23" s="1090"/>
      <c r="M23" s="1090"/>
      <c r="N23" s="1090"/>
      <c r="O23" s="1090"/>
      <c r="P23" s="1090"/>
      <c r="Q23" s="1090"/>
      <c r="R23" s="1091"/>
      <c r="T23" s="655"/>
    </row>
    <row r="24" spans="1:20" s="561" customFormat="1" ht="22.5" customHeight="1">
      <c r="A24" s="782"/>
      <c r="B24" s="773"/>
      <c r="C24" s="777"/>
      <c r="D24" s="766" t="s">
        <v>154</v>
      </c>
      <c r="E24" s="645">
        <v>3000000</v>
      </c>
      <c r="F24" s="645">
        <v>3000000</v>
      </c>
      <c r="G24" s="639">
        <f>F24-E24</f>
        <v>0</v>
      </c>
      <c r="H24" s="769">
        <f t="shared" si="0"/>
        <v>0</v>
      </c>
      <c r="I24" s="1022" t="s">
        <v>743</v>
      </c>
      <c r="J24" s="1090"/>
      <c r="K24" s="1090"/>
      <c r="L24" s="1090"/>
      <c r="M24" s="1090"/>
      <c r="N24" s="1090"/>
      <c r="O24" s="1090"/>
      <c r="P24" s="1090"/>
      <c r="Q24" s="1090"/>
      <c r="R24" s="1091"/>
      <c r="T24" s="655"/>
    </row>
    <row r="25" spans="1:20" s="561" customFormat="1" ht="22.5" customHeight="1">
      <c r="A25" s="782"/>
      <c r="B25" s="773"/>
      <c r="C25" s="766" t="s">
        <v>152</v>
      </c>
      <c r="D25" s="766" t="s">
        <v>107</v>
      </c>
      <c r="E25" s="645">
        <v>32840000</v>
      </c>
      <c r="F25" s="645">
        <f>SUM(F26:F30)</f>
        <v>32840000</v>
      </c>
      <c r="G25" s="639">
        <f t="shared" ref="G25:G32" si="2">F25-E25</f>
        <v>0</v>
      </c>
      <c r="H25" s="769"/>
      <c r="I25" s="1022"/>
      <c r="J25" s="1090"/>
      <c r="K25" s="1090"/>
      <c r="L25" s="1090"/>
      <c r="M25" s="1090"/>
      <c r="N25" s="1090"/>
      <c r="O25" s="1090"/>
      <c r="P25" s="1090"/>
      <c r="Q25" s="1090"/>
      <c r="R25" s="1091"/>
      <c r="T25" s="655"/>
    </row>
    <row r="26" spans="1:20" s="561" customFormat="1" ht="22.5" customHeight="1">
      <c r="A26" s="782"/>
      <c r="B26" s="773"/>
      <c r="C26" s="771"/>
      <c r="D26" s="766" t="s">
        <v>771</v>
      </c>
      <c r="E26" s="645">
        <v>14600000</v>
      </c>
      <c r="F26" s="645">
        <f>'4종'!O5</f>
        <v>14600000</v>
      </c>
      <c r="G26" s="639">
        <f t="shared" si="2"/>
        <v>0</v>
      </c>
      <c r="H26" s="769"/>
      <c r="I26" s="1022" t="s">
        <v>730</v>
      </c>
      <c r="J26" s="1023"/>
      <c r="K26" s="1023"/>
      <c r="L26" s="1023"/>
      <c r="M26" s="1023"/>
      <c r="N26" s="1023"/>
      <c r="O26" s="1023"/>
      <c r="P26" s="1023"/>
      <c r="Q26" s="1023"/>
      <c r="R26" s="1024"/>
      <c r="T26" s="655"/>
    </row>
    <row r="27" spans="1:20" s="561" customFormat="1" ht="22.5" customHeight="1">
      <c r="A27" s="782"/>
      <c r="B27" s="773"/>
      <c r="C27" s="774"/>
      <c r="D27" s="766" t="s">
        <v>772</v>
      </c>
      <c r="E27" s="645">
        <v>4800000</v>
      </c>
      <c r="F27" s="645">
        <f>'4종'!O19</f>
        <v>4800000</v>
      </c>
      <c r="G27" s="639">
        <f t="shared" si="2"/>
        <v>0</v>
      </c>
      <c r="H27" s="769"/>
      <c r="I27" s="1022" t="s">
        <v>731</v>
      </c>
      <c r="J27" s="1023"/>
      <c r="K27" s="1023"/>
      <c r="L27" s="1023"/>
      <c r="M27" s="1023"/>
      <c r="N27" s="1023"/>
      <c r="O27" s="1023"/>
      <c r="P27" s="1023"/>
      <c r="Q27" s="1023"/>
      <c r="R27" s="1024"/>
      <c r="T27" s="655"/>
    </row>
    <row r="28" spans="1:20" s="561" customFormat="1" ht="22.5" customHeight="1">
      <c r="A28" s="782"/>
      <c r="B28" s="773"/>
      <c r="C28" s="774"/>
      <c r="D28" s="766" t="s">
        <v>773</v>
      </c>
      <c r="E28" s="645">
        <v>6400000</v>
      </c>
      <c r="F28" s="645">
        <f>'4종'!O34</f>
        <v>6400000</v>
      </c>
      <c r="G28" s="639">
        <f t="shared" si="2"/>
        <v>0</v>
      </c>
      <c r="H28" s="769"/>
      <c r="I28" s="1022" t="s">
        <v>732</v>
      </c>
      <c r="J28" s="1023"/>
      <c r="K28" s="1023"/>
      <c r="L28" s="1023"/>
      <c r="M28" s="1023"/>
      <c r="N28" s="1023"/>
      <c r="O28" s="1023"/>
      <c r="P28" s="1023"/>
      <c r="Q28" s="1023"/>
      <c r="R28" s="1024"/>
      <c r="T28" s="655"/>
    </row>
    <row r="29" spans="1:20" s="561" customFormat="1" ht="22.5" customHeight="1">
      <c r="A29" s="782"/>
      <c r="B29" s="773"/>
      <c r="C29" s="774"/>
      <c r="D29" s="766" t="s">
        <v>589</v>
      </c>
      <c r="E29" s="645">
        <v>3840000</v>
      </c>
      <c r="F29" s="645">
        <f>'4종'!O35</f>
        <v>3840000</v>
      </c>
      <c r="G29" s="639">
        <f t="shared" si="2"/>
        <v>0</v>
      </c>
      <c r="H29" s="769"/>
      <c r="I29" s="1022" t="s">
        <v>733</v>
      </c>
      <c r="J29" s="1023"/>
      <c r="K29" s="1023"/>
      <c r="L29" s="1023"/>
      <c r="M29" s="1023"/>
      <c r="N29" s="1023"/>
      <c r="O29" s="1023"/>
      <c r="P29" s="1023"/>
      <c r="Q29" s="1023"/>
      <c r="R29" s="1024"/>
      <c r="T29" s="655"/>
    </row>
    <row r="30" spans="1:20" s="561" customFormat="1" ht="22.5" customHeight="1">
      <c r="A30" s="782"/>
      <c r="B30" s="773"/>
      <c r="C30" s="777"/>
      <c r="D30" s="766" t="s">
        <v>517</v>
      </c>
      <c r="E30" s="645">
        <v>3200000</v>
      </c>
      <c r="F30" s="645">
        <f>'4종'!O41</f>
        <v>3200000</v>
      </c>
      <c r="G30" s="639">
        <f t="shared" si="2"/>
        <v>0</v>
      </c>
      <c r="H30" s="769"/>
      <c r="I30" s="1022" t="s">
        <v>734</v>
      </c>
      <c r="J30" s="1023"/>
      <c r="K30" s="1023"/>
      <c r="L30" s="1023"/>
      <c r="M30" s="1023"/>
      <c r="N30" s="1023"/>
      <c r="O30" s="1023"/>
      <c r="P30" s="1023"/>
      <c r="Q30" s="1023"/>
      <c r="R30" s="1024"/>
      <c r="T30" s="655"/>
    </row>
    <row r="31" spans="1:20" s="561" customFormat="1" ht="22.5" customHeight="1">
      <c r="A31" s="782"/>
      <c r="B31" s="773"/>
      <c r="C31" s="766" t="s">
        <v>155</v>
      </c>
      <c r="D31" s="766" t="s">
        <v>6</v>
      </c>
      <c r="E31" s="645">
        <v>6300000</v>
      </c>
      <c r="F31" s="645">
        <f>F32</f>
        <v>6720000</v>
      </c>
      <c r="G31" s="639">
        <f t="shared" si="2"/>
        <v>420000</v>
      </c>
      <c r="H31" s="769"/>
      <c r="I31" s="783"/>
      <c r="J31" s="784"/>
      <c r="K31" s="784"/>
      <c r="L31" s="784"/>
      <c r="M31" s="784"/>
      <c r="N31" s="784"/>
      <c r="O31" s="784"/>
      <c r="P31" s="784"/>
      <c r="Q31" s="784"/>
      <c r="R31" s="785"/>
      <c r="T31" s="655"/>
    </row>
    <row r="32" spans="1:20" s="561" customFormat="1" ht="22.5" customHeight="1">
      <c r="A32" s="782"/>
      <c r="B32" s="773"/>
      <c r="C32" s="766"/>
      <c r="D32" s="766" t="s">
        <v>155</v>
      </c>
      <c r="E32" s="645">
        <v>6300000</v>
      </c>
      <c r="F32" s="645">
        <v>6720000</v>
      </c>
      <c r="G32" s="639">
        <f t="shared" si="2"/>
        <v>420000</v>
      </c>
      <c r="H32" s="769"/>
      <c r="I32" s="1022" t="s">
        <v>909</v>
      </c>
      <c r="J32" s="1023"/>
      <c r="K32" s="1023"/>
      <c r="L32" s="1023"/>
      <c r="M32" s="1023"/>
      <c r="N32" s="1023"/>
      <c r="O32" s="1023"/>
      <c r="P32" s="1023"/>
      <c r="Q32" s="1023"/>
      <c r="R32" s="1024"/>
      <c r="T32" s="655"/>
    </row>
    <row r="33" spans="1:20" s="561" customFormat="1" ht="22.5" customHeight="1">
      <c r="A33" s="782"/>
      <c r="B33" s="786"/>
      <c r="C33" s="766" t="s">
        <v>960</v>
      </c>
      <c r="D33" s="766"/>
      <c r="E33" s="645">
        <v>0</v>
      </c>
      <c r="F33" s="645">
        <v>0</v>
      </c>
      <c r="G33" s="639">
        <f t="shared" ref="G33:G38" si="3">F33-E33</f>
        <v>0</v>
      </c>
      <c r="H33" s="769" t="e">
        <f t="shared" si="0"/>
        <v>#DIV/0!</v>
      </c>
      <c r="I33" s="1068"/>
      <c r="J33" s="1069"/>
      <c r="K33" s="1069"/>
      <c r="L33" s="1069"/>
      <c r="M33" s="1069"/>
      <c r="N33" s="1069"/>
      <c r="O33" s="1069"/>
      <c r="P33" s="1069"/>
      <c r="Q33" s="1069"/>
      <c r="R33" s="1070"/>
      <c r="T33" s="655"/>
    </row>
    <row r="34" spans="1:20" s="561" customFormat="1" ht="24" customHeight="1">
      <c r="A34" s="787" t="s">
        <v>7</v>
      </c>
      <c r="B34" s="1088" t="s">
        <v>28</v>
      </c>
      <c r="C34" s="1089"/>
      <c r="D34" s="766"/>
      <c r="E34" s="645">
        <v>113742</v>
      </c>
      <c r="F34" s="645">
        <f>F35</f>
        <v>66700</v>
      </c>
      <c r="G34" s="639">
        <f>F34-E34</f>
        <v>-47042</v>
      </c>
      <c r="H34" s="769">
        <f t="shared" si="0"/>
        <v>-41.358513126197884</v>
      </c>
      <c r="I34" s="1068"/>
      <c r="J34" s="1069"/>
      <c r="K34" s="1069"/>
      <c r="L34" s="1069"/>
      <c r="M34" s="1069"/>
      <c r="N34" s="1069"/>
      <c r="O34" s="1069"/>
      <c r="P34" s="1069"/>
      <c r="Q34" s="1069"/>
      <c r="R34" s="1070"/>
      <c r="T34" s="655"/>
    </row>
    <row r="35" spans="1:20" s="561" customFormat="1" ht="24" customHeight="1">
      <c r="A35" s="788"/>
      <c r="B35" s="772" t="s">
        <v>7</v>
      </c>
      <c r="C35" s="772" t="s">
        <v>130</v>
      </c>
      <c r="D35" s="772"/>
      <c r="E35" s="638">
        <v>113742</v>
      </c>
      <c r="F35" s="638">
        <f>F36</f>
        <v>66700</v>
      </c>
      <c r="G35" s="639">
        <f t="shared" si="3"/>
        <v>-47042</v>
      </c>
      <c r="H35" s="769">
        <f t="shared" si="0"/>
        <v>-41.358513126197884</v>
      </c>
      <c r="I35" s="1022"/>
      <c r="J35" s="1023"/>
      <c r="K35" s="1023"/>
      <c r="L35" s="1023"/>
      <c r="M35" s="1023"/>
      <c r="N35" s="1023"/>
      <c r="O35" s="1023"/>
      <c r="P35" s="1023"/>
      <c r="Q35" s="1023"/>
      <c r="R35" s="1024"/>
      <c r="T35" s="655"/>
    </row>
    <row r="36" spans="1:20" s="561" customFormat="1" ht="24" customHeight="1">
      <c r="A36" s="789"/>
      <c r="B36" s="772"/>
      <c r="C36" s="772" t="s">
        <v>7</v>
      </c>
      <c r="D36" s="772"/>
      <c r="E36" s="646">
        <v>113742</v>
      </c>
      <c r="F36" s="646">
        <v>66700</v>
      </c>
      <c r="G36" s="639">
        <f t="shared" si="3"/>
        <v>-47042</v>
      </c>
      <c r="H36" s="769">
        <f t="shared" si="0"/>
        <v>-41.358513126197884</v>
      </c>
      <c r="I36" s="1022"/>
      <c r="J36" s="1034"/>
      <c r="K36" s="1034"/>
      <c r="L36" s="1034"/>
      <c r="M36" s="1034"/>
      <c r="N36" s="1034"/>
      <c r="O36" s="1034"/>
      <c r="P36" s="1034"/>
      <c r="Q36" s="1034"/>
      <c r="R36" s="1035"/>
      <c r="T36" s="655"/>
    </row>
    <row r="37" spans="1:20" s="561" customFormat="1" ht="24" customHeight="1">
      <c r="A37" s="787" t="s">
        <v>580</v>
      </c>
      <c r="B37" s="1088" t="s">
        <v>28</v>
      </c>
      <c r="C37" s="1089"/>
      <c r="D37" s="772"/>
      <c r="E37" s="638">
        <v>11294958</v>
      </c>
      <c r="F37" s="638">
        <f>F38</f>
        <v>6082000</v>
      </c>
      <c r="G37" s="639">
        <f t="shared" si="3"/>
        <v>-5212958</v>
      </c>
      <c r="H37" s="769">
        <f t="shared" si="0"/>
        <v>-46.152964889289535</v>
      </c>
      <c r="I37" s="1022"/>
      <c r="J37" s="1034"/>
      <c r="K37" s="1034"/>
      <c r="L37" s="1034"/>
      <c r="M37" s="1034"/>
      <c r="N37" s="1034"/>
      <c r="O37" s="1034"/>
      <c r="P37" s="1034"/>
      <c r="Q37" s="1034"/>
      <c r="R37" s="1035"/>
      <c r="T37" s="655"/>
    </row>
    <row r="38" spans="1:20" s="561" customFormat="1" ht="24" customHeight="1">
      <c r="A38" s="788"/>
      <c r="B38" s="775" t="s">
        <v>151</v>
      </c>
      <c r="C38" s="772" t="s">
        <v>107</v>
      </c>
      <c r="D38" s="772"/>
      <c r="E38" s="645">
        <v>11294958</v>
      </c>
      <c r="F38" s="645">
        <f>F39</f>
        <v>6082000</v>
      </c>
      <c r="G38" s="639">
        <f t="shared" si="3"/>
        <v>-5212958</v>
      </c>
      <c r="H38" s="769">
        <f t="shared" si="0"/>
        <v>-46.152964889289535</v>
      </c>
      <c r="I38" s="1022"/>
      <c r="J38" s="1034"/>
      <c r="K38" s="1034"/>
      <c r="L38" s="1034"/>
      <c r="M38" s="1034"/>
      <c r="N38" s="1034"/>
      <c r="O38" s="1034"/>
      <c r="P38" s="1034"/>
      <c r="Q38" s="1034"/>
      <c r="R38" s="1035"/>
      <c r="T38" s="655"/>
    </row>
    <row r="39" spans="1:20" s="561" customFormat="1" ht="24" customHeight="1">
      <c r="A39" s="790"/>
      <c r="B39" s="791"/>
      <c r="C39" s="792" t="s">
        <v>150</v>
      </c>
      <c r="D39" s="792"/>
      <c r="E39" s="678">
        <v>11294958</v>
      </c>
      <c r="F39" s="678">
        <f>'다-1.도시(군)세입'!F23</f>
        <v>6082000</v>
      </c>
      <c r="G39" s="793">
        <f>F39-E39</f>
        <v>-5212958</v>
      </c>
      <c r="H39" s="794">
        <f t="shared" si="0"/>
        <v>-46.152964889289535</v>
      </c>
      <c r="I39" s="1031" t="s">
        <v>955</v>
      </c>
      <c r="J39" s="1032"/>
      <c r="K39" s="1032"/>
      <c r="L39" s="1032"/>
      <c r="M39" s="1032"/>
      <c r="N39" s="1032"/>
      <c r="O39" s="1032"/>
      <c r="P39" s="1032"/>
      <c r="Q39" s="1032"/>
      <c r="R39" s="1033"/>
      <c r="T39" s="655"/>
    </row>
    <row r="40" spans="1:20" s="561" customFormat="1" ht="16.5" customHeight="1">
      <c r="A40" s="795"/>
      <c r="B40" s="795"/>
      <c r="C40" s="796"/>
      <c r="D40" s="796"/>
      <c r="E40" s="797"/>
      <c r="F40" s="797"/>
      <c r="G40" s="798"/>
      <c r="H40" s="799"/>
      <c r="I40" s="800"/>
      <c r="J40" s="801"/>
      <c r="K40" s="801"/>
      <c r="L40" s="801"/>
      <c r="M40" s="801"/>
      <c r="N40" s="801"/>
      <c r="O40" s="801"/>
      <c r="P40" s="801"/>
      <c r="Q40" s="801"/>
      <c r="R40" s="801"/>
      <c r="T40" s="655"/>
    </row>
    <row r="41" spans="1:20" s="561" customFormat="1" ht="12" customHeight="1">
      <c r="E41" s="475"/>
      <c r="G41" s="802"/>
      <c r="J41" s="667"/>
      <c r="K41" s="667"/>
      <c r="L41" s="667"/>
      <c r="M41" s="667"/>
      <c r="N41" s="667"/>
      <c r="O41" s="667"/>
      <c r="P41" s="667"/>
      <c r="Q41" s="493"/>
      <c r="R41" s="667"/>
      <c r="T41" s="655"/>
    </row>
    <row r="42" spans="1:20" s="561" customFormat="1" ht="12" customHeight="1">
      <c r="E42" s="475"/>
      <c r="G42" s="802"/>
      <c r="J42" s="667"/>
      <c r="K42" s="667"/>
      <c r="L42" s="667"/>
      <c r="M42" s="667"/>
      <c r="N42" s="667"/>
      <c r="O42" s="667"/>
      <c r="P42" s="667"/>
      <c r="Q42" s="493"/>
      <c r="R42" s="667"/>
      <c r="T42" s="655"/>
    </row>
    <row r="43" spans="1:20" s="561" customFormat="1" ht="12" customHeight="1">
      <c r="E43" s="475"/>
      <c r="G43" s="802"/>
      <c r="J43" s="667"/>
      <c r="K43" s="667"/>
      <c r="L43" s="667"/>
      <c r="M43" s="667"/>
      <c r="N43" s="667"/>
      <c r="O43" s="667"/>
      <c r="P43" s="667"/>
      <c r="Q43" s="493"/>
      <c r="R43" s="667"/>
      <c r="T43" s="655"/>
    </row>
    <row r="44" spans="1:20" s="561" customFormat="1" ht="12" customHeight="1">
      <c r="E44" s="475"/>
      <c r="G44" s="802"/>
      <c r="J44" s="667"/>
      <c r="K44" s="667"/>
      <c r="L44" s="667"/>
      <c r="M44" s="667"/>
      <c r="N44" s="667"/>
      <c r="O44" s="667"/>
      <c r="P44" s="667"/>
      <c r="Q44" s="493"/>
      <c r="R44" s="667"/>
      <c r="T44" s="655"/>
    </row>
    <row r="45" spans="1:20" s="561" customFormat="1" ht="12" customHeight="1">
      <c r="E45" s="475"/>
      <c r="G45" s="802"/>
      <c r="J45" s="667"/>
      <c r="K45" s="667"/>
      <c r="L45" s="667"/>
      <c r="M45" s="667"/>
      <c r="N45" s="667"/>
      <c r="O45" s="667"/>
      <c r="P45" s="667"/>
      <c r="Q45" s="493"/>
      <c r="R45" s="667"/>
      <c r="T45" s="655"/>
    </row>
    <row r="46" spans="1:20" s="561" customFormat="1" ht="12" customHeight="1">
      <c r="E46" s="475"/>
      <c r="G46" s="802"/>
      <c r="J46" s="667"/>
      <c r="K46" s="667"/>
      <c r="L46" s="667"/>
      <c r="M46" s="667"/>
      <c r="N46" s="667"/>
      <c r="O46" s="667"/>
      <c r="P46" s="667"/>
      <c r="Q46" s="493"/>
      <c r="R46" s="667"/>
      <c r="T46" s="655"/>
    </row>
    <row r="47" spans="1:20" s="561" customFormat="1" ht="12" customHeight="1">
      <c r="E47" s="475"/>
      <c r="G47" s="802"/>
      <c r="J47" s="667"/>
      <c r="K47" s="667"/>
      <c r="L47" s="667"/>
      <c r="M47" s="667"/>
      <c r="N47" s="667"/>
      <c r="O47" s="667"/>
      <c r="P47" s="667"/>
      <c r="Q47" s="493"/>
      <c r="R47" s="667"/>
      <c r="T47" s="655"/>
    </row>
    <row r="48" spans="1:20" s="561" customFormat="1" ht="12" customHeight="1">
      <c r="E48" s="475"/>
      <c r="G48" s="803"/>
      <c r="J48" s="667"/>
      <c r="K48" s="667"/>
      <c r="L48" s="667"/>
      <c r="M48" s="667"/>
      <c r="N48" s="667"/>
      <c r="O48" s="667"/>
      <c r="P48" s="667"/>
      <c r="Q48" s="493"/>
      <c r="R48" s="667"/>
      <c r="T48" s="655"/>
    </row>
    <row r="49" spans="5:20" s="561" customFormat="1" ht="12" customHeight="1">
      <c r="E49" s="475"/>
      <c r="G49" s="803"/>
      <c r="J49" s="667"/>
      <c r="K49" s="667"/>
      <c r="L49" s="667"/>
      <c r="M49" s="667"/>
      <c r="N49" s="667"/>
      <c r="O49" s="667"/>
      <c r="P49" s="667"/>
      <c r="Q49" s="493"/>
      <c r="R49" s="667"/>
      <c r="T49" s="655"/>
    </row>
    <row r="50" spans="5:20" s="561" customFormat="1" ht="12" customHeight="1">
      <c r="E50" s="475"/>
      <c r="G50" s="803"/>
      <c r="J50" s="667"/>
      <c r="K50" s="667"/>
      <c r="L50" s="667"/>
      <c r="M50" s="667"/>
      <c r="N50" s="667"/>
      <c r="O50" s="667"/>
      <c r="P50" s="667"/>
      <c r="Q50" s="493"/>
      <c r="R50" s="667"/>
      <c r="T50" s="655"/>
    </row>
    <row r="51" spans="5:20" s="561" customFormat="1" ht="12" customHeight="1">
      <c r="E51" s="475"/>
      <c r="G51" s="803"/>
      <c r="J51" s="667"/>
      <c r="K51" s="667"/>
      <c r="L51" s="667"/>
      <c r="M51" s="667"/>
      <c r="N51" s="667"/>
      <c r="O51" s="667"/>
      <c r="P51" s="667"/>
      <c r="Q51" s="493"/>
      <c r="R51" s="667"/>
      <c r="T51" s="655"/>
    </row>
    <row r="52" spans="5:20" s="561" customFormat="1" ht="12" customHeight="1">
      <c r="E52" s="475"/>
      <c r="G52" s="803"/>
      <c r="J52" s="667"/>
      <c r="K52" s="667"/>
      <c r="L52" s="667"/>
      <c r="M52" s="667"/>
      <c r="N52" s="667"/>
      <c r="O52" s="667"/>
      <c r="P52" s="667"/>
      <c r="Q52" s="493"/>
      <c r="R52" s="667"/>
      <c r="T52" s="655"/>
    </row>
    <row r="53" spans="5:20" s="561" customFormat="1" ht="12" customHeight="1">
      <c r="E53" s="475"/>
      <c r="G53" s="803"/>
      <c r="J53" s="667"/>
      <c r="K53" s="667"/>
      <c r="L53" s="667"/>
      <c r="M53" s="667"/>
      <c r="N53" s="667"/>
      <c r="O53" s="667"/>
      <c r="P53" s="667"/>
      <c r="Q53" s="493"/>
      <c r="R53" s="667"/>
      <c r="T53" s="655"/>
    </row>
    <row r="54" spans="5:20" s="561" customFormat="1" ht="12" customHeight="1">
      <c r="E54" s="475"/>
      <c r="G54" s="803"/>
      <c r="J54" s="667"/>
      <c r="K54" s="667"/>
      <c r="L54" s="667"/>
      <c r="M54" s="667"/>
      <c r="N54" s="667"/>
      <c r="O54" s="667"/>
      <c r="P54" s="667"/>
      <c r="Q54" s="493"/>
      <c r="R54" s="667"/>
      <c r="T54" s="655"/>
    </row>
    <row r="55" spans="5:20" s="561" customFormat="1" ht="12" customHeight="1">
      <c r="E55" s="475"/>
      <c r="G55" s="803"/>
      <c r="J55" s="667"/>
      <c r="K55" s="667"/>
      <c r="L55" s="667"/>
      <c r="M55" s="667"/>
      <c r="N55" s="667"/>
      <c r="O55" s="667"/>
      <c r="P55" s="667"/>
      <c r="Q55" s="493"/>
      <c r="R55" s="667"/>
      <c r="T55" s="655"/>
    </row>
    <row r="56" spans="5:20" s="561" customFormat="1" ht="12" customHeight="1">
      <c r="E56" s="475"/>
      <c r="G56" s="803"/>
      <c r="J56" s="667"/>
      <c r="K56" s="667"/>
      <c r="L56" s="667"/>
      <c r="M56" s="667"/>
      <c r="N56" s="667"/>
      <c r="O56" s="667"/>
      <c r="P56" s="667"/>
      <c r="Q56" s="493"/>
      <c r="R56" s="667"/>
      <c r="T56" s="655"/>
    </row>
    <row r="57" spans="5:20" s="561" customFormat="1" ht="12" customHeight="1">
      <c r="E57" s="475"/>
      <c r="G57" s="803"/>
      <c r="J57" s="667"/>
      <c r="K57" s="667"/>
      <c r="L57" s="667"/>
      <c r="M57" s="667"/>
      <c r="N57" s="667"/>
      <c r="O57" s="667"/>
      <c r="P57" s="667"/>
      <c r="Q57" s="493"/>
      <c r="R57" s="667"/>
      <c r="T57" s="655"/>
    </row>
    <row r="58" spans="5:20" s="561" customFormat="1" ht="12" customHeight="1">
      <c r="E58" s="475"/>
      <c r="G58" s="803"/>
      <c r="J58" s="667"/>
      <c r="K58" s="667"/>
      <c r="L58" s="667"/>
      <c r="M58" s="667"/>
      <c r="N58" s="667"/>
      <c r="O58" s="667"/>
      <c r="P58" s="667"/>
      <c r="Q58" s="493"/>
      <c r="R58" s="667"/>
      <c r="T58" s="655"/>
    </row>
    <row r="59" spans="5:20" s="561" customFormat="1" ht="12" customHeight="1">
      <c r="E59" s="475"/>
      <c r="G59" s="803"/>
      <c r="J59" s="667"/>
      <c r="K59" s="667"/>
      <c r="L59" s="667"/>
      <c r="M59" s="667"/>
      <c r="N59" s="667"/>
      <c r="O59" s="667"/>
      <c r="P59" s="667"/>
      <c r="Q59" s="493"/>
      <c r="R59" s="667"/>
      <c r="T59" s="655"/>
    </row>
    <row r="60" spans="5:20" s="561" customFormat="1" ht="12" customHeight="1">
      <c r="E60" s="475"/>
      <c r="G60" s="803"/>
      <c r="J60" s="667"/>
      <c r="K60" s="667"/>
      <c r="L60" s="667"/>
      <c r="M60" s="667"/>
      <c r="N60" s="667"/>
      <c r="O60" s="667"/>
      <c r="P60" s="667"/>
      <c r="Q60" s="493"/>
      <c r="R60" s="667"/>
      <c r="T60" s="655"/>
    </row>
    <row r="61" spans="5:20" s="561" customFormat="1" ht="12" customHeight="1">
      <c r="E61" s="475"/>
      <c r="G61" s="803"/>
      <c r="J61" s="667"/>
      <c r="K61" s="667"/>
      <c r="L61" s="667"/>
      <c r="M61" s="667"/>
      <c r="N61" s="667"/>
      <c r="O61" s="667"/>
      <c r="P61" s="667"/>
      <c r="Q61" s="493"/>
      <c r="R61" s="667"/>
      <c r="T61" s="655"/>
    </row>
    <row r="62" spans="5:20" s="561" customFormat="1" ht="12" customHeight="1">
      <c r="E62" s="475"/>
      <c r="G62" s="803"/>
      <c r="J62" s="667"/>
      <c r="K62" s="667"/>
      <c r="L62" s="667"/>
      <c r="M62" s="667"/>
      <c r="N62" s="667"/>
      <c r="O62" s="667"/>
      <c r="P62" s="667"/>
      <c r="Q62" s="493"/>
      <c r="R62" s="667"/>
      <c r="T62" s="655"/>
    </row>
    <row r="63" spans="5:20" s="561" customFormat="1" ht="12" customHeight="1">
      <c r="E63" s="475"/>
      <c r="G63" s="803"/>
      <c r="I63" s="561" t="s">
        <v>163</v>
      </c>
      <c r="J63" s="667"/>
      <c r="K63" s="667"/>
      <c r="L63" s="667"/>
      <c r="M63" s="667"/>
      <c r="N63" s="667"/>
      <c r="O63" s="667"/>
      <c r="P63" s="667"/>
      <c r="Q63" s="493"/>
      <c r="R63" s="667"/>
      <c r="T63" s="655"/>
    </row>
    <row r="64" spans="5:20" s="561" customFormat="1" ht="12" customHeight="1">
      <c r="E64" s="475"/>
      <c r="G64" s="803"/>
      <c r="J64" s="667"/>
      <c r="K64" s="667"/>
      <c r="L64" s="667"/>
      <c r="M64" s="667"/>
      <c r="N64" s="667"/>
      <c r="O64" s="667"/>
      <c r="P64" s="667"/>
      <c r="Q64" s="493"/>
      <c r="R64" s="667"/>
      <c r="T64" s="655"/>
    </row>
    <row r="65" spans="5:20" s="561" customFormat="1" ht="12" customHeight="1">
      <c r="E65" s="475"/>
      <c r="G65" s="803"/>
      <c r="J65" s="667"/>
      <c r="K65" s="667"/>
      <c r="L65" s="667"/>
      <c r="M65" s="667"/>
      <c r="N65" s="667"/>
      <c r="O65" s="667"/>
      <c r="P65" s="667"/>
      <c r="Q65" s="493"/>
      <c r="R65" s="667"/>
      <c r="T65" s="655"/>
    </row>
    <row r="66" spans="5:20" s="561" customFormat="1" ht="12" customHeight="1">
      <c r="E66" s="475"/>
      <c r="G66" s="803"/>
      <c r="J66" s="667"/>
      <c r="K66" s="667"/>
      <c r="L66" s="667"/>
      <c r="M66" s="667"/>
      <c r="N66" s="667"/>
      <c r="O66" s="667"/>
      <c r="P66" s="667"/>
      <c r="Q66" s="493"/>
      <c r="R66" s="667"/>
      <c r="T66" s="655"/>
    </row>
    <row r="67" spans="5:20" s="561" customFormat="1" ht="12" customHeight="1">
      <c r="E67" s="475"/>
      <c r="G67" s="803"/>
      <c r="J67" s="667"/>
      <c r="K67" s="667"/>
      <c r="L67" s="667"/>
      <c r="M67" s="667"/>
      <c r="N67" s="667"/>
      <c r="O67" s="667"/>
      <c r="P67" s="667"/>
      <c r="Q67" s="493"/>
      <c r="R67" s="667"/>
      <c r="T67" s="655"/>
    </row>
    <row r="68" spans="5:20" s="561" customFormat="1" ht="12" customHeight="1">
      <c r="E68" s="475"/>
      <c r="G68" s="803"/>
      <c r="J68" s="667"/>
      <c r="K68" s="667"/>
      <c r="L68" s="667"/>
      <c r="M68" s="667"/>
      <c r="N68" s="667"/>
      <c r="O68" s="667"/>
      <c r="P68" s="667"/>
      <c r="Q68" s="493"/>
      <c r="R68" s="667"/>
      <c r="T68" s="655"/>
    </row>
    <row r="69" spans="5:20" s="561" customFormat="1" ht="12" customHeight="1">
      <c r="E69" s="475"/>
      <c r="G69" s="803"/>
      <c r="J69" s="667"/>
      <c r="K69" s="667"/>
      <c r="L69" s="667"/>
      <c r="M69" s="667"/>
      <c r="N69" s="667"/>
      <c r="O69" s="667"/>
      <c r="P69" s="667"/>
      <c r="Q69" s="493"/>
      <c r="R69" s="667"/>
      <c r="T69" s="655"/>
    </row>
    <row r="70" spans="5:20" s="561" customFormat="1" ht="12" customHeight="1">
      <c r="E70" s="475"/>
      <c r="G70" s="803"/>
      <c r="J70" s="667"/>
      <c r="K70" s="667"/>
      <c r="L70" s="667"/>
      <c r="M70" s="667"/>
      <c r="N70" s="667"/>
      <c r="O70" s="667"/>
      <c r="P70" s="667"/>
      <c r="Q70" s="493"/>
      <c r="R70" s="667"/>
      <c r="T70" s="655"/>
    </row>
    <row r="71" spans="5:20" s="561" customFormat="1" ht="12" customHeight="1">
      <c r="E71" s="475"/>
      <c r="G71" s="803"/>
      <c r="J71" s="667"/>
      <c r="K71" s="667"/>
      <c r="L71" s="667"/>
      <c r="M71" s="667"/>
      <c r="N71" s="667"/>
      <c r="O71" s="667"/>
      <c r="P71" s="667"/>
      <c r="Q71" s="493"/>
      <c r="R71" s="667"/>
      <c r="T71" s="655"/>
    </row>
    <row r="72" spans="5:20" s="561" customFormat="1" ht="12" customHeight="1">
      <c r="E72" s="475"/>
      <c r="G72" s="803"/>
      <c r="J72" s="667"/>
      <c r="K72" s="667"/>
      <c r="L72" s="667"/>
      <c r="M72" s="667"/>
      <c r="N72" s="667"/>
      <c r="O72" s="667"/>
      <c r="P72" s="667"/>
      <c r="Q72" s="493"/>
      <c r="R72" s="667"/>
      <c r="T72" s="655"/>
    </row>
    <row r="73" spans="5:20" s="561" customFormat="1" ht="12" customHeight="1">
      <c r="E73" s="475"/>
      <c r="G73" s="803"/>
      <c r="J73" s="667"/>
      <c r="K73" s="667"/>
      <c r="L73" s="667"/>
      <c r="M73" s="667"/>
      <c r="N73" s="667"/>
      <c r="O73" s="667"/>
      <c r="P73" s="667"/>
      <c r="Q73" s="493"/>
      <c r="R73" s="667"/>
      <c r="T73" s="655"/>
    </row>
    <row r="74" spans="5:20" s="561" customFormat="1" ht="12" customHeight="1">
      <c r="E74" s="475"/>
      <c r="G74" s="803"/>
      <c r="J74" s="667"/>
      <c r="K74" s="667"/>
      <c r="L74" s="667"/>
      <c r="M74" s="667"/>
      <c r="N74" s="667"/>
      <c r="O74" s="667"/>
      <c r="P74" s="667"/>
      <c r="Q74" s="493"/>
      <c r="R74" s="667"/>
      <c r="T74" s="655"/>
    </row>
    <row r="75" spans="5:20" s="561" customFormat="1" ht="12" customHeight="1">
      <c r="E75" s="475"/>
      <c r="G75" s="803"/>
      <c r="J75" s="667"/>
      <c r="K75" s="667"/>
      <c r="L75" s="667"/>
      <c r="M75" s="667"/>
      <c r="N75" s="667"/>
      <c r="O75" s="667"/>
      <c r="P75" s="667"/>
      <c r="Q75" s="493"/>
      <c r="R75" s="667"/>
      <c r="T75" s="655"/>
    </row>
    <row r="76" spans="5:20" s="561" customFormat="1" ht="12" customHeight="1">
      <c r="E76" s="475"/>
      <c r="G76" s="803"/>
      <c r="J76" s="667"/>
      <c r="K76" s="667"/>
      <c r="L76" s="667"/>
      <c r="M76" s="667"/>
      <c r="N76" s="667"/>
      <c r="O76" s="667"/>
      <c r="P76" s="667"/>
      <c r="Q76" s="493"/>
      <c r="R76" s="667"/>
      <c r="T76" s="655"/>
    </row>
    <row r="77" spans="5:20" s="561" customFormat="1" ht="12" customHeight="1">
      <c r="E77" s="475"/>
      <c r="G77" s="803"/>
      <c r="J77" s="667"/>
      <c r="K77" s="667"/>
      <c r="L77" s="667"/>
      <c r="M77" s="667"/>
      <c r="N77" s="667"/>
      <c r="O77" s="667"/>
      <c r="P77" s="667"/>
      <c r="Q77" s="493"/>
      <c r="R77" s="667"/>
      <c r="T77" s="655"/>
    </row>
    <row r="78" spans="5:20" s="561" customFormat="1" ht="12" customHeight="1">
      <c r="E78" s="475"/>
      <c r="G78" s="803"/>
      <c r="J78" s="667"/>
      <c r="K78" s="667"/>
      <c r="L78" s="667"/>
      <c r="M78" s="667"/>
      <c r="N78" s="667"/>
      <c r="O78" s="667"/>
      <c r="P78" s="667"/>
      <c r="Q78" s="493"/>
      <c r="R78" s="667"/>
      <c r="T78" s="655"/>
    </row>
    <row r="79" spans="5:20" s="561" customFormat="1" ht="12" customHeight="1">
      <c r="E79" s="475"/>
      <c r="G79" s="803"/>
      <c r="J79" s="667"/>
      <c r="K79" s="667"/>
      <c r="L79" s="667"/>
      <c r="M79" s="667"/>
      <c r="N79" s="667"/>
      <c r="O79" s="667"/>
      <c r="P79" s="667"/>
      <c r="Q79" s="493"/>
      <c r="R79" s="667"/>
      <c r="T79" s="655"/>
    </row>
    <row r="80" spans="5:20" s="561" customFormat="1" ht="12" customHeight="1">
      <c r="E80" s="475"/>
      <c r="G80" s="803"/>
      <c r="J80" s="667"/>
      <c r="K80" s="667"/>
      <c r="L80" s="667"/>
      <c r="M80" s="667"/>
      <c r="N80" s="667"/>
      <c r="O80" s="667"/>
      <c r="P80" s="667"/>
      <c r="Q80" s="493"/>
      <c r="R80" s="667"/>
      <c r="T80" s="655"/>
    </row>
    <row r="81" spans="5:20" s="561" customFormat="1" ht="12" customHeight="1">
      <c r="E81" s="475"/>
      <c r="G81" s="803"/>
      <c r="J81" s="667"/>
      <c r="K81" s="667"/>
      <c r="L81" s="667"/>
      <c r="M81" s="667"/>
      <c r="N81" s="667"/>
      <c r="O81" s="667"/>
      <c r="P81" s="667"/>
      <c r="Q81" s="493"/>
      <c r="R81" s="667"/>
      <c r="T81" s="655"/>
    </row>
    <row r="82" spans="5:20" s="561" customFormat="1" ht="12" customHeight="1">
      <c r="E82" s="475"/>
      <c r="G82" s="803"/>
      <c r="J82" s="667"/>
      <c r="K82" s="667"/>
      <c r="L82" s="667"/>
      <c r="M82" s="667"/>
      <c r="N82" s="667"/>
      <c r="O82" s="667"/>
      <c r="P82" s="667"/>
      <c r="Q82" s="493"/>
      <c r="R82" s="667"/>
      <c r="T82" s="655"/>
    </row>
    <row r="83" spans="5:20" s="561" customFormat="1" ht="12" customHeight="1">
      <c r="E83" s="475"/>
      <c r="G83" s="803"/>
      <c r="J83" s="667"/>
      <c r="K83" s="667"/>
      <c r="L83" s="667"/>
      <c r="M83" s="667"/>
      <c r="N83" s="667"/>
      <c r="O83" s="667"/>
      <c r="P83" s="667"/>
      <c r="Q83" s="493"/>
      <c r="R83" s="667"/>
      <c r="T83" s="655"/>
    </row>
    <row r="84" spans="5:20" s="561" customFormat="1" ht="12" customHeight="1">
      <c r="E84" s="475"/>
      <c r="G84" s="803"/>
      <c r="J84" s="667"/>
      <c r="K84" s="667"/>
      <c r="L84" s="667"/>
      <c r="M84" s="667"/>
      <c r="N84" s="667"/>
      <c r="O84" s="667"/>
      <c r="P84" s="667"/>
      <c r="Q84" s="493"/>
      <c r="R84" s="667"/>
      <c r="T84" s="655"/>
    </row>
    <row r="85" spans="5:20" s="561" customFormat="1" ht="12" customHeight="1">
      <c r="E85" s="475"/>
      <c r="G85" s="803"/>
      <c r="J85" s="667"/>
      <c r="K85" s="667"/>
      <c r="L85" s="667"/>
      <c r="M85" s="667"/>
      <c r="N85" s="667"/>
      <c r="O85" s="667"/>
      <c r="P85" s="667"/>
      <c r="Q85" s="493"/>
      <c r="R85" s="667"/>
      <c r="T85" s="655"/>
    </row>
    <row r="86" spans="5:20" s="561" customFormat="1" ht="12" customHeight="1">
      <c r="E86" s="475"/>
      <c r="G86" s="803"/>
      <c r="J86" s="667"/>
      <c r="K86" s="667"/>
      <c r="L86" s="667"/>
      <c r="M86" s="667"/>
      <c r="N86" s="667"/>
      <c r="O86" s="667"/>
      <c r="P86" s="667"/>
      <c r="Q86" s="493"/>
      <c r="R86" s="667"/>
      <c r="T86" s="655"/>
    </row>
    <row r="87" spans="5:20" s="561" customFormat="1" ht="12" customHeight="1">
      <c r="E87" s="475"/>
      <c r="G87" s="803"/>
      <c r="J87" s="667"/>
      <c r="K87" s="667"/>
      <c r="L87" s="667"/>
      <c r="M87" s="667"/>
      <c r="N87" s="667"/>
      <c r="O87" s="667"/>
      <c r="P87" s="667"/>
      <c r="Q87" s="493"/>
      <c r="R87" s="667"/>
      <c r="T87" s="655"/>
    </row>
    <row r="88" spans="5:20" s="561" customFormat="1" ht="12" customHeight="1">
      <c r="E88" s="475"/>
      <c r="G88" s="803"/>
      <c r="J88" s="667"/>
      <c r="K88" s="667"/>
      <c r="L88" s="667"/>
      <c r="M88" s="667"/>
      <c r="N88" s="667"/>
      <c r="O88" s="667"/>
      <c r="P88" s="667"/>
      <c r="Q88" s="493"/>
      <c r="R88" s="667"/>
      <c r="T88" s="655"/>
    </row>
    <row r="89" spans="5:20" s="561" customFormat="1" ht="12" customHeight="1">
      <c r="E89" s="475"/>
      <c r="G89" s="803"/>
      <c r="J89" s="667"/>
      <c r="K89" s="667"/>
      <c r="L89" s="667"/>
      <c r="M89" s="667"/>
      <c r="N89" s="667"/>
      <c r="O89" s="667"/>
      <c r="P89" s="667"/>
      <c r="Q89" s="493"/>
      <c r="R89" s="667"/>
      <c r="T89" s="655"/>
    </row>
    <row r="90" spans="5:20" s="561" customFormat="1" ht="12" customHeight="1">
      <c r="E90" s="475"/>
      <c r="G90" s="803"/>
      <c r="J90" s="667"/>
      <c r="K90" s="667"/>
      <c r="L90" s="667"/>
      <c r="M90" s="667"/>
      <c r="N90" s="667"/>
      <c r="O90" s="667"/>
      <c r="P90" s="667"/>
      <c r="Q90" s="493"/>
      <c r="R90" s="667"/>
      <c r="T90" s="655"/>
    </row>
    <row r="91" spans="5:20" s="561" customFormat="1" ht="12" customHeight="1">
      <c r="E91" s="475"/>
      <c r="G91" s="803"/>
      <c r="J91" s="667"/>
      <c r="K91" s="667"/>
      <c r="L91" s="667"/>
      <c r="M91" s="667"/>
      <c r="N91" s="667"/>
      <c r="O91" s="667"/>
      <c r="P91" s="667"/>
      <c r="Q91" s="493"/>
      <c r="R91" s="667"/>
      <c r="T91" s="655"/>
    </row>
    <row r="92" spans="5:20" s="561" customFormat="1" ht="12" customHeight="1">
      <c r="E92" s="475"/>
      <c r="G92" s="803"/>
      <c r="J92" s="667"/>
      <c r="K92" s="667"/>
      <c r="L92" s="667"/>
      <c r="M92" s="667"/>
      <c r="N92" s="667"/>
      <c r="O92" s="667"/>
      <c r="P92" s="667"/>
      <c r="Q92" s="493"/>
      <c r="R92" s="667"/>
      <c r="T92" s="655"/>
    </row>
    <row r="93" spans="5:20" s="561" customFormat="1" ht="12" customHeight="1">
      <c r="E93" s="475"/>
      <c r="G93" s="803"/>
      <c r="J93" s="667"/>
      <c r="K93" s="667"/>
      <c r="L93" s="667"/>
      <c r="M93" s="667"/>
      <c r="N93" s="667"/>
      <c r="O93" s="667"/>
      <c r="P93" s="667"/>
      <c r="Q93" s="493"/>
      <c r="R93" s="667"/>
      <c r="T93" s="655"/>
    </row>
    <row r="94" spans="5:20" s="561" customFormat="1" ht="12" customHeight="1">
      <c r="E94" s="475"/>
      <c r="G94" s="803"/>
      <c r="J94" s="667"/>
      <c r="K94" s="667"/>
      <c r="L94" s="667"/>
      <c r="M94" s="667"/>
      <c r="N94" s="667"/>
      <c r="O94" s="667"/>
      <c r="P94" s="667"/>
      <c r="Q94" s="493"/>
      <c r="R94" s="667"/>
      <c r="T94" s="655"/>
    </row>
    <row r="95" spans="5:20" s="561" customFormat="1" ht="12" customHeight="1">
      <c r="E95" s="475"/>
      <c r="G95" s="803"/>
      <c r="J95" s="667"/>
      <c r="K95" s="667"/>
      <c r="L95" s="667"/>
      <c r="M95" s="667"/>
      <c r="N95" s="667"/>
      <c r="O95" s="667"/>
      <c r="P95" s="667"/>
      <c r="Q95" s="493"/>
      <c r="R95" s="667"/>
      <c r="T95" s="655"/>
    </row>
    <row r="96" spans="5:20" s="561" customFormat="1" ht="12" customHeight="1">
      <c r="E96" s="475"/>
      <c r="G96" s="803"/>
      <c r="J96" s="667"/>
      <c r="K96" s="667"/>
      <c r="L96" s="667"/>
      <c r="M96" s="667"/>
      <c r="N96" s="667"/>
      <c r="O96" s="667"/>
      <c r="P96" s="667"/>
      <c r="Q96" s="493"/>
      <c r="R96" s="667"/>
      <c r="T96" s="655"/>
    </row>
    <row r="97" spans="5:20" s="561" customFormat="1" ht="12" customHeight="1">
      <c r="E97" s="475"/>
      <c r="G97" s="803"/>
      <c r="J97" s="667"/>
      <c r="K97" s="667"/>
      <c r="L97" s="667"/>
      <c r="M97" s="667"/>
      <c r="N97" s="667"/>
      <c r="O97" s="667"/>
      <c r="P97" s="667"/>
      <c r="Q97" s="493"/>
      <c r="R97" s="667"/>
      <c r="T97" s="655"/>
    </row>
    <row r="98" spans="5:20" s="561" customFormat="1" ht="12" customHeight="1">
      <c r="E98" s="475"/>
      <c r="G98" s="803"/>
      <c r="J98" s="667"/>
      <c r="K98" s="667"/>
      <c r="L98" s="667"/>
      <c r="M98" s="667"/>
      <c r="N98" s="667"/>
      <c r="O98" s="667"/>
      <c r="P98" s="667"/>
      <c r="Q98" s="493"/>
      <c r="R98" s="667"/>
      <c r="T98" s="655"/>
    </row>
    <row r="99" spans="5:20" s="561" customFormat="1" ht="12" customHeight="1">
      <c r="E99" s="475"/>
      <c r="G99" s="803"/>
      <c r="J99" s="667"/>
      <c r="K99" s="667"/>
      <c r="L99" s="667"/>
      <c r="M99" s="667"/>
      <c r="N99" s="667"/>
      <c r="O99" s="667"/>
      <c r="P99" s="667"/>
      <c r="Q99" s="493"/>
      <c r="R99" s="667"/>
      <c r="T99" s="655"/>
    </row>
    <row r="100" spans="5:20" s="561" customFormat="1" ht="12" customHeight="1">
      <c r="E100" s="475"/>
      <c r="G100" s="803"/>
      <c r="J100" s="667"/>
      <c r="K100" s="667"/>
      <c r="L100" s="667"/>
      <c r="M100" s="667"/>
      <c r="N100" s="667"/>
      <c r="O100" s="667"/>
      <c r="P100" s="667"/>
      <c r="Q100" s="493"/>
      <c r="R100" s="667"/>
      <c r="T100" s="655"/>
    </row>
    <row r="101" spans="5:20" s="561" customFormat="1" ht="12" customHeight="1">
      <c r="E101" s="475"/>
      <c r="G101" s="803"/>
      <c r="J101" s="667"/>
      <c r="K101" s="667"/>
      <c r="L101" s="667"/>
      <c r="M101" s="667"/>
      <c r="N101" s="667"/>
      <c r="O101" s="667"/>
      <c r="P101" s="667"/>
      <c r="Q101" s="493"/>
      <c r="R101" s="667"/>
      <c r="T101" s="655"/>
    </row>
    <row r="102" spans="5:20" s="561" customFormat="1" ht="12" customHeight="1">
      <c r="E102" s="475"/>
      <c r="G102" s="803"/>
      <c r="J102" s="667"/>
      <c r="K102" s="667"/>
      <c r="L102" s="667"/>
      <c r="M102" s="667"/>
      <c r="N102" s="667"/>
      <c r="O102" s="667"/>
      <c r="P102" s="667"/>
      <c r="Q102" s="493"/>
      <c r="R102" s="667"/>
      <c r="T102" s="655"/>
    </row>
    <row r="103" spans="5:20" s="561" customFormat="1" ht="12" customHeight="1">
      <c r="E103" s="475"/>
      <c r="G103" s="803"/>
      <c r="J103" s="667"/>
      <c r="K103" s="667"/>
      <c r="L103" s="667"/>
      <c r="M103" s="667"/>
      <c r="N103" s="667"/>
      <c r="O103" s="667"/>
      <c r="P103" s="667"/>
      <c r="Q103" s="493"/>
      <c r="R103" s="667"/>
      <c r="T103" s="655"/>
    </row>
    <row r="104" spans="5:20" s="561" customFormat="1" ht="12" customHeight="1">
      <c r="E104" s="475"/>
      <c r="G104" s="803"/>
      <c r="J104" s="667"/>
      <c r="K104" s="667"/>
      <c r="L104" s="667"/>
      <c r="M104" s="667"/>
      <c r="N104" s="667"/>
      <c r="O104" s="667"/>
      <c r="P104" s="667"/>
      <c r="Q104" s="493"/>
      <c r="R104" s="667"/>
      <c r="T104" s="655"/>
    </row>
    <row r="105" spans="5:20" s="561" customFormat="1" ht="12" customHeight="1">
      <c r="E105" s="475"/>
      <c r="G105" s="803"/>
      <c r="J105" s="667"/>
      <c r="K105" s="667"/>
      <c r="L105" s="667"/>
      <c r="M105" s="667"/>
      <c r="N105" s="667"/>
      <c r="O105" s="667"/>
      <c r="P105" s="667"/>
      <c r="Q105" s="493"/>
      <c r="R105" s="667"/>
      <c r="T105" s="655"/>
    </row>
    <row r="106" spans="5:20" s="561" customFormat="1" ht="12" customHeight="1">
      <c r="E106" s="475"/>
      <c r="G106" s="803"/>
      <c r="J106" s="667"/>
      <c r="K106" s="667"/>
      <c r="L106" s="667"/>
      <c r="M106" s="667"/>
      <c r="N106" s="667"/>
      <c r="O106" s="667"/>
      <c r="P106" s="667"/>
      <c r="Q106" s="493"/>
      <c r="R106" s="667"/>
      <c r="T106" s="655"/>
    </row>
    <row r="107" spans="5:20" s="561" customFormat="1" ht="12" customHeight="1">
      <c r="E107" s="475"/>
      <c r="G107" s="803"/>
      <c r="J107" s="667"/>
      <c r="K107" s="667"/>
      <c r="L107" s="667"/>
      <c r="M107" s="667"/>
      <c r="N107" s="667"/>
      <c r="O107" s="667"/>
      <c r="P107" s="667"/>
      <c r="Q107" s="493"/>
      <c r="R107" s="667"/>
      <c r="T107" s="655"/>
    </row>
    <row r="108" spans="5:20" s="561" customFormat="1" ht="12" customHeight="1">
      <c r="E108" s="475"/>
      <c r="G108" s="803"/>
      <c r="J108" s="667"/>
      <c r="K108" s="667"/>
      <c r="L108" s="667"/>
      <c r="M108" s="667"/>
      <c r="N108" s="667"/>
      <c r="O108" s="667"/>
      <c r="P108" s="667"/>
      <c r="Q108" s="493"/>
      <c r="R108" s="667"/>
      <c r="T108" s="655"/>
    </row>
    <row r="109" spans="5:20" s="561" customFormat="1" ht="12" customHeight="1">
      <c r="E109" s="475"/>
      <c r="G109" s="803"/>
      <c r="J109" s="667"/>
      <c r="K109" s="667"/>
      <c r="L109" s="667"/>
      <c r="M109" s="667"/>
      <c r="N109" s="667"/>
      <c r="O109" s="667"/>
      <c r="P109" s="667"/>
      <c r="Q109" s="493"/>
      <c r="R109" s="667"/>
      <c r="T109" s="655"/>
    </row>
    <row r="110" spans="5:20" s="561" customFormat="1" ht="12" customHeight="1">
      <c r="E110" s="475"/>
      <c r="G110" s="803"/>
      <c r="J110" s="667"/>
      <c r="K110" s="667"/>
      <c r="L110" s="667"/>
      <c r="M110" s="667"/>
      <c r="N110" s="667"/>
      <c r="O110" s="667"/>
      <c r="P110" s="667"/>
      <c r="Q110" s="493"/>
      <c r="R110" s="667"/>
      <c r="T110" s="655"/>
    </row>
    <row r="111" spans="5:20" s="561" customFormat="1" ht="12" customHeight="1">
      <c r="E111" s="475"/>
      <c r="G111" s="803"/>
      <c r="J111" s="667"/>
      <c r="K111" s="667"/>
      <c r="L111" s="667"/>
      <c r="M111" s="667"/>
      <c r="N111" s="667"/>
      <c r="O111" s="667"/>
      <c r="P111" s="667"/>
      <c r="Q111" s="493"/>
      <c r="R111" s="667"/>
      <c r="T111" s="655"/>
    </row>
    <row r="112" spans="5:20" s="561" customFormat="1" ht="12" customHeight="1">
      <c r="E112" s="475"/>
      <c r="G112" s="803"/>
      <c r="J112" s="667"/>
      <c r="K112" s="667"/>
      <c r="L112" s="667"/>
      <c r="M112" s="667"/>
      <c r="N112" s="667"/>
      <c r="O112" s="667"/>
      <c r="P112" s="667"/>
      <c r="Q112" s="493"/>
      <c r="R112" s="667"/>
      <c r="T112" s="655"/>
    </row>
    <row r="113" spans="5:20" s="561" customFormat="1" ht="12" customHeight="1">
      <c r="E113" s="475"/>
      <c r="G113" s="803"/>
      <c r="J113" s="667"/>
      <c r="K113" s="667"/>
      <c r="L113" s="667"/>
      <c r="M113" s="667"/>
      <c r="N113" s="667"/>
      <c r="O113" s="667"/>
      <c r="P113" s="667"/>
      <c r="Q113" s="493"/>
      <c r="R113" s="667"/>
      <c r="T113" s="655"/>
    </row>
    <row r="114" spans="5:20" s="561" customFormat="1" ht="12" customHeight="1">
      <c r="E114" s="475"/>
      <c r="G114" s="803"/>
      <c r="J114" s="667"/>
      <c r="K114" s="667"/>
      <c r="L114" s="667"/>
      <c r="M114" s="667"/>
      <c r="N114" s="667"/>
      <c r="O114" s="667"/>
      <c r="P114" s="667"/>
      <c r="Q114" s="493"/>
      <c r="R114" s="667"/>
      <c r="T114" s="655"/>
    </row>
    <row r="115" spans="5:20" s="561" customFormat="1" ht="12" customHeight="1">
      <c r="E115" s="475"/>
      <c r="G115" s="803"/>
      <c r="J115" s="667"/>
      <c r="K115" s="667"/>
      <c r="L115" s="667"/>
      <c r="M115" s="667"/>
      <c r="N115" s="667"/>
      <c r="O115" s="667"/>
      <c r="P115" s="667"/>
      <c r="Q115" s="493"/>
      <c r="R115" s="667"/>
      <c r="T115" s="655"/>
    </row>
    <row r="116" spans="5:20" s="561" customFormat="1" ht="12" customHeight="1">
      <c r="E116" s="475"/>
      <c r="G116" s="803"/>
      <c r="J116" s="667"/>
      <c r="K116" s="667"/>
      <c r="L116" s="667"/>
      <c r="M116" s="667"/>
      <c r="N116" s="667"/>
      <c r="O116" s="667"/>
      <c r="P116" s="667"/>
      <c r="Q116" s="493"/>
      <c r="R116" s="667"/>
      <c r="T116" s="655"/>
    </row>
    <row r="117" spans="5:20" s="561" customFormat="1" ht="12" customHeight="1">
      <c r="E117" s="475"/>
      <c r="G117" s="803"/>
      <c r="J117" s="667"/>
      <c r="K117" s="667"/>
      <c r="L117" s="667"/>
      <c r="M117" s="667"/>
      <c r="N117" s="667"/>
      <c r="O117" s="667"/>
      <c r="P117" s="667"/>
      <c r="Q117" s="493"/>
      <c r="R117" s="667"/>
      <c r="T117" s="655"/>
    </row>
    <row r="118" spans="5:20" s="561" customFormat="1" ht="12" customHeight="1">
      <c r="E118" s="475"/>
      <c r="G118" s="803"/>
      <c r="J118" s="667"/>
      <c r="K118" s="667"/>
      <c r="L118" s="667"/>
      <c r="M118" s="667"/>
      <c r="N118" s="667"/>
      <c r="O118" s="667"/>
      <c r="P118" s="667"/>
      <c r="Q118" s="493"/>
      <c r="R118" s="667"/>
      <c r="T118" s="655"/>
    </row>
    <row r="119" spans="5:20" s="561" customFormat="1" ht="12" customHeight="1">
      <c r="E119" s="475"/>
      <c r="G119" s="803"/>
      <c r="J119" s="667"/>
      <c r="K119" s="667"/>
      <c r="L119" s="667"/>
      <c r="M119" s="667"/>
      <c r="N119" s="667"/>
      <c r="O119" s="667"/>
      <c r="P119" s="667"/>
      <c r="Q119" s="493"/>
      <c r="R119" s="667"/>
      <c r="T119" s="655"/>
    </row>
    <row r="120" spans="5:20" s="561" customFormat="1" ht="12" customHeight="1">
      <c r="E120" s="475"/>
      <c r="G120" s="803"/>
      <c r="J120" s="667"/>
      <c r="K120" s="667"/>
      <c r="L120" s="667"/>
      <c r="M120" s="667"/>
      <c r="N120" s="667"/>
      <c r="O120" s="667"/>
      <c r="P120" s="667"/>
      <c r="Q120" s="493"/>
      <c r="R120" s="667"/>
      <c r="T120" s="655"/>
    </row>
    <row r="121" spans="5:20" s="561" customFormat="1" ht="12" customHeight="1">
      <c r="E121" s="475"/>
      <c r="G121" s="803"/>
      <c r="J121" s="667"/>
      <c r="K121" s="667"/>
      <c r="L121" s="667"/>
      <c r="M121" s="667"/>
      <c r="N121" s="667"/>
      <c r="O121" s="667"/>
      <c r="P121" s="667"/>
      <c r="Q121" s="493"/>
      <c r="R121" s="667"/>
      <c r="T121" s="655"/>
    </row>
    <row r="122" spans="5:20" s="561" customFormat="1" ht="12" customHeight="1">
      <c r="E122" s="475"/>
      <c r="G122" s="803"/>
      <c r="J122" s="667"/>
      <c r="K122" s="667"/>
      <c r="L122" s="667"/>
      <c r="M122" s="667"/>
      <c r="N122" s="667"/>
      <c r="O122" s="667"/>
      <c r="P122" s="667"/>
      <c r="Q122" s="493"/>
      <c r="R122" s="667"/>
      <c r="T122" s="655"/>
    </row>
    <row r="123" spans="5:20" s="561" customFormat="1" ht="12" customHeight="1">
      <c r="E123" s="475"/>
      <c r="G123" s="803"/>
      <c r="J123" s="667"/>
      <c r="K123" s="667"/>
      <c r="L123" s="667"/>
      <c r="M123" s="667"/>
      <c r="N123" s="667"/>
      <c r="O123" s="667"/>
      <c r="P123" s="667"/>
      <c r="Q123" s="493"/>
      <c r="R123" s="667"/>
      <c r="T123" s="655"/>
    </row>
    <row r="124" spans="5:20" s="561" customFormat="1" ht="12" customHeight="1">
      <c r="E124" s="475"/>
      <c r="G124" s="803"/>
      <c r="J124" s="667"/>
      <c r="K124" s="667"/>
      <c r="L124" s="667"/>
      <c r="M124" s="667"/>
      <c r="N124" s="667"/>
      <c r="O124" s="667"/>
      <c r="P124" s="667"/>
      <c r="Q124" s="493"/>
      <c r="R124" s="667"/>
      <c r="T124" s="655"/>
    </row>
    <row r="125" spans="5:20" s="561" customFormat="1" ht="12" customHeight="1">
      <c r="E125" s="475"/>
      <c r="G125" s="803"/>
      <c r="J125" s="667"/>
      <c r="K125" s="667"/>
      <c r="L125" s="667"/>
      <c r="M125" s="667"/>
      <c r="N125" s="667"/>
      <c r="O125" s="667"/>
      <c r="P125" s="667"/>
      <c r="Q125" s="493"/>
      <c r="R125" s="667"/>
      <c r="T125" s="655"/>
    </row>
    <row r="126" spans="5:20" s="561" customFormat="1" ht="12" customHeight="1">
      <c r="E126" s="475"/>
      <c r="G126" s="803"/>
      <c r="J126" s="667"/>
      <c r="K126" s="667"/>
      <c r="L126" s="667"/>
      <c r="M126" s="667"/>
      <c r="N126" s="667"/>
      <c r="O126" s="667"/>
      <c r="P126" s="667"/>
      <c r="Q126" s="493"/>
      <c r="R126" s="667"/>
      <c r="T126" s="655"/>
    </row>
    <row r="127" spans="5:20" s="561" customFormat="1" ht="12" customHeight="1">
      <c r="E127" s="475"/>
      <c r="G127" s="803"/>
      <c r="J127" s="667"/>
      <c r="K127" s="667"/>
      <c r="L127" s="667"/>
      <c r="M127" s="667"/>
      <c r="N127" s="667"/>
      <c r="O127" s="667"/>
      <c r="P127" s="667"/>
      <c r="Q127" s="493"/>
      <c r="R127" s="667"/>
      <c r="T127" s="655"/>
    </row>
    <row r="128" spans="5:20" s="561" customFormat="1" ht="12" customHeight="1">
      <c r="E128" s="475"/>
      <c r="G128" s="803"/>
      <c r="J128" s="667"/>
      <c r="K128" s="667"/>
      <c r="L128" s="667"/>
      <c r="M128" s="667"/>
      <c r="N128" s="667"/>
      <c r="O128" s="667"/>
      <c r="P128" s="667"/>
      <c r="Q128" s="493"/>
      <c r="R128" s="667"/>
      <c r="T128" s="655"/>
    </row>
    <row r="129" spans="5:20" s="561" customFormat="1" ht="12" customHeight="1">
      <c r="E129" s="475"/>
      <c r="G129" s="803"/>
      <c r="J129" s="667"/>
      <c r="K129" s="667"/>
      <c r="L129" s="667"/>
      <c r="M129" s="667"/>
      <c r="N129" s="667"/>
      <c r="O129" s="667"/>
      <c r="P129" s="667"/>
      <c r="Q129" s="493"/>
      <c r="R129" s="667"/>
      <c r="T129" s="655"/>
    </row>
    <row r="130" spans="5:20" s="561" customFormat="1" ht="12" customHeight="1">
      <c r="E130" s="475"/>
      <c r="G130" s="803"/>
      <c r="J130" s="667"/>
      <c r="K130" s="667"/>
      <c r="L130" s="667"/>
      <c r="M130" s="667"/>
      <c r="N130" s="667"/>
      <c r="O130" s="667"/>
      <c r="P130" s="667"/>
      <c r="Q130" s="493"/>
      <c r="R130" s="667"/>
      <c r="T130" s="655"/>
    </row>
    <row r="131" spans="5:20" s="561" customFormat="1" ht="12" customHeight="1">
      <c r="E131" s="475"/>
      <c r="G131" s="803"/>
      <c r="J131" s="667"/>
      <c r="K131" s="667"/>
      <c r="L131" s="667"/>
      <c r="M131" s="667"/>
      <c r="N131" s="667"/>
      <c r="O131" s="667"/>
      <c r="P131" s="667"/>
      <c r="Q131" s="493"/>
      <c r="R131" s="667"/>
      <c r="T131" s="655"/>
    </row>
    <row r="132" spans="5:20" s="561" customFormat="1" ht="10.5">
      <c r="E132" s="475"/>
      <c r="G132" s="803"/>
      <c r="J132" s="667"/>
      <c r="K132" s="667"/>
      <c r="L132" s="667"/>
      <c r="M132" s="667"/>
      <c r="N132" s="667"/>
      <c r="O132" s="667"/>
      <c r="P132" s="667"/>
      <c r="Q132" s="493"/>
      <c r="R132" s="667"/>
      <c r="T132" s="655"/>
    </row>
    <row r="133" spans="5:20" s="561" customFormat="1" ht="10.5">
      <c r="E133" s="475"/>
      <c r="G133" s="803"/>
      <c r="J133" s="667"/>
      <c r="K133" s="667"/>
      <c r="L133" s="667"/>
      <c r="M133" s="667"/>
      <c r="N133" s="667"/>
      <c r="O133" s="667"/>
      <c r="P133" s="667"/>
      <c r="Q133" s="493"/>
      <c r="R133" s="667"/>
      <c r="T133" s="655"/>
    </row>
    <row r="134" spans="5:20" s="561" customFormat="1" ht="10.5">
      <c r="E134" s="475"/>
      <c r="G134" s="803"/>
      <c r="J134" s="667"/>
      <c r="K134" s="667"/>
      <c r="L134" s="667"/>
      <c r="M134" s="667"/>
      <c r="N134" s="667"/>
      <c r="O134" s="667"/>
      <c r="P134" s="667"/>
      <c r="Q134" s="493"/>
      <c r="R134" s="667"/>
      <c r="T134" s="655"/>
    </row>
    <row r="135" spans="5:20" s="561" customFormat="1" ht="10.5">
      <c r="E135" s="475"/>
      <c r="G135" s="803"/>
      <c r="J135" s="667"/>
      <c r="K135" s="667"/>
      <c r="L135" s="667"/>
      <c r="M135" s="667"/>
      <c r="N135" s="667"/>
      <c r="O135" s="667"/>
      <c r="P135" s="667"/>
      <c r="Q135" s="493"/>
      <c r="R135" s="667"/>
      <c r="T135" s="655"/>
    </row>
    <row r="136" spans="5:20" s="561" customFormat="1" ht="10.5">
      <c r="E136" s="475"/>
      <c r="G136" s="803"/>
      <c r="J136" s="667"/>
      <c r="K136" s="667"/>
      <c r="L136" s="667"/>
      <c r="M136" s="667"/>
      <c r="N136" s="667"/>
      <c r="O136" s="667"/>
      <c r="P136" s="667"/>
      <c r="Q136" s="493"/>
      <c r="R136" s="667"/>
      <c r="T136" s="655"/>
    </row>
    <row r="137" spans="5:20" s="561" customFormat="1" ht="10.5">
      <c r="E137" s="475"/>
      <c r="G137" s="803"/>
      <c r="J137" s="667"/>
      <c r="K137" s="667"/>
      <c r="L137" s="667"/>
      <c r="M137" s="667"/>
      <c r="N137" s="667"/>
      <c r="O137" s="667"/>
      <c r="P137" s="667"/>
      <c r="Q137" s="493"/>
      <c r="R137" s="667"/>
      <c r="T137" s="655"/>
    </row>
    <row r="138" spans="5:20" s="561" customFormat="1" ht="10.5">
      <c r="E138" s="475"/>
      <c r="G138" s="803"/>
      <c r="J138" s="667"/>
      <c r="K138" s="667"/>
      <c r="L138" s="667"/>
      <c r="M138" s="667"/>
      <c r="N138" s="667"/>
      <c r="O138" s="667"/>
      <c r="P138" s="667"/>
      <c r="Q138" s="493"/>
      <c r="R138" s="667"/>
      <c r="T138" s="655"/>
    </row>
    <row r="139" spans="5:20" s="561" customFormat="1" ht="10.5">
      <c r="E139" s="475"/>
      <c r="G139" s="803"/>
      <c r="J139" s="667"/>
      <c r="K139" s="667"/>
      <c r="L139" s="667"/>
      <c r="M139" s="667"/>
      <c r="N139" s="667"/>
      <c r="O139" s="667"/>
      <c r="P139" s="667"/>
      <c r="Q139" s="493"/>
      <c r="R139" s="667"/>
      <c r="T139" s="655"/>
    </row>
    <row r="140" spans="5:20" s="561" customFormat="1" ht="10.5">
      <c r="E140" s="475"/>
      <c r="G140" s="803"/>
      <c r="J140" s="667"/>
      <c r="K140" s="667"/>
      <c r="L140" s="667"/>
      <c r="M140" s="667"/>
      <c r="N140" s="667"/>
      <c r="O140" s="667"/>
      <c r="P140" s="667"/>
      <c r="Q140" s="493"/>
      <c r="R140" s="667"/>
      <c r="T140" s="655"/>
    </row>
    <row r="141" spans="5:20" s="561" customFormat="1" ht="10.5">
      <c r="E141" s="475"/>
      <c r="G141" s="803"/>
      <c r="J141" s="667"/>
      <c r="K141" s="667"/>
      <c r="L141" s="667"/>
      <c r="M141" s="667"/>
      <c r="N141" s="667"/>
      <c r="O141" s="667"/>
      <c r="P141" s="667"/>
      <c r="Q141" s="493"/>
      <c r="R141" s="667"/>
      <c r="T141" s="655"/>
    </row>
    <row r="142" spans="5:20" s="561" customFormat="1" ht="10.5">
      <c r="E142" s="475"/>
      <c r="G142" s="803"/>
      <c r="J142" s="667"/>
      <c r="K142" s="667"/>
      <c r="L142" s="667"/>
      <c r="M142" s="667"/>
      <c r="N142" s="667"/>
      <c r="O142" s="667"/>
      <c r="P142" s="667"/>
      <c r="Q142" s="493"/>
      <c r="R142" s="667"/>
      <c r="T142" s="655"/>
    </row>
    <row r="143" spans="5:20" s="561" customFormat="1" ht="10.5">
      <c r="E143" s="475"/>
      <c r="G143" s="803"/>
      <c r="J143" s="667"/>
      <c r="K143" s="667"/>
      <c r="L143" s="667"/>
      <c r="M143" s="667"/>
      <c r="N143" s="667"/>
      <c r="O143" s="667"/>
      <c r="P143" s="667"/>
      <c r="Q143" s="493"/>
      <c r="R143" s="667"/>
      <c r="T143" s="655"/>
    </row>
    <row r="144" spans="5:20" s="561" customFormat="1" ht="10.5">
      <c r="E144" s="475"/>
      <c r="G144" s="803"/>
      <c r="J144" s="667"/>
      <c r="K144" s="667"/>
      <c r="L144" s="667"/>
      <c r="M144" s="667"/>
      <c r="N144" s="667"/>
      <c r="O144" s="667"/>
      <c r="P144" s="667"/>
      <c r="Q144" s="493"/>
      <c r="R144" s="667"/>
      <c r="T144" s="655"/>
    </row>
    <row r="145" spans="5:20" s="561" customFormat="1" ht="10.5">
      <c r="E145" s="475"/>
      <c r="G145" s="803"/>
      <c r="J145" s="667"/>
      <c r="K145" s="667"/>
      <c r="L145" s="667"/>
      <c r="M145" s="667"/>
      <c r="N145" s="667"/>
      <c r="O145" s="667"/>
      <c r="P145" s="667"/>
      <c r="Q145" s="493"/>
      <c r="R145" s="667"/>
      <c r="T145" s="655"/>
    </row>
    <row r="146" spans="5:20" s="561" customFormat="1" ht="10.5">
      <c r="E146" s="475"/>
      <c r="G146" s="803"/>
      <c r="J146" s="667"/>
      <c r="K146" s="667"/>
      <c r="L146" s="667"/>
      <c r="M146" s="667"/>
      <c r="N146" s="667"/>
      <c r="O146" s="667"/>
      <c r="P146" s="667"/>
      <c r="Q146" s="493"/>
      <c r="R146" s="667"/>
      <c r="T146" s="655"/>
    </row>
    <row r="147" spans="5:20" s="561" customFormat="1" ht="10.5">
      <c r="E147" s="475"/>
      <c r="G147" s="803"/>
      <c r="J147" s="667"/>
      <c r="K147" s="667"/>
      <c r="L147" s="667"/>
      <c r="M147" s="667"/>
      <c r="N147" s="667"/>
      <c r="O147" s="667"/>
      <c r="P147" s="667"/>
      <c r="Q147" s="493"/>
      <c r="R147" s="667"/>
      <c r="T147" s="655"/>
    </row>
    <row r="148" spans="5:20" s="561" customFormat="1" ht="10.5">
      <c r="E148" s="475"/>
      <c r="G148" s="803"/>
      <c r="J148" s="667"/>
      <c r="K148" s="667"/>
      <c r="L148" s="667"/>
      <c r="M148" s="667"/>
      <c r="N148" s="667"/>
      <c r="O148" s="667"/>
      <c r="P148" s="667"/>
      <c r="Q148" s="493"/>
      <c r="R148" s="667"/>
      <c r="T148" s="655"/>
    </row>
    <row r="149" spans="5:20" s="561" customFormat="1" ht="10.5">
      <c r="E149" s="475"/>
      <c r="G149" s="803"/>
      <c r="J149" s="667"/>
      <c r="K149" s="667"/>
      <c r="L149" s="667"/>
      <c r="M149" s="667"/>
      <c r="N149" s="667"/>
      <c r="O149" s="667"/>
      <c r="P149" s="667"/>
      <c r="Q149" s="493"/>
      <c r="R149" s="667"/>
      <c r="T149" s="655"/>
    </row>
    <row r="150" spans="5:20" s="561" customFormat="1" ht="10.5">
      <c r="E150" s="475"/>
      <c r="G150" s="803"/>
      <c r="J150" s="667"/>
      <c r="K150" s="667"/>
      <c r="L150" s="667"/>
      <c r="M150" s="667"/>
      <c r="N150" s="667"/>
      <c r="O150" s="667"/>
      <c r="P150" s="667"/>
      <c r="Q150" s="493"/>
      <c r="R150" s="667"/>
      <c r="T150" s="655"/>
    </row>
    <row r="151" spans="5:20" s="561" customFormat="1" ht="10.5">
      <c r="E151" s="475"/>
      <c r="G151" s="803"/>
      <c r="J151" s="667"/>
      <c r="K151" s="667"/>
      <c r="L151" s="667"/>
      <c r="M151" s="667"/>
      <c r="N151" s="667"/>
      <c r="O151" s="667"/>
      <c r="P151" s="667"/>
      <c r="Q151" s="493"/>
      <c r="R151" s="667"/>
      <c r="T151" s="655"/>
    </row>
    <row r="152" spans="5:20" s="561" customFormat="1" ht="10.5">
      <c r="E152" s="475"/>
      <c r="G152" s="803"/>
      <c r="J152" s="667"/>
      <c r="K152" s="667"/>
      <c r="L152" s="667"/>
      <c r="M152" s="667"/>
      <c r="N152" s="667"/>
      <c r="O152" s="667"/>
      <c r="P152" s="667"/>
      <c r="Q152" s="493"/>
      <c r="R152" s="667"/>
      <c r="T152" s="655"/>
    </row>
    <row r="153" spans="5:20" s="561" customFormat="1" ht="10.5">
      <c r="E153" s="475"/>
      <c r="G153" s="803"/>
      <c r="J153" s="667"/>
      <c r="K153" s="667"/>
      <c r="L153" s="667"/>
      <c r="M153" s="667"/>
      <c r="N153" s="667"/>
      <c r="O153" s="667"/>
      <c r="P153" s="667"/>
      <c r="Q153" s="493"/>
      <c r="R153" s="667"/>
      <c r="T153" s="655"/>
    </row>
    <row r="154" spans="5:20" s="561" customFormat="1" ht="10.5">
      <c r="E154" s="475"/>
      <c r="G154" s="803"/>
      <c r="J154" s="667"/>
      <c r="K154" s="667"/>
      <c r="L154" s="667"/>
      <c r="M154" s="667"/>
      <c r="N154" s="667"/>
      <c r="O154" s="667"/>
      <c r="P154" s="667"/>
      <c r="Q154" s="493"/>
      <c r="R154" s="667"/>
      <c r="T154" s="655"/>
    </row>
    <row r="155" spans="5:20" s="561" customFormat="1" ht="10.5">
      <c r="E155" s="475"/>
      <c r="G155" s="803"/>
      <c r="J155" s="667"/>
      <c r="K155" s="667"/>
      <c r="L155" s="667"/>
      <c r="M155" s="667"/>
      <c r="N155" s="667"/>
      <c r="O155" s="667"/>
      <c r="P155" s="667"/>
      <c r="Q155" s="493"/>
      <c r="R155" s="667"/>
      <c r="T155" s="655"/>
    </row>
    <row r="156" spans="5:20" s="561" customFormat="1" ht="10.5">
      <c r="E156" s="475"/>
      <c r="G156" s="803"/>
      <c r="J156" s="667"/>
      <c r="K156" s="667"/>
      <c r="L156" s="667"/>
      <c r="M156" s="667"/>
      <c r="N156" s="667"/>
      <c r="O156" s="667"/>
      <c r="P156" s="667"/>
      <c r="Q156" s="493"/>
      <c r="R156" s="667"/>
      <c r="T156" s="655"/>
    </row>
    <row r="157" spans="5:20" s="561" customFormat="1" ht="10.5">
      <c r="E157" s="475"/>
      <c r="G157" s="803"/>
      <c r="J157" s="667"/>
      <c r="K157" s="667"/>
      <c r="L157" s="667"/>
      <c r="M157" s="667"/>
      <c r="N157" s="667"/>
      <c r="O157" s="667"/>
      <c r="P157" s="667"/>
      <c r="Q157" s="493"/>
      <c r="R157" s="667"/>
      <c r="T157" s="655"/>
    </row>
    <row r="158" spans="5:20" s="561" customFormat="1" ht="10.5">
      <c r="E158" s="475"/>
      <c r="G158" s="803"/>
      <c r="J158" s="667"/>
      <c r="K158" s="667"/>
      <c r="L158" s="667"/>
      <c r="M158" s="667"/>
      <c r="N158" s="667"/>
      <c r="O158" s="667"/>
      <c r="P158" s="667"/>
      <c r="Q158" s="493"/>
      <c r="R158" s="667"/>
      <c r="T158" s="655"/>
    </row>
    <row r="159" spans="5:20" s="561" customFormat="1" ht="10.5">
      <c r="E159" s="475"/>
      <c r="G159" s="803"/>
      <c r="J159" s="667"/>
      <c r="K159" s="667"/>
      <c r="L159" s="667"/>
      <c r="M159" s="667"/>
      <c r="N159" s="667"/>
      <c r="O159" s="667"/>
      <c r="P159" s="667"/>
      <c r="Q159" s="493"/>
      <c r="R159" s="667"/>
      <c r="T159" s="655"/>
    </row>
    <row r="160" spans="5:20" s="561" customFormat="1" ht="10.5">
      <c r="E160" s="475"/>
      <c r="G160" s="803"/>
      <c r="J160" s="667"/>
      <c r="K160" s="667"/>
      <c r="L160" s="667"/>
      <c r="M160" s="667"/>
      <c r="N160" s="667"/>
      <c r="O160" s="667"/>
      <c r="P160" s="667"/>
      <c r="Q160" s="493"/>
      <c r="R160" s="667"/>
      <c r="T160" s="655"/>
    </row>
    <row r="161" spans="5:20" s="561" customFormat="1" ht="10.5">
      <c r="E161" s="475"/>
      <c r="G161" s="803"/>
      <c r="J161" s="667"/>
      <c r="K161" s="667"/>
      <c r="L161" s="667"/>
      <c r="M161" s="667"/>
      <c r="N161" s="667"/>
      <c r="O161" s="667"/>
      <c r="P161" s="667"/>
      <c r="Q161" s="493"/>
      <c r="R161" s="667"/>
      <c r="T161" s="655"/>
    </row>
    <row r="162" spans="5:20" s="561" customFormat="1" ht="10.5">
      <c r="E162" s="475"/>
      <c r="G162" s="803"/>
      <c r="J162" s="667"/>
      <c r="K162" s="667"/>
      <c r="L162" s="667"/>
      <c r="M162" s="667"/>
      <c r="N162" s="667"/>
      <c r="O162" s="667"/>
      <c r="P162" s="667"/>
      <c r="Q162" s="493"/>
      <c r="R162" s="667"/>
      <c r="T162" s="655"/>
    </row>
    <row r="163" spans="5:20" s="561" customFormat="1" ht="10.5">
      <c r="E163" s="475"/>
      <c r="G163" s="803"/>
      <c r="J163" s="667"/>
      <c r="K163" s="667"/>
      <c r="L163" s="667"/>
      <c r="M163" s="667"/>
      <c r="N163" s="667"/>
      <c r="O163" s="667"/>
      <c r="P163" s="667"/>
      <c r="Q163" s="493"/>
      <c r="R163" s="667"/>
      <c r="T163" s="655"/>
    </row>
    <row r="164" spans="5:20" s="561" customFormat="1" ht="10.5">
      <c r="E164" s="475"/>
      <c r="G164" s="803"/>
      <c r="J164" s="667"/>
      <c r="K164" s="667"/>
      <c r="L164" s="667"/>
      <c r="M164" s="667"/>
      <c r="N164" s="667"/>
      <c r="O164" s="667"/>
      <c r="P164" s="667"/>
      <c r="Q164" s="493"/>
      <c r="R164" s="667"/>
      <c r="T164" s="655"/>
    </row>
    <row r="165" spans="5:20" s="561" customFormat="1" ht="10.5">
      <c r="E165" s="475"/>
      <c r="G165" s="803"/>
      <c r="J165" s="667"/>
      <c r="K165" s="667"/>
      <c r="L165" s="667"/>
      <c r="M165" s="667"/>
      <c r="N165" s="667"/>
      <c r="O165" s="667"/>
      <c r="P165" s="667"/>
      <c r="Q165" s="493"/>
      <c r="R165" s="667"/>
      <c r="T165" s="655"/>
    </row>
    <row r="166" spans="5:20" s="561" customFormat="1" ht="10.5">
      <c r="E166" s="475"/>
      <c r="G166" s="803"/>
      <c r="J166" s="667"/>
      <c r="K166" s="667"/>
      <c r="L166" s="667"/>
      <c r="M166" s="667"/>
      <c r="N166" s="667"/>
      <c r="O166" s="667"/>
      <c r="P166" s="667"/>
      <c r="Q166" s="493"/>
      <c r="R166" s="667"/>
      <c r="T166" s="655"/>
    </row>
    <row r="167" spans="5:20" s="561" customFormat="1" ht="10.5">
      <c r="E167" s="475"/>
      <c r="G167" s="803"/>
      <c r="J167" s="667"/>
      <c r="K167" s="667"/>
      <c r="L167" s="667"/>
      <c r="M167" s="667"/>
      <c r="N167" s="667"/>
      <c r="O167" s="667"/>
      <c r="P167" s="667"/>
      <c r="Q167" s="493"/>
      <c r="R167" s="667"/>
      <c r="T167" s="655"/>
    </row>
    <row r="168" spans="5:20" s="561" customFormat="1" ht="10.5">
      <c r="E168" s="475"/>
      <c r="G168" s="803"/>
      <c r="J168" s="667"/>
      <c r="K168" s="667"/>
      <c r="L168" s="667"/>
      <c r="M168" s="667"/>
      <c r="N168" s="667"/>
      <c r="O168" s="667"/>
      <c r="P168" s="667"/>
      <c r="Q168" s="493"/>
      <c r="R168" s="667"/>
      <c r="T168" s="655"/>
    </row>
    <row r="169" spans="5:20" s="561" customFormat="1" ht="10.5">
      <c r="E169" s="475"/>
      <c r="G169" s="803"/>
      <c r="J169" s="667"/>
      <c r="K169" s="667"/>
      <c r="L169" s="667"/>
      <c r="M169" s="667"/>
      <c r="N169" s="667"/>
      <c r="O169" s="667"/>
      <c r="P169" s="667"/>
      <c r="Q169" s="493"/>
      <c r="R169" s="667"/>
      <c r="T169" s="655"/>
    </row>
    <row r="170" spans="5:20" s="561" customFormat="1" ht="10.5">
      <c r="E170" s="475"/>
      <c r="G170" s="803"/>
      <c r="J170" s="667"/>
      <c r="K170" s="667"/>
      <c r="L170" s="667"/>
      <c r="M170" s="667"/>
      <c r="N170" s="667"/>
      <c r="O170" s="667"/>
      <c r="P170" s="667"/>
      <c r="Q170" s="493"/>
      <c r="R170" s="667"/>
      <c r="T170" s="655"/>
    </row>
    <row r="171" spans="5:20" s="561" customFormat="1" ht="10.5">
      <c r="E171" s="475"/>
      <c r="G171" s="803"/>
      <c r="J171" s="667"/>
      <c r="K171" s="667"/>
      <c r="L171" s="667"/>
      <c r="M171" s="667"/>
      <c r="N171" s="667"/>
      <c r="O171" s="667"/>
      <c r="P171" s="667"/>
      <c r="Q171" s="493"/>
      <c r="R171" s="667"/>
      <c r="T171" s="655"/>
    </row>
    <row r="172" spans="5:20" s="561" customFormat="1" ht="10.5">
      <c r="E172" s="475"/>
      <c r="G172" s="803"/>
      <c r="J172" s="667"/>
      <c r="K172" s="667"/>
      <c r="L172" s="667"/>
      <c r="M172" s="667"/>
      <c r="N172" s="667"/>
      <c r="O172" s="667"/>
      <c r="P172" s="667"/>
      <c r="Q172" s="493"/>
      <c r="R172" s="667"/>
      <c r="T172" s="655"/>
    </row>
    <row r="173" spans="5:20" s="561" customFormat="1" ht="10.5">
      <c r="E173" s="475"/>
      <c r="G173" s="803"/>
      <c r="J173" s="667"/>
      <c r="K173" s="667"/>
      <c r="L173" s="667"/>
      <c r="M173" s="667"/>
      <c r="N173" s="667"/>
      <c r="O173" s="667"/>
      <c r="P173" s="667"/>
      <c r="Q173" s="493"/>
      <c r="R173" s="667"/>
      <c r="T173" s="655"/>
    </row>
    <row r="174" spans="5:20" s="561" customFormat="1" ht="10.5">
      <c r="E174" s="475"/>
      <c r="G174" s="803"/>
      <c r="J174" s="667"/>
      <c r="K174" s="667"/>
      <c r="L174" s="667"/>
      <c r="M174" s="667"/>
      <c r="N174" s="667"/>
      <c r="O174" s="667"/>
      <c r="P174" s="667"/>
      <c r="Q174" s="493"/>
      <c r="R174" s="667"/>
      <c r="T174" s="655"/>
    </row>
    <row r="175" spans="5:20" s="561" customFormat="1" ht="10.5">
      <c r="E175" s="475"/>
      <c r="G175" s="803"/>
      <c r="J175" s="667"/>
      <c r="K175" s="667"/>
      <c r="L175" s="667"/>
      <c r="M175" s="667"/>
      <c r="N175" s="667"/>
      <c r="O175" s="667"/>
      <c r="P175" s="667"/>
      <c r="Q175" s="493"/>
      <c r="R175" s="667"/>
      <c r="T175" s="655"/>
    </row>
    <row r="176" spans="5:20" s="561" customFormat="1" ht="10.5">
      <c r="E176" s="475"/>
      <c r="G176" s="803"/>
      <c r="J176" s="667"/>
      <c r="K176" s="667"/>
      <c r="L176" s="667"/>
      <c r="M176" s="667"/>
      <c r="N176" s="667"/>
      <c r="O176" s="667"/>
      <c r="P176" s="667"/>
      <c r="Q176" s="493"/>
      <c r="R176" s="667"/>
      <c r="T176" s="655"/>
    </row>
    <row r="177" spans="5:20" s="561" customFormat="1" ht="10.5">
      <c r="E177" s="475"/>
      <c r="G177" s="803"/>
      <c r="J177" s="667"/>
      <c r="K177" s="667"/>
      <c r="L177" s="667"/>
      <c r="M177" s="667"/>
      <c r="N177" s="667"/>
      <c r="O177" s="667"/>
      <c r="P177" s="667"/>
      <c r="Q177" s="493"/>
      <c r="R177" s="667"/>
      <c r="T177" s="655"/>
    </row>
    <row r="178" spans="5:20" s="561" customFormat="1" ht="10.5">
      <c r="E178" s="475"/>
      <c r="G178" s="803"/>
      <c r="J178" s="667"/>
      <c r="K178" s="667"/>
      <c r="L178" s="667"/>
      <c r="M178" s="667"/>
      <c r="N178" s="667"/>
      <c r="O178" s="667"/>
      <c r="P178" s="667"/>
      <c r="Q178" s="493"/>
      <c r="R178" s="667"/>
      <c r="T178" s="655"/>
    </row>
    <row r="179" spans="5:20" s="561" customFormat="1" ht="10.5">
      <c r="E179" s="475"/>
      <c r="G179" s="803"/>
      <c r="J179" s="667"/>
      <c r="K179" s="667"/>
      <c r="L179" s="667"/>
      <c r="M179" s="667"/>
      <c r="N179" s="667"/>
      <c r="O179" s="667"/>
      <c r="P179" s="667"/>
      <c r="Q179" s="493"/>
      <c r="R179" s="667"/>
      <c r="T179" s="655"/>
    </row>
    <row r="180" spans="5:20" s="561" customFormat="1" ht="10.5">
      <c r="E180" s="475"/>
      <c r="G180" s="803"/>
      <c r="J180" s="667"/>
      <c r="K180" s="667"/>
      <c r="L180" s="667"/>
      <c r="M180" s="667"/>
      <c r="N180" s="667"/>
      <c r="O180" s="667"/>
      <c r="P180" s="667"/>
      <c r="Q180" s="493"/>
      <c r="R180" s="667"/>
      <c r="T180" s="655"/>
    </row>
    <row r="181" spans="5:20" s="561" customFormat="1" ht="10.5">
      <c r="E181" s="475"/>
      <c r="G181" s="803"/>
      <c r="J181" s="667"/>
      <c r="K181" s="667"/>
      <c r="L181" s="667"/>
      <c r="M181" s="667"/>
      <c r="N181" s="667"/>
      <c r="O181" s="667"/>
      <c r="P181" s="667"/>
      <c r="Q181" s="493"/>
      <c r="R181" s="667"/>
      <c r="T181" s="655"/>
    </row>
    <row r="182" spans="5:20" s="561" customFormat="1" ht="10.5">
      <c r="E182" s="475"/>
      <c r="G182" s="803"/>
      <c r="J182" s="667"/>
      <c r="K182" s="667"/>
      <c r="L182" s="667"/>
      <c r="M182" s="667"/>
      <c r="N182" s="667"/>
      <c r="O182" s="667"/>
      <c r="P182" s="667"/>
      <c r="Q182" s="493"/>
      <c r="R182" s="667"/>
      <c r="T182" s="655"/>
    </row>
    <row r="183" spans="5:20" s="561" customFormat="1" ht="10.5">
      <c r="E183" s="475"/>
      <c r="G183" s="803"/>
      <c r="J183" s="667"/>
      <c r="K183" s="667"/>
      <c r="L183" s="667"/>
      <c r="M183" s="667"/>
      <c r="N183" s="667"/>
      <c r="O183" s="667"/>
      <c r="P183" s="667"/>
      <c r="Q183" s="493"/>
      <c r="R183" s="667"/>
      <c r="T183" s="655"/>
    </row>
    <row r="184" spans="5:20" s="561" customFormat="1" ht="10.5">
      <c r="E184" s="475"/>
      <c r="G184" s="803"/>
      <c r="J184" s="667"/>
      <c r="K184" s="667"/>
      <c r="L184" s="667"/>
      <c r="M184" s="667"/>
      <c r="N184" s="667"/>
      <c r="O184" s="667"/>
      <c r="P184" s="667"/>
      <c r="Q184" s="493"/>
      <c r="R184" s="667"/>
      <c r="T184" s="655"/>
    </row>
    <row r="185" spans="5:20" s="561" customFormat="1" ht="10.5">
      <c r="E185" s="475"/>
      <c r="G185" s="803"/>
      <c r="J185" s="667"/>
      <c r="K185" s="667"/>
      <c r="L185" s="667"/>
      <c r="M185" s="667"/>
      <c r="N185" s="667"/>
      <c r="O185" s="667"/>
      <c r="P185" s="667"/>
      <c r="Q185" s="493"/>
      <c r="R185" s="667"/>
      <c r="T185" s="655"/>
    </row>
    <row r="186" spans="5:20" s="561" customFormat="1" ht="10.5">
      <c r="E186" s="475"/>
      <c r="G186" s="803"/>
      <c r="J186" s="667"/>
      <c r="K186" s="667"/>
      <c r="L186" s="667"/>
      <c r="M186" s="667"/>
      <c r="N186" s="667"/>
      <c r="O186" s="667"/>
      <c r="P186" s="667"/>
      <c r="Q186" s="493"/>
      <c r="R186" s="667"/>
      <c r="T186" s="655"/>
    </row>
    <row r="187" spans="5:20" s="561" customFormat="1" ht="10.5">
      <c r="E187" s="475"/>
      <c r="G187" s="803"/>
      <c r="J187" s="667"/>
      <c r="K187" s="667"/>
      <c r="L187" s="667"/>
      <c r="M187" s="667"/>
      <c r="N187" s="667"/>
      <c r="O187" s="667"/>
      <c r="P187" s="667"/>
      <c r="Q187" s="493"/>
      <c r="R187" s="667"/>
      <c r="T187" s="655"/>
    </row>
    <row r="188" spans="5:20" s="561" customFormat="1" ht="10.5">
      <c r="E188" s="475"/>
      <c r="G188" s="803"/>
      <c r="J188" s="667"/>
      <c r="K188" s="667"/>
      <c r="L188" s="667"/>
      <c r="M188" s="667"/>
      <c r="N188" s="667"/>
      <c r="O188" s="667"/>
      <c r="P188" s="667"/>
      <c r="Q188" s="493"/>
      <c r="R188" s="667"/>
      <c r="T188" s="655"/>
    </row>
    <row r="189" spans="5:20" s="561" customFormat="1" ht="10.5">
      <c r="E189" s="475"/>
      <c r="G189" s="803"/>
      <c r="J189" s="667"/>
      <c r="K189" s="667"/>
      <c r="L189" s="667"/>
      <c r="M189" s="667"/>
      <c r="N189" s="667"/>
      <c r="O189" s="667"/>
      <c r="P189" s="667"/>
      <c r="Q189" s="493"/>
      <c r="R189" s="667"/>
      <c r="T189" s="655"/>
    </row>
    <row r="190" spans="5:20" s="561" customFormat="1" ht="10.5">
      <c r="E190" s="475"/>
      <c r="G190" s="803"/>
      <c r="J190" s="667"/>
      <c r="K190" s="667"/>
      <c r="L190" s="667"/>
      <c r="M190" s="667"/>
      <c r="N190" s="667"/>
      <c r="O190" s="667"/>
      <c r="P190" s="667"/>
      <c r="Q190" s="493"/>
      <c r="R190" s="667"/>
      <c r="T190" s="655"/>
    </row>
    <row r="191" spans="5:20" s="561" customFormat="1" ht="10.5">
      <c r="E191" s="475"/>
      <c r="G191" s="803"/>
      <c r="J191" s="667"/>
      <c r="K191" s="667"/>
      <c r="L191" s="667"/>
      <c r="M191" s="667"/>
      <c r="N191" s="667"/>
      <c r="O191" s="667"/>
      <c r="P191" s="667"/>
      <c r="Q191" s="493"/>
      <c r="R191" s="667"/>
      <c r="T191" s="655"/>
    </row>
    <row r="192" spans="5:20" s="561" customFormat="1" ht="10.5">
      <c r="E192" s="475"/>
      <c r="G192" s="803"/>
      <c r="J192" s="667"/>
      <c r="K192" s="667"/>
      <c r="L192" s="667"/>
      <c r="M192" s="667"/>
      <c r="N192" s="667"/>
      <c r="O192" s="667"/>
      <c r="P192" s="667"/>
      <c r="Q192" s="493"/>
      <c r="R192" s="667"/>
      <c r="T192" s="655"/>
    </row>
    <row r="193" spans="5:20" s="561" customFormat="1" ht="10.5">
      <c r="E193" s="475"/>
      <c r="G193" s="803"/>
      <c r="J193" s="667"/>
      <c r="K193" s="667"/>
      <c r="L193" s="667"/>
      <c r="M193" s="667"/>
      <c r="N193" s="667"/>
      <c r="O193" s="667"/>
      <c r="P193" s="667"/>
      <c r="Q193" s="493"/>
      <c r="R193" s="667"/>
      <c r="T193" s="655"/>
    </row>
    <row r="194" spans="5:20" s="561" customFormat="1" ht="10.5">
      <c r="E194" s="475"/>
      <c r="G194" s="803"/>
      <c r="J194" s="667"/>
      <c r="K194" s="667"/>
      <c r="L194" s="667"/>
      <c r="M194" s="667"/>
      <c r="N194" s="667"/>
      <c r="O194" s="667"/>
      <c r="P194" s="667"/>
      <c r="Q194" s="493"/>
      <c r="R194" s="667"/>
      <c r="T194" s="655"/>
    </row>
    <row r="195" spans="5:20" s="561" customFormat="1" ht="10.5">
      <c r="E195" s="475"/>
      <c r="G195" s="803"/>
      <c r="J195" s="667"/>
      <c r="K195" s="667"/>
      <c r="L195" s="667"/>
      <c r="M195" s="667"/>
      <c r="N195" s="667"/>
      <c r="O195" s="667"/>
      <c r="P195" s="667"/>
      <c r="Q195" s="493"/>
      <c r="R195" s="667"/>
      <c r="T195" s="655"/>
    </row>
    <row r="196" spans="5:20" s="561" customFormat="1" ht="10.5">
      <c r="E196" s="475"/>
      <c r="G196" s="803"/>
      <c r="J196" s="667"/>
      <c r="K196" s="667"/>
      <c r="L196" s="667"/>
      <c r="M196" s="667"/>
      <c r="N196" s="667"/>
      <c r="O196" s="667"/>
      <c r="P196" s="667"/>
      <c r="Q196" s="493"/>
      <c r="R196" s="667"/>
      <c r="T196" s="655"/>
    </row>
    <row r="197" spans="5:20" s="561" customFormat="1" ht="10.5">
      <c r="E197" s="475"/>
      <c r="G197" s="803"/>
      <c r="J197" s="667"/>
      <c r="K197" s="667"/>
      <c r="L197" s="667"/>
      <c r="M197" s="667"/>
      <c r="N197" s="667"/>
      <c r="O197" s="667"/>
      <c r="P197" s="667"/>
      <c r="Q197" s="493"/>
      <c r="R197" s="667"/>
      <c r="T197" s="655"/>
    </row>
    <row r="198" spans="5:20" s="561" customFormat="1" ht="10.5">
      <c r="E198" s="475"/>
      <c r="G198" s="803"/>
      <c r="J198" s="667"/>
      <c r="K198" s="667"/>
      <c r="L198" s="667"/>
      <c r="M198" s="667"/>
      <c r="N198" s="667"/>
      <c r="O198" s="667"/>
      <c r="P198" s="667"/>
      <c r="Q198" s="493"/>
      <c r="R198" s="667"/>
      <c r="T198" s="655"/>
    </row>
    <row r="199" spans="5:20" s="561" customFormat="1" ht="10.5">
      <c r="E199" s="475"/>
      <c r="G199" s="803"/>
      <c r="J199" s="667"/>
      <c r="K199" s="667"/>
      <c r="L199" s="667"/>
      <c r="M199" s="667"/>
      <c r="N199" s="667"/>
      <c r="O199" s="667"/>
      <c r="P199" s="667"/>
      <c r="Q199" s="493"/>
      <c r="R199" s="667"/>
      <c r="T199" s="655"/>
    </row>
    <row r="200" spans="5:20" s="561" customFormat="1" ht="10.5">
      <c r="E200" s="475"/>
      <c r="G200" s="803"/>
      <c r="J200" s="667"/>
      <c r="K200" s="667"/>
      <c r="L200" s="667"/>
      <c r="M200" s="667"/>
      <c r="N200" s="667"/>
      <c r="O200" s="667"/>
      <c r="P200" s="667"/>
      <c r="Q200" s="493"/>
      <c r="R200" s="667"/>
      <c r="T200" s="655"/>
    </row>
    <row r="201" spans="5:20" s="561" customFormat="1" ht="10.5">
      <c r="E201" s="475"/>
      <c r="G201" s="803"/>
      <c r="J201" s="667"/>
      <c r="K201" s="667"/>
      <c r="L201" s="667"/>
      <c r="M201" s="667"/>
      <c r="N201" s="667"/>
      <c r="O201" s="667"/>
      <c r="P201" s="667"/>
      <c r="Q201" s="493"/>
      <c r="R201" s="667"/>
      <c r="T201" s="655"/>
    </row>
    <row r="202" spans="5:20" s="561" customFormat="1" ht="10.5">
      <c r="E202" s="475"/>
      <c r="G202" s="803"/>
      <c r="J202" s="667"/>
      <c r="K202" s="667"/>
      <c r="L202" s="667"/>
      <c r="M202" s="667"/>
      <c r="N202" s="667"/>
      <c r="O202" s="667"/>
      <c r="P202" s="667"/>
      <c r="Q202" s="493"/>
      <c r="R202" s="667"/>
      <c r="T202" s="655"/>
    </row>
    <row r="203" spans="5:20" s="561" customFormat="1" ht="10.5">
      <c r="E203" s="475"/>
      <c r="G203" s="803"/>
      <c r="J203" s="667"/>
      <c r="K203" s="667"/>
      <c r="L203" s="667"/>
      <c r="M203" s="667"/>
      <c r="N203" s="667"/>
      <c r="O203" s="667"/>
      <c r="P203" s="667"/>
      <c r="Q203" s="493"/>
      <c r="R203" s="667"/>
      <c r="T203" s="655"/>
    </row>
    <row r="204" spans="5:20" s="561" customFormat="1" ht="10.5">
      <c r="E204" s="475"/>
      <c r="G204" s="803"/>
      <c r="J204" s="667"/>
      <c r="K204" s="667"/>
      <c r="L204" s="667"/>
      <c r="M204" s="667"/>
      <c r="N204" s="667"/>
      <c r="O204" s="667"/>
      <c r="P204" s="667"/>
      <c r="Q204" s="493"/>
      <c r="R204" s="667"/>
      <c r="T204" s="655"/>
    </row>
    <row r="205" spans="5:20" s="561" customFormat="1" ht="10.5">
      <c r="E205" s="475"/>
      <c r="G205" s="803"/>
      <c r="J205" s="667"/>
      <c r="K205" s="667"/>
      <c r="L205" s="667"/>
      <c r="M205" s="667"/>
      <c r="N205" s="667"/>
      <c r="O205" s="667"/>
      <c r="P205" s="667"/>
      <c r="Q205" s="493"/>
      <c r="R205" s="667"/>
      <c r="T205" s="655"/>
    </row>
    <row r="206" spans="5:20" s="561" customFormat="1" ht="10.5">
      <c r="E206" s="475"/>
      <c r="G206" s="803"/>
      <c r="J206" s="667"/>
      <c r="K206" s="667"/>
      <c r="L206" s="667"/>
      <c r="M206" s="667"/>
      <c r="N206" s="667"/>
      <c r="O206" s="667"/>
      <c r="P206" s="667"/>
      <c r="Q206" s="493"/>
      <c r="R206" s="667"/>
      <c r="T206" s="655"/>
    </row>
    <row r="207" spans="5:20" s="561" customFormat="1" ht="10.5">
      <c r="E207" s="475"/>
      <c r="G207" s="803"/>
      <c r="J207" s="667"/>
      <c r="K207" s="667"/>
      <c r="L207" s="667"/>
      <c r="M207" s="667"/>
      <c r="N207" s="667"/>
      <c r="O207" s="667"/>
      <c r="P207" s="667"/>
      <c r="Q207" s="493"/>
      <c r="R207" s="667"/>
      <c r="T207" s="655"/>
    </row>
    <row r="208" spans="5:20" s="561" customFormat="1" ht="10.5">
      <c r="E208" s="475"/>
      <c r="G208" s="803"/>
      <c r="J208" s="667"/>
      <c r="K208" s="667"/>
      <c r="L208" s="667"/>
      <c r="M208" s="667"/>
      <c r="N208" s="667"/>
      <c r="O208" s="667"/>
      <c r="P208" s="667"/>
      <c r="Q208" s="493"/>
      <c r="R208" s="667"/>
      <c r="T208" s="655"/>
    </row>
    <row r="209" spans="5:20" s="561" customFormat="1" ht="10.5">
      <c r="E209" s="475"/>
      <c r="G209" s="803"/>
      <c r="J209" s="667"/>
      <c r="K209" s="667"/>
      <c r="L209" s="667"/>
      <c r="M209" s="667"/>
      <c r="N209" s="667"/>
      <c r="O209" s="667"/>
      <c r="P209" s="667"/>
      <c r="Q209" s="493"/>
      <c r="R209" s="667"/>
      <c r="T209" s="655"/>
    </row>
    <row r="210" spans="5:20" s="561" customFormat="1" ht="10.5">
      <c r="E210" s="475"/>
      <c r="G210" s="803"/>
      <c r="J210" s="667"/>
      <c r="K210" s="667"/>
      <c r="L210" s="667"/>
      <c r="M210" s="667"/>
      <c r="N210" s="667"/>
      <c r="O210" s="667"/>
      <c r="P210" s="667"/>
      <c r="Q210" s="493"/>
      <c r="R210" s="667"/>
      <c r="T210" s="655"/>
    </row>
  </sheetData>
  <mergeCells count="43">
    <mergeCell ref="B20:C20"/>
    <mergeCell ref="I35:R35"/>
    <mergeCell ref="I36:R36"/>
    <mergeCell ref="B37:C37"/>
    <mergeCell ref="I37:R37"/>
    <mergeCell ref="I38:R38"/>
    <mergeCell ref="I39:R39"/>
    <mergeCell ref="I10:R10"/>
    <mergeCell ref="I33:R33"/>
    <mergeCell ref="B34:C34"/>
    <mergeCell ref="I34:R34"/>
    <mergeCell ref="I22:R22"/>
    <mergeCell ref="I23:R23"/>
    <mergeCell ref="I24:R24"/>
    <mergeCell ref="I28:R28"/>
    <mergeCell ref="I29:R29"/>
    <mergeCell ref="I26:R26"/>
    <mergeCell ref="I27:R27"/>
    <mergeCell ref="I25:R25"/>
    <mergeCell ref="I30:R30"/>
    <mergeCell ref="I32:R32"/>
    <mergeCell ref="I11:R11"/>
    <mergeCell ref="I7:R7"/>
    <mergeCell ref="I8:R8"/>
    <mergeCell ref="I9:R9"/>
    <mergeCell ref="A6:C6"/>
    <mergeCell ref="I6:R6"/>
    <mergeCell ref="A2:D2"/>
    <mergeCell ref="Q3:R3"/>
    <mergeCell ref="A4:D4"/>
    <mergeCell ref="E4:E5"/>
    <mergeCell ref="F4:F5"/>
    <mergeCell ref="G4:H4"/>
    <mergeCell ref="I4:R5"/>
    <mergeCell ref="I17:R17"/>
    <mergeCell ref="I18:R18"/>
    <mergeCell ref="I19:R19"/>
    <mergeCell ref="I21:R21"/>
    <mergeCell ref="I12:R12"/>
    <mergeCell ref="I13:R13"/>
    <mergeCell ref="I14:R14"/>
    <mergeCell ref="I15:R15"/>
    <mergeCell ref="I16:R16"/>
  </mergeCells>
  <phoneticPr fontId="2" type="noConversion"/>
  <pageMargins left="0.13" right="0.13" top="0.48" bottom="0.13" header="0.14000000000000001" footer="0.17"/>
  <pageSetup paperSize="9" scale="83" orientation="portrait" horizontalDpi="4294967293" vertic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3"/>
  <sheetViews>
    <sheetView topLeftCell="A26" workbookViewId="0">
      <selection activeCell="F48" sqref="F48"/>
    </sheetView>
  </sheetViews>
  <sheetFormatPr defaultRowHeight="13.5"/>
  <cols>
    <col min="1" max="1" width="6.6640625" style="561" customWidth="1"/>
    <col min="2" max="2" width="7.109375" style="561" customWidth="1"/>
    <col min="3" max="3" width="9.109375" style="561" customWidth="1"/>
    <col min="4" max="4" width="9.21875" style="561" customWidth="1"/>
    <col min="5" max="5" width="10" style="561" customWidth="1"/>
    <col min="6" max="6" width="10" style="409" customWidth="1"/>
    <col min="7" max="7" width="10.33203125" style="683" customWidth="1"/>
    <col min="8" max="8" width="4.5546875" style="683" customWidth="1"/>
    <col min="9" max="12" width="3.6640625" style="561" customWidth="1"/>
    <col min="13" max="13" width="1.77734375" style="561" customWidth="1"/>
    <col min="14" max="14" width="5.5546875" style="561" bestFit="1" customWidth="1"/>
    <col min="15" max="15" width="1.88671875" style="561" customWidth="1"/>
    <col min="16" max="16" width="1.5546875" style="561" customWidth="1"/>
    <col min="17" max="17" width="4.6640625" style="561" customWidth="1"/>
    <col min="18" max="18" width="1.33203125" style="561" customWidth="1"/>
    <col min="19" max="19" width="8.88671875" style="742" hidden="1" customWidth="1"/>
    <col min="20" max="22" width="9.109375" style="685" hidden="1" customWidth="1"/>
    <col min="23" max="23" width="14.33203125" style="271" hidden="1" customWidth="1"/>
    <col min="24" max="24" width="13.21875" style="271" hidden="1" customWidth="1"/>
    <col min="25" max="25" width="8.88671875" style="271" hidden="1" customWidth="1"/>
    <col min="26" max="26" width="15" style="271" hidden="1" customWidth="1"/>
    <col min="27" max="27" width="8.88671875" style="271" hidden="1" customWidth="1"/>
    <col min="28" max="28" width="11.6640625" style="271" hidden="1" customWidth="1"/>
    <col min="29" max="29" width="8.88671875" style="271" hidden="1" customWidth="1"/>
    <col min="30" max="30" width="15.33203125" style="271" hidden="1" customWidth="1"/>
    <col min="31" max="31" width="8.88671875" style="271" hidden="1" customWidth="1"/>
    <col min="32" max="34" width="0" style="271" hidden="1" customWidth="1"/>
    <col min="35" max="16384" width="8.88671875" style="271"/>
  </cols>
  <sheetData>
    <row r="1" spans="1:30" s="496" customFormat="1" ht="23.25" customHeight="1">
      <c r="A1" s="615" t="s">
        <v>710</v>
      </c>
      <c r="B1" s="615"/>
      <c r="C1" s="615"/>
      <c r="D1" s="494"/>
      <c r="E1" s="494"/>
      <c r="F1" s="492"/>
      <c r="G1" s="616"/>
      <c r="H1" s="616"/>
      <c r="I1" s="1117"/>
      <c r="J1" s="1117"/>
      <c r="K1" s="1117"/>
      <c r="L1" s="1117"/>
      <c r="M1" s="1117"/>
      <c r="N1" s="1117"/>
      <c r="O1" s="1117"/>
      <c r="P1" s="1117"/>
      <c r="Q1" s="1117"/>
      <c r="R1" s="1117"/>
      <c r="S1" s="686"/>
      <c r="T1" s="620"/>
      <c r="U1" s="620"/>
      <c r="V1" s="620"/>
      <c r="W1" s="619"/>
      <c r="X1" s="619"/>
    </row>
    <row r="2" spans="1:30" s="496" customFormat="1" ht="22.5" customHeight="1">
      <c r="A2" s="1014" t="s">
        <v>951</v>
      </c>
      <c r="B2" s="1014"/>
      <c r="C2" s="1015"/>
      <c r="D2" s="565"/>
      <c r="E2" s="494"/>
      <c r="F2" s="492"/>
      <c r="G2" s="616"/>
      <c r="H2" s="616"/>
      <c r="I2" s="1117"/>
      <c r="J2" s="1117"/>
      <c r="K2" s="1117"/>
      <c r="L2" s="1117"/>
      <c r="M2" s="1117"/>
      <c r="N2" s="1117"/>
      <c r="O2" s="1117"/>
      <c r="P2" s="1117"/>
      <c r="Q2" s="1117"/>
      <c r="R2" s="1117"/>
      <c r="S2" s="686"/>
      <c r="T2" s="620"/>
      <c r="U2" s="620"/>
      <c r="V2" s="620"/>
      <c r="W2" s="619"/>
      <c r="X2" s="619"/>
    </row>
    <row r="3" spans="1:30" s="624" customFormat="1" ht="18" customHeight="1">
      <c r="A3" s="494"/>
      <c r="B3" s="494"/>
      <c r="C3" s="494"/>
      <c r="D3" s="494"/>
      <c r="E3" s="494"/>
      <c r="F3" s="492"/>
      <c r="G3" s="616"/>
      <c r="H3" s="616"/>
      <c r="I3" s="1118" t="s">
        <v>0</v>
      </c>
      <c r="J3" s="1118"/>
      <c r="K3" s="1118"/>
      <c r="L3" s="1118"/>
      <c r="M3" s="1118"/>
      <c r="N3" s="1118"/>
      <c r="O3" s="1118"/>
      <c r="P3" s="1118"/>
      <c r="Q3" s="1118"/>
      <c r="R3" s="1118"/>
      <c r="S3" s="687"/>
      <c r="T3" s="688"/>
      <c r="U3" s="688"/>
      <c r="V3" s="688"/>
      <c r="W3" s="621"/>
      <c r="X3" s="621"/>
    </row>
    <row r="4" spans="1:30" s="627" customFormat="1" ht="22.5" customHeight="1">
      <c r="A4" s="1049" t="s">
        <v>4</v>
      </c>
      <c r="B4" s="1050"/>
      <c r="C4" s="1050"/>
      <c r="D4" s="1051"/>
      <c r="E4" s="997" t="str">
        <f>라.국도비세출!E4:E5</f>
        <v>전년도예산
( A )</v>
      </c>
      <c r="F4" s="995" t="str">
        <f>라.국도비세출!F4:F5</f>
        <v>2020년예산
( B )</v>
      </c>
      <c r="G4" s="1128" t="s">
        <v>757</v>
      </c>
      <c r="H4" s="1128"/>
      <c r="I4" s="1119" t="s">
        <v>62</v>
      </c>
      <c r="J4" s="1119"/>
      <c r="K4" s="1119"/>
      <c r="L4" s="1119"/>
      <c r="M4" s="1119"/>
      <c r="N4" s="1119"/>
      <c r="O4" s="1119"/>
      <c r="P4" s="1119"/>
      <c r="Q4" s="1119"/>
      <c r="R4" s="1120"/>
      <c r="S4" s="689"/>
      <c r="T4" s="626"/>
      <c r="U4" s="626"/>
      <c r="V4" s="626"/>
      <c r="W4" s="625"/>
      <c r="X4" s="625"/>
    </row>
    <row r="5" spans="1:30" s="627" customFormat="1" ht="22.5" customHeight="1" thickBot="1">
      <c r="A5" s="628" t="s">
        <v>1</v>
      </c>
      <c r="B5" s="629" t="s">
        <v>2</v>
      </c>
      <c r="C5" s="629" t="s">
        <v>3</v>
      </c>
      <c r="D5" s="629" t="s">
        <v>108</v>
      </c>
      <c r="E5" s="998"/>
      <c r="F5" s="996"/>
      <c r="G5" s="630" t="s">
        <v>751</v>
      </c>
      <c r="H5" s="631" t="s">
        <v>752</v>
      </c>
      <c r="I5" s="1121"/>
      <c r="J5" s="1121"/>
      <c r="K5" s="1121"/>
      <c r="L5" s="1121"/>
      <c r="M5" s="1121"/>
      <c r="N5" s="1121"/>
      <c r="O5" s="1121"/>
      <c r="P5" s="1121"/>
      <c r="Q5" s="1121"/>
      <c r="R5" s="1122"/>
      <c r="S5" s="689"/>
      <c r="T5" s="626" t="s">
        <v>378</v>
      </c>
      <c r="U5" s="626"/>
      <c r="V5" s="626"/>
      <c r="W5" s="625"/>
      <c r="X5" s="625"/>
    </row>
    <row r="6" spans="1:30" s="627" customFormat="1" ht="20.25" customHeight="1" thickTop="1">
      <c r="A6" s="1126" t="s">
        <v>39</v>
      </c>
      <c r="B6" s="1127"/>
      <c r="C6" s="1127"/>
      <c r="D6" s="632"/>
      <c r="E6" s="633">
        <v>225700000</v>
      </c>
      <c r="F6" s="633">
        <f>F7+F45+F50+F90+F87+F84</f>
        <v>226800000</v>
      </c>
      <c r="G6" s="507">
        <f>G7+G45+G50+G90+G87+G84</f>
        <v>1100000</v>
      </c>
      <c r="H6" s="690">
        <f>G6/E6*100</f>
        <v>0.48737261852015945</v>
      </c>
      <c r="I6" s="1129"/>
      <c r="J6" s="1129"/>
      <c r="K6" s="1129"/>
      <c r="L6" s="1129"/>
      <c r="M6" s="1129"/>
      <c r="N6" s="1129"/>
      <c r="O6" s="1129"/>
      <c r="P6" s="1129"/>
      <c r="Q6" s="1129"/>
      <c r="R6" s="1130"/>
      <c r="S6" s="691">
        <f>'다-2.자부담세입'!E6-'라-2.자부담세출'!F6</f>
        <v>0</v>
      </c>
      <c r="T6" s="626"/>
      <c r="U6" s="626">
        <f>SUM(U7:U12)</f>
        <v>211508600</v>
      </c>
      <c r="V6" s="626">
        <f>SUM(V7:V12)</f>
        <v>191619660</v>
      </c>
      <c r="W6" s="636">
        <f>SUM(W32:W92)</f>
        <v>170108600</v>
      </c>
      <c r="X6" s="625"/>
      <c r="Z6" s="692">
        <f>'다-2.자부담세입'!E6</f>
        <v>226800000</v>
      </c>
      <c r="AB6" s="693">
        <f>F6-'다-2.자부담세입'!E6</f>
        <v>0</v>
      </c>
      <c r="AD6" s="693">
        <f>'다-2.자부담세입'!E6-'라-2.자부담세출'!F6</f>
        <v>0</v>
      </c>
    </row>
    <row r="7" spans="1:30" ht="20.25" customHeight="1">
      <c r="A7" s="637" t="s">
        <v>9</v>
      </c>
      <c r="B7" s="927" t="s">
        <v>162</v>
      </c>
      <c r="C7" s="368"/>
      <c r="D7" s="363"/>
      <c r="E7" s="638">
        <v>92700000</v>
      </c>
      <c r="F7" s="638">
        <f>F8+F33+F38</f>
        <v>88800000</v>
      </c>
      <c r="G7" s="646">
        <f t="shared" ref="G7:G70" si="0">F7-E7</f>
        <v>-3900000</v>
      </c>
      <c r="H7" s="694">
        <f>G7/E7*100</f>
        <v>-4.2071197411003238</v>
      </c>
      <c r="I7" s="1095"/>
      <c r="J7" s="1095"/>
      <c r="K7" s="1095"/>
      <c r="L7" s="1095"/>
      <c r="M7" s="1095"/>
      <c r="N7" s="1095"/>
      <c r="O7" s="1095"/>
      <c r="P7" s="1095"/>
      <c r="Q7" s="1095"/>
      <c r="R7" s="1096"/>
      <c r="S7" s="695"/>
      <c r="T7" s="641" t="s">
        <v>341</v>
      </c>
      <c r="U7" s="641">
        <f>'다-2.자부담세입'!E8</f>
        <v>134400000</v>
      </c>
      <c r="V7" s="696">
        <f>U41+U52+U75+U77+U78+U53</f>
        <v>86500000</v>
      </c>
      <c r="W7" s="697">
        <f t="shared" ref="W7:W12" si="1">U7-V7</f>
        <v>47900000</v>
      </c>
      <c r="X7" s="273"/>
    </row>
    <row r="8" spans="1:30" ht="23.25" customHeight="1">
      <c r="A8" s="644"/>
      <c r="B8" s="363" t="s">
        <v>50</v>
      </c>
      <c r="C8" s="363" t="s">
        <v>6</v>
      </c>
      <c r="D8" s="363"/>
      <c r="E8" s="645">
        <v>33511060</v>
      </c>
      <c r="F8" s="645">
        <f>F9+F10+F11+F12+F26+F27+F32</f>
        <v>33511060</v>
      </c>
      <c r="G8" s="646">
        <f t="shared" si="0"/>
        <v>0</v>
      </c>
      <c r="H8" s="694">
        <f t="shared" ref="H8:H71" si="2">G8/E8*100</f>
        <v>0</v>
      </c>
      <c r="I8" s="1095"/>
      <c r="J8" s="1095"/>
      <c r="K8" s="1095"/>
      <c r="L8" s="1095"/>
      <c r="M8" s="1095"/>
      <c r="N8" s="1095"/>
      <c r="O8" s="1095"/>
      <c r="P8" s="1095"/>
      <c r="Q8" s="1095"/>
      <c r="R8" s="1096"/>
      <c r="S8" s="695"/>
      <c r="T8" s="641" t="s">
        <v>345</v>
      </c>
      <c r="U8" s="641">
        <v>0</v>
      </c>
      <c r="V8" s="641">
        <f>F80</f>
        <v>0</v>
      </c>
      <c r="W8" s="697">
        <f t="shared" si="1"/>
        <v>0</v>
      </c>
      <c r="X8" s="273"/>
      <c r="Z8" s="350">
        <f>F6-Z6</f>
        <v>0</v>
      </c>
    </row>
    <row r="9" spans="1:30" ht="16.5" hidden="1" customHeight="1">
      <c r="A9" s="648"/>
      <c r="B9" s="377"/>
      <c r="C9" s="363" t="s">
        <v>10</v>
      </c>
      <c r="D9" s="363"/>
      <c r="E9" s="645">
        <v>0</v>
      </c>
      <c r="F9" s="645">
        <v>0</v>
      </c>
      <c r="G9" s="646">
        <f t="shared" si="0"/>
        <v>0</v>
      </c>
      <c r="H9" s="694" t="e">
        <f t="shared" si="2"/>
        <v>#DIV/0!</v>
      </c>
      <c r="I9" s="1095"/>
      <c r="J9" s="1095"/>
      <c r="K9" s="1095"/>
      <c r="L9" s="1095"/>
      <c r="M9" s="1095"/>
      <c r="N9" s="1095"/>
      <c r="O9" s="1095"/>
      <c r="P9" s="1095"/>
      <c r="Q9" s="1095"/>
      <c r="R9" s="1096"/>
      <c r="S9" s="695"/>
      <c r="T9" s="641" t="s">
        <v>344</v>
      </c>
      <c r="U9" s="641">
        <v>43648948</v>
      </c>
      <c r="V9" s="698">
        <f>F9+F10+F11+F12+F26+F27+T32+T41+T40+T42+T44+T47+T48+T49+T35+T37+T43+T75+T76+T77+T53+T90</f>
        <v>71660008</v>
      </c>
      <c r="W9" s="697">
        <f t="shared" si="1"/>
        <v>-28011060</v>
      </c>
      <c r="X9" s="273"/>
    </row>
    <row r="10" spans="1:30" ht="16.5" hidden="1" customHeight="1">
      <c r="A10" s="648"/>
      <c r="B10" s="379"/>
      <c r="C10" s="363" t="s">
        <v>644</v>
      </c>
      <c r="D10" s="363"/>
      <c r="E10" s="645">
        <v>0</v>
      </c>
      <c r="F10" s="645">
        <v>0</v>
      </c>
      <c r="G10" s="646">
        <f t="shared" si="0"/>
        <v>0</v>
      </c>
      <c r="H10" s="694" t="e">
        <f t="shared" si="2"/>
        <v>#DIV/0!</v>
      </c>
      <c r="I10" s="1095"/>
      <c r="J10" s="1095"/>
      <c r="K10" s="1095"/>
      <c r="L10" s="1095"/>
      <c r="M10" s="1095"/>
      <c r="N10" s="1095"/>
      <c r="O10" s="1095"/>
      <c r="P10" s="1095"/>
      <c r="Q10" s="1095"/>
      <c r="R10" s="1096"/>
      <c r="S10" s="695"/>
      <c r="T10" s="641" t="s">
        <v>343</v>
      </c>
      <c r="U10" s="641">
        <v>19000000</v>
      </c>
      <c r="V10" s="699">
        <f>V52</f>
        <v>19000000</v>
      </c>
      <c r="W10" s="697">
        <f t="shared" si="1"/>
        <v>0</v>
      </c>
      <c r="X10" s="273"/>
    </row>
    <row r="11" spans="1:30" ht="16.5" hidden="1" customHeight="1">
      <c r="A11" s="648"/>
      <c r="B11" s="379"/>
      <c r="C11" s="363" t="s">
        <v>12</v>
      </c>
      <c r="D11" s="363"/>
      <c r="E11" s="645">
        <v>0</v>
      </c>
      <c r="F11" s="645">
        <v>0</v>
      </c>
      <c r="G11" s="646">
        <f t="shared" si="0"/>
        <v>0</v>
      </c>
      <c r="H11" s="694" t="e">
        <f t="shared" si="2"/>
        <v>#DIV/0!</v>
      </c>
      <c r="I11" s="1095"/>
      <c r="J11" s="1095"/>
      <c r="K11" s="1095"/>
      <c r="L11" s="1095"/>
      <c r="M11" s="1095"/>
      <c r="N11" s="1095"/>
      <c r="O11" s="1095"/>
      <c r="P11" s="1095"/>
      <c r="Q11" s="1095"/>
      <c r="R11" s="1096"/>
      <c r="S11" s="695"/>
      <c r="T11" s="641" t="s">
        <v>342</v>
      </c>
      <c r="U11" s="641">
        <v>9283923</v>
      </c>
      <c r="V11" s="700">
        <f>V90+V87+V53+V40+V41+V42+V43+V44+V49+V34+V37+V78</f>
        <v>9283923</v>
      </c>
      <c r="W11" s="697">
        <f t="shared" si="1"/>
        <v>0</v>
      </c>
      <c r="X11" s="273"/>
    </row>
    <row r="12" spans="1:30" ht="16.5" customHeight="1">
      <c r="A12" s="648"/>
      <c r="B12" s="379"/>
      <c r="C12" s="363" t="s">
        <v>13</v>
      </c>
      <c r="D12" s="363" t="s">
        <v>107</v>
      </c>
      <c r="E12" s="645">
        <v>19000000</v>
      </c>
      <c r="F12" s="645">
        <f>SUM(F13:F25)</f>
        <v>19000000</v>
      </c>
      <c r="G12" s="646">
        <f t="shared" si="0"/>
        <v>0</v>
      </c>
      <c r="H12" s="694">
        <f t="shared" si="2"/>
        <v>0</v>
      </c>
      <c r="I12" s="1095"/>
      <c r="J12" s="1095"/>
      <c r="K12" s="1095"/>
      <c r="L12" s="1095"/>
      <c r="M12" s="1095"/>
      <c r="N12" s="1095"/>
      <c r="O12" s="1095"/>
      <c r="P12" s="1095"/>
      <c r="Q12" s="1095"/>
      <c r="R12" s="1096"/>
      <c r="S12" s="695"/>
      <c r="T12" s="641" t="s">
        <v>350</v>
      </c>
      <c r="U12" s="641">
        <v>5175729</v>
      </c>
      <c r="V12" s="701">
        <f>V74+V75+V76+V77</f>
        <v>5175729</v>
      </c>
      <c r="W12" s="697">
        <f t="shared" si="1"/>
        <v>0</v>
      </c>
      <c r="X12" s="273"/>
    </row>
    <row r="13" spans="1:30" ht="16.5" hidden="1" customHeight="1">
      <c r="A13" s="648"/>
      <c r="B13" s="379"/>
      <c r="C13" s="377"/>
      <c r="D13" s="427" t="s">
        <v>267</v>
      </c>
      <c r="E13" s="645">
        <v>0</v>
      </c>
      <c r="F13" s="645">
        <v>0</v>
      </c>
      <c r="G13" s="646">
        <f t="shared" si="0"/>
        <v>0</v>
      </c>
      <c r="H13" s="694" t="e">
        <f t="shared" si="2"/>
        <v>#DIV/0!</v>
      </c>
      <c r="I13" s="1095"/>
      <c r="J13" s="1095"/>
      <c r="K13" s="1095"/>
      <c r="L13" s="1095"/>
      <c r="M13" s="1095"/>
      <c r="N13" s="1095"/>
      <c r="O13" s="1095"/>
      <c r="P13" s="1095"/>
      <c r="Q13" s="1095"/>
      <c r="R13" s="1096"/>
      <c r="S13" s="695"/>
      <c r="T13" s="641"/>
      <c r="U13" s="641"/>
      <c r="V13" s="641"/>
      <c r="W13" s="273"/>
      <c r="X13" s="273"/>
    </row>
    <row r="14" spans="1:30" ht="16.5" hidden="1" customHeight="1">
      <c r="A14" s="648"/>
      <c r="B14" s="379"/>
      <c r="C14" s="379"/>
      <c r="D14" s="363" t="s">
        <v>176</v>
      </c>
      <c r="E14" s="645">
        <v>0</v>
      </c>
      <c r="F14" s="645">
        <v>0</v>
      </c>
      <c r="G14" s="646">
        <f t="shared" si="0"/>
        <v>0</v>
      </c>
      <c r="H14" s="694" t="e">
        <f t="shared" si="2"/>
        <v>#DIV/0!</v>
      </c>
      <c r="I14" s="1095"/>
      <c r="J14" s="1095"/>
      <c r="K14" s="1095"/>
      <c r="L14" s="1095"/>
      <c r="M14" s="1095"/>
      <c r="N14" s="1095"/>
      <c r="O14" s="1095"/>
      <c r="P14" s="1095"/>
      <c r="Q14" s="1095"/>
      <c r="R14" s="1096"/>
      <c r="S14" s="695"/>
      <c r="T14" s="641"/>
      <c r="U14" s="641"/>
      <c r="V14" s="641"/>
      <c r="W14" s="273"/>
      <c r="X14" s="273"/>
    </row>
    <row r="15" spans="1:30" ht="16.5" hidden="1" customHeight="1">
      <c r="A15" s="648"/>
      <c r="B15" s="379"/>
      <c r="C15" s="379"/>
      <c r="D15" s="363" t="s">
        <v>177</v>
      </c>
      <c r="E15" s="645">
        <v>0</v>
      </c>
      <c r="F15" s="645">
        <v>0</v>
      </c>
      <c r="G15" s="646">
        <f t="shared" si="0"/>
        <v>0</v>
      </c>
      <c r="H15" s="694" t="e">
        <f t="shared" si="2"/>
        <v>#DIV/0!</v>
      </c>
      <c r="I15" s="1095"/>
      <c r="J15" s="1095"/>
      <c r="K15" s="1095"/>
      <c r="L15" s="1095"/>
      <c r="M15" s="1095"/>
      <c r="N15" s="1095"/>
      <c r="O15" s="1095"/>
      <c r="P15" s="1095"/>
      <c r="Q15" s="1095"/>
      <c r="R15" s="1096"/>
      <c r="S15" s="695"/>
      <c r="T15" s="641"/>
      <c r="U15" s="641"/>
      <c r="V15" s="641"/>
      <c r="W15" s="273"/>
      <c r="X15" s="273"/>
    </row>
    <row r="16" spans="1:30" ht="16.5" hidden="1" customHeight="1">
      <c r="A16" s="648"/>
      <c r="B16" s="379"/>
      <c r="C16" s="379"/>
      <c r="D16" s="650" t="s">
        <v>268</v>
      </c>
      <c r="E16" s="645">
        <v>0</v>
      </c>
      <c r="F16" s="645">
        <v>0</v>
      </c>
      <c r="G16" s="646">
        <f t="shared" si="0"/>
        <v>0</v>
      </c>
      <c r="H16" s="694" t="e">
        <f t="shared" si="2"/>
        <v>#DIV/0!</v>
      </c>
      <c r="I16" s="1095"/>
      <c r="J16" s="1095"/>
      <c r="K16" s="1095"/>
      <c r="L16" s="1095"/>
      <c r="M16" s="1095"/>
      <c r="N16" s="1095"/>
      <c r="O16" s="1095"/>
      <c r="P16" s="1095"/>
      <c r="Q16" s="1095"/>
      <c r="R16" s="1096"/>
      <c r="S16" s="695"/>
      <c r="T16" s="641"/>
      <c r="U16" s="641"/>
      <c r="V16" s="641"/>
      <c r="W16" s="273"/>
      <c r="X16" s="273"/>
    </row>
    <row r="17" spans="1:30" ht="16.5" hidden="1" customHeight="1">
      <c r="A17" s="648"/>
      <c r="B17" s="379"/>
      <c r="C17" s="379"/>
      <c r="D17" s="650" t="s">
        <v>269</v>
      </c>
      <c r="E17" s="645">
        <v>0</v>
      </c>
      <c r="F17" s="645">
        <v>0</v>
      </c>
      <c r="G17" s="646">
        <f t="shared" si="0"/>
        <v>0</v>
      </c>
      <c r="H17" s="694" t="e">
        <f t="shared" si="2"/>
        <v>#DIV/0!</v>
      </c>
      <c r="I17" s="1095"/>
      <c r="J17" s="1095"/>
      <c r="K17" s="1095"/>
      <c r="L17" s="1095"/>
      <c r="M17" s="1095"/>
      <c r="N17" s="1095"/>
      <c r="O17" s="1095"/>
      <c r="P17" s="1095"/>
      <c r="Q17" s="1095"/>
      <c r="R17" s="1096"/>
      <c r="S17" s="695"/>
      <c r="T17" s="641"/>
      <c r="U17" s="641"/>
      <c r="V17" s="641"/>
      <c r="W17" s="273"/>
      <c r="X17" s="273"/>
    </row>
    <row r="18" spans="1:30" ht="16.5" hidden="1" customHeight="1">
      <c r="A18" s="648"/>
      <c r="B18" s="379"/>
      <c r="C18" s="379"/>
      <c r="D18" s="427" t="s">
        <v>270</v>
      </c>
      <c r="E18" s="645">
        <v>0</v>
      </c>
      <c r="F18" s="645">
        <v>0</v>
      </c>
      <c r="G18" s="646">
        <f t="shared" si="0"/>
        <v>0</v>
      </c>
      <c r="H18" s="694" t="e">
        <f t="shared" si="2"/>
        <v>#DIV/0!</v>
      </c>
      <c r="I18" s="1095"/>
      <c r="J18" s="1095"/>
      <c r="K18" s="1095"/>
      <c r="L18" s="1095"/>
      <c r="M18" s="1095"/>
      <c r="N18" s="1095"/>
      <c r="O18" s="1095"/>
      <c r="P18" s="1095"/>
      <c r="Q18" s="1095"/>
      <c r="R18" s="1096"/>
      <c r="S18" s="695"/>
      <c r="T18" s="641"/>
      <c r="U18" s="641"/>
      <c r="V18" s="641"/>
      <c r="W18" s="273"/>
      <c r="X18" s="273"/>
    </row>
    <row r="19" spans="1:30" ht="16.5" hidden="1" customHeight="1">
      <c r="A19" s="648"/>
      <c r="B19" s="379"/>
      <c r="C19" s="379"/>
      <c r="D19" s="427"/>
      <c r="E19" s="645"/>
      <c r="F19" s="645"/>
      <c r="G19" s="646">
        <f t="shared" si="0"/>
        <v>0</v>
      </c>
      <c r="H19" s="694" t="e">
        <f t="shared" si="2"/>
        <v>#DIV/0!</v>
      </c>
      <c r="I19" s="1095"/>
      <c r="J19" s="1095"/>
      <c r="K19" s="1095"/>
      <c r="L19" s="1095"/>
      <c r="M19" s="1095"/>
      <c r="N19" s="1095"/>
      <c r="O19" s="1095"/>
      <c r="P19" s="1095"/>
      <c r="Q19" s="1095"/>
      <c r="R19" s="1096"/>
      <c r="S19" s="695"/>
      <c r="T19" s="641"/>
      <c r="U19" s="641"/>
      <c r="V19" s="641"/>
      <c r="W19" s="273"/>
      <c r="X19" s="273"/>
    </row>
    <row r="20" spans="1:30" ht="16.5" hidden="1" customHeight="1">
      <c r="A20" s="648"/>
      <c r="B20" s="379"/>
      <c r="C20" s="379"/>
      <c r="D20" s="363" t="s">
        <v>178</v>
      </c>
      <c r="E20" s="645">
        <v>0</v>
      </c>
      <c r="F20" s="645">
        <v>0</v>
      </c>
      <c r="G20" s="646">
        <f t="shared" si="0"/>
        <v>0</v>
      </c>
      <c r="H20" s="694" t="e">
        <f t="shared" si="2"/>
        <v>#DIV/0!</v>
      </c>
      <c r="I20" s="1095"/>
      <c r="J20" s="1095"/>
      <c r="K20" s="1095"/>
      <c r="L20" s="1095"/>
      <c r="M20" s="1095"/>
      <c r="N20" s="1095"/>
      <c r="O20" s="1095"/>
      <c r="P20" s="1095"/>
      <c r="Q20" s="1095"/>
      <c r="R20" s="1096"/>
      <c r="S20" s="695"/>
      <c r="T20" s="641"/>
      <c r="U20" s="641"/>
      <c r="V20" s="641"/>
      <c r="W20" s="273"/>
      <c r="X20" s="273"/>
    </row>
    <row r="21" spans="1:30" ht="28.5" customHeight="1">
      <c r="A21" s="648"/>
      <c r="B21" s="379"/>
      <c r="C21" s="379"/>
      <c r="D21" s="363" t="s">
        <v>705</v>
      </c>
      <c r="E21" s="645">
        <v>19000000</v>
      </c>
      <c r="F21" s="645">
        <f>'인건비총계표(자부담)'!S5</f>
        <v>19000000</v>
      </c>
      <c r="G21" s="646">
        <f>F21-E21</f>
        <v>0</v>
      </c>
      <c r="H21" s="694">
        <f t="shared" si="2"/>
        <v>0</v>
      </c>
      <c r="I21" s="1123" t="s">
        <v>943</v>
      </c>
      <c r="J21" s="1124"/>
      <c r="K21" s="1124"/>
      <c r="L21" s="1124"/>
      <c r="M21" s="1124"/>
      <c r="N21" s="1124"/>
      <c r="O21" s="1124"/>
      <c r="P21" s="1124"/>
      <c r="Q21" s="1124"/>
      <c r="R21" s="1125"/>
      <c r="S21" s="695"/>
      <c r="T21" s="641"/>
      <c r="U21" s="641"/>
      <c r="V21" s="641"/>
      <c r="W21" s="273"/>
      <c r="X21" s="273"/>
      <c r="Z21" s="350"/>
    </row>
    <row r="22" spans="1:30" ht="16.5" hidden="1" customHeight="1">
      <c r="A22" s="648"/>
      <c r="B22" s="379"/>
      <c r="C22" s="379"/>
      <c r="D22" s="650"/>
      <c r="E22" s="645">
        <v>0</v>
      </c>
      <c r="F22" s="645">
        <v>0</v>
      </c>
      <c r="G22" s="646">
        <f t="shared" si="0"/>
        <v>0</v>
      </c>
      <c r="H22" s="694" t="e">
        <f t="shared" si="2"/>
        <v>#DIV/0!</v>
      </c>
      <c r="I22" s="1095"/>
      <c r="J22" s="1095"/>
      <c r="K22" s="1095"/>
      <c r="L22" s="1095"/>
      <c r="M22" s="1095"/>
      <c r="N22" s="1095"/>
      <c r="O22" s="1095"/>
      <c r="P22" s="1095"/>
      <c r="Q22" s="1095"/>
      <c r="R22" s="1096"/>
      <c r="S22" s="695"/>
      <c r="T22" s="641"/>
      <c r="U22" s="641"/>
      <c r="V22" s="641"/>
      <c r="W22" s="273"/>
      <c r="X22" s="273"/>
    </row>
    <row r="23" spans="1:30" ht="16.5" hidden="1" customHeight="1">
      <c r="A23" s="648"/>
      <c r="B23" s="379"/>
      <c r="C23" s="379"/>
      <c r="D23" s="650"/>
      <c r="E23" s="645">
        <v>0</v>
      </c>
      <c r="F23" s="645">
        <v>0</v>
      </c>
      <c r="G23" s="646">
        <f t="shared" si="0"/>
        <v>0</v>
      </c>
      <c r="H23" s="694" t="e">
        <f t="shared" si="2"/>
        <v>#DIV/0!</v>
      </c>
      <c r="I23" s="1112"/>
      <c r="J23" s="1113"/>
      <c r="K23" s="1113"/>
      <c r="L23" s="1113"/>
      <c r="M23" s="1113"/>
      <c r="N23" s="1113"/>
      <c r="O23" s="1113"/>
      <c r="P23" s="1113"/>
      <c r="Q23" s="1113"/>
      <c r="R23" s="1114"/>
      <c r="S23" s="695"/>
      <c r="T23" s="641"/>
      <c r="U23" s="641"/>
      <c r="V23" s="641"/>
      <c r="W23" s="273"/>
      <c r="X23" s="273"/>
    </row>
    <row r="24" spans="1:30" ht="16.5" hidden="1" customHeight="1">
      <c r="A24" s="648"/>
      <c r="B24" s="379"/>
      <c r="C24" s="379"/>
      <c r="D24" s="650"/>
      <c r="E24" s="645">
        <v>0</v>
      </c>
      <c r="F24" s="645">
        <v>0</v>
      </c>
      <c r="G24" s="646">
        <f t="shared" si="0"/>
        <v>0</v>
      </c>
      <c r="H24" s="694" t="e">
        <f t="shared" si="2"/>
        <v>#DIV/0!</v>
      </c>
      <c r="I24" s="1092"/>
      <c r="J24" s="1093"/>
      <c r="K24" s="1093"/>
      <c r="L24" s="1093"/>
      <c r="M24" s="1093"/>
      <c r="N24" s="1093"/>
      <c r="O24" s="1093"/>
      <c r="P24" s="1093"/>
      <c r="Q24" s="1093"/>
      <c r="R24" s="1094"/>
      <c r="S24" s="695"/>
      <c r="T24" s="641"/>
      <c r="U24" s="641"/>
      <c r="V24" s="641"/>
      <c r="W24" s="273"/>
      <c r="X24" s="273"/>
    </row>
    <row r="25" spans="1:30" ht="16.5" hidden="1" customHeight="1">
      <c r="A25" s="648"/>
      <c r="B25" s="379"/>
      <c r="C25" s="381"/>
      <c r="D25" s="650"/>
      <c r="E25" s="645">
        <v>0</v>
      </c>
      <c r="F25" s="645">
        <v>0</v>
      </c>
      <c r="G25" s="646">
        <f t="shared" si="0"/>
        <v>0</v>
      </c>
      <c r="H25" s="694" t="e">
        <f t="shared" si="2"/>
        <v>#DIV/0!</v>
      </c>
      <c r="I25" s="1092"/>
      <c r="J25" s="1093"/>
      <c r="K25" s="1093"/>
      <c r="L25" s="1093"/>
      <c r="M25" s="1093"/>
      <c r="N25" s="1093"/>
      <c r="O25" s="1093"/>
      <c r="P25" s="1093"/>
      <c r="Q25" s="1093"/>
      <c r="R25" s="1094"/>
      <c r="S25" s="695"/>
      <c r="T25" s="641"/>
      <c r="U25" s="641"/>
      <c r="V25" s="641"/>
      <c r="W25" s="273"/>
      <c r="X25" s="273"/>
    </row>
    <row r="26" spans="1:30" ht="25.5" customHeight="1">
      <c r="A26" s="648"/>
      <c r="B26" s="379"/>
      <c r="C26" s="658" t="s">
        <v>974</v>
      </c>
      <c r="D26" s="929"/>
      <c r="E26" s="645">
        <v>1583330</v>
      </c>
      <c r="F26" s="645">
        <f>'인건비총계표(자부담)'!U5</f>
        <v>1583330</v>
      </c>
      <c r="G26" s="646">
        <f t="shared" si="0"/>
        <v>0</v>
      </c>
      <c r="H26" s="694">
        <f t="shared" si="2"/>
        <v>0</v>
      </c>
      <c r="I26" s="1095"/>
      <c r="J26" s="1095"/>
      <c r="K26" s="1095"/>
      <c r="L26" s="1095"/>
      <c r="M26" s="1095"/>
      <c r="N26" s="1095"/>
      <c r="O26" s="1095"/>
      <c r="P26" s="1095"/>
      <c r="Q26" s="1095"/>
      <c r="R26" s="1096"/>
      <c r="S26" s="695"/>
      <c r="T26" s="641"/>
      <c r="U26" s="641"/>
      <c r="V26" s="641"/>
      <c r="W26" s="273"/>
      <c r="X26" s="273"/>
    </row>
    <row r="27" spans="1:30" ht="25.5" customHeight="1">
      <c r="A27" s="648"/>
      <c r="B27" s="379"/>
      <c r="C27" s="930" t="s">
        <v>742</v>
      </c>
      <c r="D27" s="930" t="s">
        <v>170</v>
      </c>
      <c r="E27" s="645">
        <v>927730</v>
      </c>
      <c r="F27" s="645">
        <f>SUM(F28:F31)</f>
        <v>927730</v>
      </c>
      <c r="G27" s="646">
        <f t="shared" si="0"/>
        <v>0</v>
      </c>
      <c r="H27" s="694">
        <f t="shared" si="2"/>
        <v>0</v>
      </c>
      <c r="I27" s="1112"/>
      <c r="J27" s="1113"/>
      <c r="K27" s="1113"/>
      <c r="L27" s="1113"/>
      <c r="M27" s="1113"/>
      <c r="N27" s="1113"/>
      <c r="O27" s="1113"/>
      <c r="P27" s="1113"/>
      <c r="Q27" s="1113"/>
      <c r="R27" s="1114"/>
      <c r="S27" s="695"/>
      <c r="T27" s="641"/>
      <c r="U27" s="641"/>
      <c r="V27" s="641"/>
      <c r="W27" s="273"/>
      <c r="X27" s="273"/>
    </row>
    <row r="28" spans="1:30" ht="27" customHeight="1">
      <c r="A28" s="648"/>
      <c r="B28" s="379"/>
      <c r="C28" s="934"/>
      <c r="D28" s="931" t="s">
        <v>195</v>
      </c>
      <c r="E28" s="654">
        <v>665930</v>
      </c>
      <c r="F28" s="654">
        <f>'인건비총계표(자부담)'!W5+'인건비총계표(자부담)'!X5-10</f>
        <v>665930</v>
      </c>
      <c r="G28" s="646">
        <f t="shared" si="0"/>
        <v>0</v>
      </c>
      <c r="H28" s="694">
        <f t="shared" si="2"/>
        <v>0</v>
      </c>
      <c r="I28" s="1045" t="s">
        <v>946</v>
      </c>
      <c r="J28" s="1046"/>
      <c r="K28" s="1046"/>
      <c r="L28" s="1046"/>
      <c r="M28" s="1046"/>
      <c r="N28" s="1046"/>
      <c r="O28" s="1046"/>
      <c r="P28" s="1046"/>
      <c r="Q28" s="1046"/>
      <c r="R28" s="1047"/>
      <c r="S28" s="655">
        <f>ROUNDUP(F21*3.23%,-1)</f>
        <v>613700</v>
      </c>
      <c r="T28" s="655">
        <f>ROUNDUP(S28*8.51%,-1)</f>
        <v>52230</v>
      </c>
      <c r="U28" s="641">
        <f>SUM(S28:T28)</f>
        <v>665930</v>
      </c>
      <c r="V28" s="641">
        <f>U28-F28</f>
        <v>0</v>
      </c>
      <c r="W28" s="273"/>
      <c r="X28" s="273"/>
    </row>
    <row r="29" spans="1:30" ht="16.5" hidden="1" customHeight="1">
      <c r="A29" s="648"/>
      <c r="B29" s="379"/>
      <c r="C29" s="935"/>
      <c r="D29" s="928" t="s">
        <v>196</v>
      </c>
      <c r="E29" s="645">
        <v>0</v>
      </c>
      <c r="F29" s="645">
        <v>0</v>
      </c>
      <c r="G29" s="646">
        <f t="shared" si="0"/>
        <v>0</v>
      </c>
      <c r="H29" s="694" t="e">
        <f t="shared" si="2"/>
        <v>#DIV/0!</v>
      </c>
      <c r="I29" s="1095"/>
      <c r="J29" s="1095"/>
      <c r="K29" s="1095"/>
      <c r="L29" s="1095"/>
      <c r="M29" s="1095"/>
      <c r="N29" s="1095"/>
      <c r="O29" s="1095"/>
      <c r="P29" s="1095"/>
      <c r="Q29" s="1095"/>
      <c r="R29" s="1096"/>
      <c r="S29" s="655">
        <f t="shared" ref="S29" si="3">ROUNDUP(F22*3.12%,-1)</f>
        <v>0</v>
      </c>
      <c r="T29" s="641"/>
      <c r="U29" s="641"/>
      <c r="V29" s="641"/>
      <c r="W29" s="273"/>
      <c r="X29" s="273"/>
    </row>
    <row r="30" spans="1:30" ht="24" customHeight="1">
      <c r="A30" s="648"/>
      <c r="B30" s="379"/>
      <c r="C30" s="935"/>
      <c r="D30" s="928" t="s">
        <v>197</v>
      </c>
      <c r="E30" s="645">
        <v>138600</v>
      </c>
      <c r="F30" s="645">
        <f>'인건비총계표(자부담)'!Y5</f>
        <v>138600</v>
      </c>
      <c r="G30" s="646">
        <f t="shared" si="0"/>
        <v>0</v>
      </c>
      <c r="H30" s="694">
        <f t="shared" si="2"/>
        <v>0</v>
      </c>
      <c r="I30" s="1042" t="s">
        <v>945</v>
      </c>
      <c r="J30" s="1043"/>
      <c r="K30" s="1043"/>
      <c r="L30" s="1043"/>
      <c r="M30" s="1043"/>
      <c r="N30" s="1043"/>
      <c r="O30" s="1043"/>
      <c r="P30" s="1043"/>
      <c r="Q30" s="1043"/>
      <c r="R30" s="1044"/>
      <c r="S30" s="655">
        <f>F21-'인건비총계표(자부담)'!S7:S7</f>
        <v>15400000</v>
      </c>
      <c r="T30" s="655">
        <f>ROUNDUP(S30*0.9%,-1)</f>
        <v>138600</v>
      </c>
      <c r="U30" s="641"/>
      <c r="V30" s="641"/>
      <c r="W30" s="273"/>
      <c r="X30" s="273"/>
    </row>
    <row r="31" spans="1:30" ht="24" customHeight="1">
      <c r="A31" s="648"/>
      <c r="B31" s="379"/>
      <c r="C31" s="936"/>
      <c r="D31" s="928" t="s">
        <v>198</v>
      </c>
      <c r="E31" s="645">
        <v>123200</v>
      </c>
      <c r="F31" s="645">
        <f>'인건비총계표(자부담)'!Z5</f>
        <v>123200</v>
      </c>
      <c r="G31" s="646">
        <f t="shared" si="0"/>
        <v>0</v>
      </c>
      <c r="H31" s="694">
        <f t="shared" si="2"/>
        <v>0</v>
      </c>
      <c r="I31" s="1042" t="s">
        <v>944</v>
      </c>
      <c r="J31" s="1043"/>
      <c r="K31" s="1043"/>
      <c r="L31" s="1043"/>
      <c r="M31" s="1043"/>
      <c r="N31" s="1043"/>
      <c r="O31" s="1043"/>
      <c r="P31" s="1043"/>
      <c r="Q31" s="1043"/>
      <c r="R31" s="1044"/>
      <c r="S31" s="655">
        <f>F21-'인건비총계표(자부담)'!S7:S7</f>
        <v>15400000</v>
      </c>
      <c r="T31" s="655">
        <f>ROUNDUP(S31*0.8%,-1)</f>
        <v>123200</v>
      </c>
      <c r="U31" s="641"/>
      <c r="V31" s="641"/>
      <c r="W31" s="273"/>
      <c r="X31" s="273"/>
    </row>
    <row r="32" spans="1:30" ht="22.5" customHeight="1">
      <c r="A32" s="648"/>
      <c r="B32" s="381"/>
      <c r="C32" s="363" t="s">
        <v>109</v>
      </c>
      <c r="D32" s="363"/>
      <c r="E32" s="645">
        <v>12000000</v>
      </c>
      <c r="F32" s="645">
        <v>12000000</v>
      </c>
      <c r="G32" s="646">
        <f t="shared" si="0"/>
        <v>0</v>
      </c>
      <c r="H32" s="694">
        <f t="shared" si="2"/>
        <v>0</v>
      </c>
      <c r="I32" s="1151" t="s">
        <v>941</v>
      </c>
      <c r="J32" s="1152"/>
      <c r="K32" s="1152"/>
      <c r="L32" s="1152"/>
      <c r="M32" s="1152"/>
      <c r="N32" s="1152"/>
      <c r="O32" s="1152"/>
      <c r="P32" s="1152"/>
      <c r="Q32" s="1152"/>
      <c r="R32" s="1153"/>
      <c r="S32" s="695" t="s">
        <v>372</v>
      </c>
      <c r="T32" s="703">
        <f>F32</f>
        <v>12000000</v>
      </c>
      <c r="U32" s="696"/>
      <c r="V32" s="641"/>
      <c r="W32" s="697">
        <f>T32+U32+V32</f>
        <v>12000000</v>
      </c>
      <c r="X32" s="273"/>
      <c r="AD32" s="350"/>
    </row>
    <row r="33" spans="1:24" ht="24.75" customHeight="1">
      <c r="A33" s="648"/>
      <c r="B33" s="397" t="s">
        <v>975</v>
      </c>
      <c r="C33" s="363" t="s">
        <v>179</v>
      </c>
      <c r="D33" s="363"/>
      <c r="E33" s="638">
        <v>2000000</v>
      </c>
      <c r="F33" s="638">
        <f>SUM(F34:F37)</f>
        <v>2000000</v>
      </c>
      <c r="G33" s="646">
        <f t="shared" si="0"/>
        <v>0</v>
      </c>
      <c r="H33" s="694">
        <f t="shared" si="2"/>
        <v>0</v>
      </c>
      <c r="I33" s="1095"/>
      <c r="J33" s="1095"/>
      <c r="K33" s="1095"/>
      <c r="L33" s="1095"/>
      <c r="M33" s="1095"/>
      <c r="N33" s="1095"/>
      <c r="O33" s="1095"/>
      <c r="P33" s="1095"/>
      <c r="Q33" s="1095"/>
      <c r="R33" s="1096"/>
      <c r="S33" s="695"/>
      <c r="T33" s="703"/>
      <c r="U33" s="696"/>
      <c r="V33" s="641"/>
      <c r="W33" s="697">
        <f t="shared" ref="W33:W92" si="4">T33+U33+V33</f>
        <v>0</v>
      </c>
      <c r="X33" s="273"/>
    </row>
    <row r="34" spans="1:24" ht="16.5" hidden="1" customHeight="1">
      <c r="A34" s="648"/>
      <c r="B34" s="377"/>
      <c r="C34" s="363" t="s">
        <v>180</v>
      </c>
      <c r="D34" s="363"/>
      <c r="E34" s="645">
        <v>0</v>
      </c>
      <c r="F34" s="645">
        <v>0</v>
      </c>
      <c r="G34" s="646">
        <f t="shared" si="0"/>
        <v>0</v>
      </c>
      <c r="H34" s="694" t="e">
        <f t="shared" si="2"/>
        <v>#DIV/0!</v>
      </c>
      <c r="I34" s="1095"/>
      <c r="J34" s="1095"/>
      <c r="K34" s="1095"/>
      <c r="L34" s="1095"/>
      <c r="M34" s="1095"/>
      <c r="N34" s="1095"/>
      <c r="O34" s="1095"/>
      <c r="P34" s="1095"/>
      <c r="Q34" s="1095"/>
      <c r="R34" s="1096"/>
      <c r="S34" s="695" t="s">
        <v>373</v>
      </c>
      <c r="T34" s="703"/>
      <c r="U34" s="696"/>
      <c r="V34" s="700">
        <v>300000</v>
      </c>
      <c r="W34" s="697">
        <f t="shared" si="4"/>
        <v>300000</v>
      </c>
      <c r="X34" s="273"/>
    </row>
    <row r="35" spans="1:24" ht="16.5" hidden="1" customHeight="1">
      <c r="A35" s="704"/>
      <c r="B35" s="705"/>
      <c r="C35" s="706" t="s">
        <v>181</v>
      </c>
      <c r="D35" s="706"/>
      <c r="E35" s="707">
        <v>0</v>
      </c>
      <c r="F35" s="707">
        <v>0</v>
      </c>
      <c r="G35" s="646">
        <f t="shared" si="0"/>
        <v>0</v>
      </c>
      <c r="H35" s="694" t="e">
        <f t="shared" si="2"/>
        <v>#DIV/0!</v>
      </c>
      <c r="I35" s="1148"/>
      <c r="J35" s="1149"/>
      <c r="K35" s="1149"/>
      <c r="L35" s="1149"/>
      <c r="M35" s="1149"/>
      <c r="N35" s="1149"/>
      <c r="O35" s="1149"/>
      <c r="P35" s="1149"/>
      <c r="Q35" s="1149"/>
      <c r="R35" s="1150"/>
      <c r="S35" s="708"/>
      <c r="T35" s="709">
        <f>F35</f>
        <v>0</v>
      </c>
      <c r="U35" s="709"/>
      <c r="V35" s="709"/>
      <c r="W35" s="710">
        <f t="shared" si="4"/>
        <v>0</v>
      </c>
      <c r="X35" s="711"/>
    </row>
    <row r="36" spans="1:24" ht="0.75" customHeight="1">
      <c r="A36" s="648"/>
      <c r="B36" s="379"/>
      <c r="C36" s="363" t="s">
        <v>182</v>
      </c>
      <c r="D36" s="363"/>
      <c r="E36" s="645">
        <v>0</v>
      </c>
      <c r="F36" s="645">
        <v>0</v>
      </c>
      <c r="G36" s="646">
        <f t="shared" si="0"/>
        <v>0</v>
      </c>
      <c r="H36" s="694" t="e">
        <f t="shared" si="2"/>
        <v>#DIV/0!</v>
      </c>
      <c r="I36" s="1095"/>
      <c r="J36" s="1095"/>
      <c r="K36" s="1095"/>
      <c r="L36" s="1095"/>
      <c r="M36" s="1095"/>
      <c r="N36" s="1095"/>
      <c r="O36" s="1095"/>
      <c r="P36" s="1095"/>
      <c r="Q36" s="1095"/>
      <c r="R36" s="1096"/>
      <c r="S36" s="695"/>
      <c r="T36" s="703"/>
      <c r="U36" s="696"/>
      <c r="V36" s="641"/>
      <c r="W36" s="697">
        <f t="shared" si="4"/>
        <v>0</v>
      </c>
      <c r="X36" s="273"/>
    </row>
    <row r="37" spans="1:24" ht="22.5" customHeight="1">
      <c r="A37" s="648"/>
      <c r="B37" s="381"/>
      <c r="C37" s="363" t="s">
        <v>183</v>
      </c>
      <c r="D37" s="363"/>
      <c r="E37" s="645">
        <v>2000000</v>
      </c>
      <c r="F37" s="645">
        <v>2000000</v>
      </c>
      <c r="G37" s="646">
        <f t="shared" si="0"/>
        <v>0</v>
      </c>
      <c r="H37" s="694">
        <f t="shared" si="2"/>
        <v>0</v>
      </c>
      <c r="I37" s="1095" t="s">
        <v>519</v>
      </c>
      <c r="J37" s="1095"/>
      <c r="K37" s="1095"/>
      <c r="L37" s="1095"/>
      <c r="M37" s="1095"/>
      <c r="N37" s="1095"/>
      <c r="O37" s="1095"/>
      <c r="P37" s="1095"/>
      <c r="Q37" s="1095"/>
      <c r="R37" s="1096"/>
      <c r="S37" s="695" t="s">
        <v>374</v>
      </c>
      <c r="T37" s="703">
        <v>1000000</v>
      </c>
      <c r="U37" s="696"/>
      <c r="V37" s="700">
        <v>1000000</v>
      </c>
      <c r="W37" s="697">
        <f t="shared" si="4"/>
        <v>2000000</v>
      </c>
      <c r="X37" s="273"/>
    </row>
    <row r="38" spans="1:24" ht="22.5" customHeight="1">
      <c r="A38" s="648"/>
      <c r="B38" s="363" t="s">
        <v>184</v>
      </c>
      <c r="C38" s="363" t="s">
        <v>179</v>
      </c>
      <c r="D38" s="363"/>
      <c r="E38" s="645">
        <v>57188940</v>
      </c>
      <c r="F38" s="645">
        <f>SUM(F39:F44)</f>
        <v>53288940</v>
      </c>
      <c r="G38" s="646">
        <f t="shared" si="0"/>
        <v>-3900000</v>
      </c>
      <c r="H38" s="694">
        <f t="shared" si="2"/>
        <v>-6.8195004138912179</v>
      </c>
      <c r="I38" s="1095"/>
      <c r="J38" s="1095"/>
      <c r="K38" s="1095"/>
      <c r="L38" s="1095"/>
      <c r="M38" s="1095"/>
      <c r="N38" s="1095"/>
      <c r="O38" s="1095"/>
      <c r="P38" s="1095"/>
      <c r="Q38" s="1095"/>
      <c r="R38" s="1096"/>
      <c r="S38" s="695"/>
      <c r="T38" s="703"/>
      <c r="U38" s="696"/>
      <c r="V38" s="641"/>
      <c r="W38" s="697">
        <f t="shared" si="4"/>
        <v>0</v>
      </c>
      <c r="X38" s="273"/>
    </row>
    <row r="39" spans="1:24" ht="22.5" customHeight="1">
      <c r="A39" s="648"/>
      <c r="B39" s="377"/>
      <c r="C39" s="363" t="s">
        <v>185</v>
      </c>
      <c r="D39" s="363"/>
      <c r="E39" s="645">
        <v>0</v>
      </c>
      <c r="F39" s="645">
        <v>0</v>
      </c>
      <c r="G39" s="646">
        <f t="shared" si="0"/>
        <v>0</v>
      </c>
      <c r="H39" s="694">
        <v>0</v>
      </c>
      <c r="I39" s="1095"/>
      <c r="J39" s="1095"/>
      <c r="K39" s="1095"/>
      <c r="L39" s="1095"/>
      <c r="M39" s="1095"/>
      <c r="N39" s="1095"/>
      <c r="O39" s="1095"/>
      <c r="P39" s="1095"/>
      <c r="Q39" s="1095"/>
      <c r="R39" s="1096"/>
      <c r="S39" s="695"/>
      <c r="T39" s="703"/>
      <c r="U39" s="696"/>
      <c r="V39" s="641"/>
      <c r="W39" s="697">
        <f t="shared" si="4"/>
        <v>0</v>
      </c>
      <c r="X39" s="273"/>
    </row>
    <row r="40" spans="1:24" ht="22.5" customHeight="1">
      <c r="A40" s="648"/>
      <c r="B40" s="379"/>
      <c r="C40" s="363" t="s">
        <v>973</v>
      </c>
      <c r="D40" s="650"/>
      <c r="E40" s="645">
        <v>5688940</v>
      </c>
      <c r="F40" s="645">
        <v>5688940</v>
      </c>
      <c r="G40" s="646">
        <f t="shared" si="0"/>
        <v>0</v>
      </c>
      <c r="H40" s="694">
        <f t="shared" si="2"/>
        <v>0</v>
      </c>
      <c r="I40" s="1022" t="s">
        <v>175</v>
      </c>
      <c r="J40" s="1023"/>
      <c r="K40" s="1023"/>
      <c r="L40" s="1023"/>
      <c r="M40" s="1023"/>
      <c r="N40" s="1023"/>
      <c r="O40" s="1023"/>
      <c r="P40" s="1023"/>
      <c r="Q40" s="1023"/>
      <c r="R40" s="1024"/>
      <c r="S40" s="695" t="s">
        <v>374</v>
      </c>
      <c r="T40" s="703">
        <v>324677</v>
      </c>
      <c r="U40" s="696"/>
      <c r="V40" s="700">
        <v>223923</v>
      </c>
      <c r="W40" s="697">
        <f t="shared" si="4"/>
        <v>548600</v>
      </c>
      <c r="X40" s="273"/>
    </row>
    <row r="41" spans="1:24" ht="22.5" customHeight="1">
      <c r="A41" s="648"/>
      <c r="B41" s="379"/>
      <c r="C41" s="363" t="s">
        <v>186</v>
      </c>
      <c r="D41" s="363"/>
      <c r="E41" s="645">
        <v>45000000</v>
      </c>
      <c r="F41" s="645">
        <v>41100000</v>
      </c>
      <c r="G41" s="646">
        <f t="shared" si="0"/>
        <v>-3900000</v>
      </c>
      <c r="H41" s="694">
        <f t="shared" si="2"/>
        <v>-8.6666666666666679</v>
      </c>
      <c r="I41" s="1067" t="s">
        <v>581</v>
      </c>
      <c r="J41" s="1023"/>
      <c r="K41" s="1023"/>
      <c r="L41" s="1023"/>
      <c r="M41" s="1023"/>
      <c r="N41" s="1023"/>
      <c r="O41" s="1023"/>
      <c r="P41" s="1023"/>
      <c r="Q41" s="1023"/>
      <c r="R41" s="1024"/>
      <c r="S41" s="695" t="s">
        <v>375</v>
      </c>
      <c r="T41" s="703">
        <v>4540000</v>
      </c>
      <c r="U41" s="696">
        <v>35500000</v>
      </c>
      <c r="V41" s="700">
        <v>0</v>
      </c>
      <c r="W41" s="697">
        <f t="shared" si="4"/>
        <v>40040000</v>
      </c>
      <c r="X41" s="273"/>
    </row>
    <row r="42" spans="1:24" ht="22.5" customHeight="1">
      <c r="A42" s="648"/>
      <c r="B42" s="379"/>
      <c r="C42" s="363" t="s">
        <v>187</v>
      </c>
      <c r="D42" s="363"/>
      <c r="E42" s="645">
        <v>2000000</v>
      </c>
      <c r="F42" s="645">
        <v>2000000</v>
      </c>
      <c r="G42" s="646">
        <f t="shared" si="0"/>
        <v>0</v>
      </c>
      <c r="H42" s="694">
        <f t="shared" si="2"/>
        <v>0</v>
      </c>
      <c r="I42" s="1095" t="s">
        <v>744</v>
      </c>
      <c r="J42" s="1095"/>
      <c r="K42" s="1095"/>
      <c r="L42" s="1095"/>
      <c r="M42" s="1095"/>
      <c r="N42" s="1095"/>
      <c r="O42" s="1095"/>
      <c r="P42" s="1095"/>
      <c r="Q42" s="1095"/>
      <c r="R42" s="1096"/>
      <c r="S42" s="695" t="s">
        <v>373</v>
      </c>
      <c r="T42" s="703">
        <v>500000</v>
      </c>
      <c r="U42" s="696"/>
      <c r="V42" s="700">
        <v>500000</v>
      </c>
      <c r="W42" s="697">
        <f t="shared" si="4"/>
        <v>1000000</v>
      </c>
      <c r="X42" s="273"/>
    </row>
    <row r="43" spans="1:24" ht="22.5" customHeight="1">
      <c r="A43" s="648"/>
      <c r="B43" s="379"/>
      <c r="C43" s="363" t="s">
        <v>188</v>
      </c>
      <c r="D43" s="363"/>
      <c r="E43" s="645">
        <v>500000</v>
      </c>
      <c r="F43" s="645">
        <v>500000</v>
      </c>
      <c r="G43" s="646">
        <f t="shared" si="0"/>
        <v>0</v>
      </c>
      <c r="H43" s="694">
        <f t="shared" si="2"/>
        <v>0</v>
      </c>
      <c r="I43" s="1097" t="s">
        <v>915</v>
      </c>
      <c r="J43" s="1098"/>
      <c r="K43" s="1098"/>
      <c r="L43" s="1098"/>
      <c r="M43" s="1098"/>
      <c r="N43" s="1098"/>
      <c r="O43" s="1098"/>
      <c r="P43" s="1098"/>
      <c r="Q43" s="1098"/>
      <c r="R43" s="1099"/>
      <c r="S43" s="695" t="s">
        <v>372</v>
      </c>
      <c r="T43" s="703">
        <v>1000000</v>
      </c>
      <c r="U43" s="696"/>
      <c r="V43" s="700">
        <v>0</v>
      </c>
      <c r="W43" s="697">
        <f t="shared" si="4"/>
        <v>1000000</v>
      </c>
      <c r="X43" s="273"/>
    </row>
    <row r="44" spans="1:24" ht="22.5" customHeight="1">
      <c r="A44" s="659"/>
      <c r="B44" s="381"/>
      <c r="C44" s="363" t="s">
        <v>119</v>
      </c>
      <c r="D44" s="363"/>
      <c r="E44" s="645">
        <v>4000000</v>
      </c>
      <c r="F44" s="645">
        <v>4000000</v>
      </c>
      <c r="G44" s="646">
        <f t="shared" si="0"/>
        <v>0</v>
      </c>
      <c r="H44" s="694">
        <f t="shared" si="2"/>
        <v>0</v>
      </c>
      <c r="I44" s="1109" t="s">
        <v>745</v>
      </c>
      <c r="J44" s="1110"/>
      <c r="K44" s="1110"/>
      <c r="L44" s="1110"/>
      <c r="M44" s="1110"/>
      <c r="N44" s="1110"/>
      <c r="O44" s="1110"/>
      <c r="P44" s="1110"/>
      <c r="Q44" s="1110"/>
      <c r="R44" s="1111"/>
      <c r="S44" s="695"/>
      <c r="T44" s="703"/>
      <c r="U44" s="696"/>
      <c r="V44" s="700">
        <v>0</v>
      </c>
      <c r="W44" s="697">
        <f t="shared" si="4"/>
        <v>0</v>
      </c>
      <c r="X44" s="273"/>
    </row>
    <row r="45" spans="1:24" ht="22.5" customHeight="1">
      <c r="A45" s="660" t="s">
        <v>159</v>
      </c>
      <c r="B45" s="927" t="s">
        <v>189</v>
      </c>
      <c r="C45" s="368"/>
      <c r="D45" s="363"/>
      <c r="E45" s="645">
        <v>0</v>
      </c>
      <c r="F45" s="645">
        <f>F46</f>
        <v>5000000</v>
      </c>
      <c r="G45" s="646">
        <f t="shared" si="0"/>
        <v>5000000</v>
      </c>
      <c r="H45" s="712" t="e">
        <f t="shared" si="2"/>
        <v>#DIV/0!</v>
      </c>
      <c r="I45" s="1095"/>
      <c r="J45" s="1095"/>
      <c r="K45" s="1095"/>
      <c r="L45" s="1095"/>
      <c r="M45" s="1095"/>
      <c r="N45" s="1095"/>
      <c r="O45" s="1095"/>
      <c r="P45" s="1095"/>
      <c r="Q45" s="1095"/>
      <c r="R45" s="1096"/>
      <c r="S45" s="695"/>
      <c r="T45" s="703"/>
      <c r="U45" s="696"/>
      <c r="V45" s="641"/>
      <c r="W45" s="697">
        <f t="shared" si="4"/>
        <v>0</v>
      </c>
      <c r="X45" s="273"/>
    </row>
    <row r="46" spans="1:24" ht="22.5" customHeight="1">
      <c r="A46" s="661"/>
      <c r="B46" s="363" t="s">
        <v>190</v>
      </c>
      <c r="C46" s="363" t="s">
        <v>179</v>
      </c>
      <c r="D46" s="363"/>
      <c r="E46" s="645">
        <v>0</v>
      </c>
      <c r="F46" s="645">
        <f>SUM(F47:F49)</f>
        <v>5000000</v>
      </c>
      <c r="G46" s="646">
        <f t="shared" si="0"/>
        <v>5000000</v>
      </c>
      <c r="H46" s="712" t="e">
        <f t="shared" si="2"/>
        <v>#DIV/0!</v>
      </c>
      <c r="I46" s="1112"/>
      <c r="J46" s="1113"/>
      <c r="K46" s="1113"/>
      <c r="L46" s="1113"/>
      <c r="M46" s="1113"/>
      <c r="N46" s="1113"/>
      <c r="O46" s="1113"/>
      <c r="P46" s="1113"/>
      <c r="Q46" s="1113"/>
      <c r="R46" s="1114"/>
      <c r="S46" s="695"/>
      <c r="T46" s="703"/>
      <c r="U46" s="696"/>
      <c r="V46" s="641"/>
      <c r="W46" s="697">
        <f t="shared" si="4"/>
        <v>0</v>
      </c>
      <c r="X46" s="273"/>
    </row>
    <row r="47" spans="1:24" ht="16.5" hidden="1" customHeight="1">
      <c r="A47" s="648"/>
      <c r="B47" s="377"/>
      <c r="C47" s="363" t="s">
        <v>190</v>
      </c>
      <c r="D47" s="363"/>
      <c r="E47" s="645">
        <v>0</v>
      </c>
      <c r="F47" s="645">
        <v>0</v>
      </c>
      <c r="G47" s="646">
        <f t="shared" si="0"/>
        <v>0</v>
      </c>
      <c r="H47" s="712" t="e">
        <f t="shared" si="2"/>
        <v>#DIV/0!</v>
      </c>
      <c r="I47" s="1095" t="s">
        <v>746</v>
      </c>
      <c r="J47" s="1095"/>
      <c r="K47" s="1095"/>
      <c r="L47" s="1095"/>
      <c r="M47" s="1095"/>
      <c r="N47" s="1095"/>
      <c r="O47" s="1095"/>
      <c r="P47" s="1095"/>
      <c r="Q47" s="1095"/>
      <c r="R47" s="1096"/>
      <c r="S47" s="695" t="s">
        <v>372</v>
      </c>
      <c r="T47" s="703">
        <f>F47</f>
        <v>0</v>
      </c>
      <c r="U47" s="696"/>
      <c r="V47" s="641"/>
      <c r="W47" s="697">
        <f t="shared" si="4"/>
        <v>0</v>
      </c>
      <c r="X47" s="273"/>
    </row>
    <row r="48" spans="1:24" ht="24" customHeight="1">
      <c r="A48" s="648"/>
      <c r="B48" s="379"/>
      <c r="C48" s="363" t="s">
        <v>191</v>
      </c>
      <c r="D48" s="363"/>
      <c r="E48" s="645">
        <v>0</v>
      </c>
      <c r="F48" s="645">
        <v>5000000</v>
      </c>
      <c r="G48" s="646">
        <f t="shared" si="0"/>
        <v>5000000</v>
      </c>
      <c r="H48" s="712" t="e">
        <f t="shared" si="2"/>
        <v>#DIV/0!</v>
      </c>
      <c r="I48" s="1103" t="s">
        <v>999</v>
      </c>
      <c r="J48" s="1104"/>
      <c r="K48" s="1104"/>
      <c r="L48" s="1104"/>
      <c r="M48" s="1104"/>
      <c r="N48" s="1104"/>
      <c r="O48" s="1104"/>
      <c r="P48" s="1104"/>
      <c r="Q48" s="1104"/>
      <c r="R48" s="1105"/>
      <c r="S48" s="695" t="s">
        <v>372</v>
      </c>
      <c r="T48" s="703">
        <v>4000000</v>
      </c>
      <c r="U48" s="696"/>
      <c r="V48" s="641"/>
      <c r="W48" s="697">
        <f t="shared" si="4"/>
        <v>4000000</v>
      </c>
      <c r="X48" s="273"/>
    </row>
    <row r="49" spans="1:26" ht="24" customHeight="1">
      <c r="A49" s="674"/>
      <c r="B49" s="713"/>
      <c r="C49" s="675" t="s">
        <v>970</v>
      </c>
      <c r="D49" s="932"/>
      <c r="E49" s="678">
        <v>0</v>
      </c>
      <c r="F49" s="678">
        <v>0</v>
      </c>
      <c r="G49" s="679">
        <f t="shared" si="0"/>
        <v>0</v>
      </c>
      <c r="H49" s="714" t="e">
        <f t="shared" si="2"/>
        <v>#DIV/0!</v>
      </c>
      <c r="I49" s="1115"/>
      <c r="J49" s="1115"/>
      <c r="K49" s="1115"/>
      <c r="L49" s="1115"/>
      <c r="M49" s="1115"/>
      <c r="N49" s="1115"/>
      <c r="O49" s="1115"/>
      <c r="P49" s="1115"/>
      <c r="Q49" s="1115"/>
      <c r="R49" s="1116"/>
      <c r="S49" s="695" t="s">
        <v>374</v>
      </c>
      <c r="T49" s="703">
        <f>F49-V49</f>
        <v>-5500000</v>
      </c>
      <c r="U49" s="696"/>
      <c r="V49" s="700">
        <v>5500000</v>
      </c>
      <c r="W49" s="697">
        <f t="shared" si="4"/>
        <v>0</v>
      </c>
      <c r="X49" s="273"/>
    </row>
    <row r="50" spans="1:26" ht="20.25" customHeight="1">
      <c r="A50" s="659" t="s">
        <v>128</v>
      </c>
      <c r="B50" s="740" t="s">
        <v>162</v>
      </c>
      <c r="C50" s="388"/>
      <c r="D50" s="656"/>
      <c r="E50" s="663">
        <v>133000000</v>
      </c>
      <c r="F50" s="663">
        <f>F51+F62+F73</f>
        <v>133000000</v>
      </c>
      <c r="G50" s="664">
        <f t="shared" si="0"/>
        <v>0</v>
      </c>
      <c r="H50" s="715">
        <f t="shared" si="2"/>
        <v>0</v>
      </c>
      <c r="I50" s="1145"/>
      <c r="J50" s="1146"/>
      <c r="K50" s="1146"/>
      <c r="L50" s="1146"/>
      <c r="M50" s="1146"/>
      <c r="N50" s="1146"/>
      <c r="O50" s="1146"/>
      <c r="P50" s="1146"/>
      <c r="Q50" s="1146"/>
      <c r="R50" s="1147"/>
      <c r="S50" s="695"/>
      <c r="T50" s="703"/>
      <c r="U50" s="696"/>
      <c r="V50" s="641"/>
      <c r="W50" s="697">
        <f t="shared" si="4"/>
        <v>0</v>
      </c>
      <c r="X50" s="273"/>
    </row>
    <row r="51" spans="1:26" ht="22.5" customHeight="1">
      <c r="A51" s="644"/>
      <c r="B51" s="381" t="s">
        <v>184</v>
      </c>
      <c r="C51" s="381" t="s">
        <v>179</v>
      </c>
      <c r="D51" s="458"/>
      <c r="E51" s="665">
        <v>87000000</v>
      </c>
      <c r="F51" s="665">
        <f>SUM(F52,F53,F54,F57)</f>
        <v>87000000</v>
      </c>
      <c r="G51" s="646">
        <f t="shared" si="0"/>
        <v>0</v>
      </c>
      <c r="H51" s="694">
        <f t="shared" si="2"/>
        <v>0</v>
      </c>
      <c r="I51" s="1129"/>
      <c r="J51" s="1129"/>
      <c r="K51" s="1129"/>
      <c r="L51" s="1129"/>
      <c r="M51" s="1129"/>
      <c r="N51" s="1129"/>
      <c r="O51" s="1129"/>
      <c r="P51" s="1129"/>
      <c r="Q51" s="1129"/>
      <c r="R51" s="1130"/>
      <c r="S51" s="695"/>
      <c r="T51" s="703"/>
      <c r="U51" s="696"/>
      <c r="V51" s="641"/>
      <c r="W51" s="697">
        <f t="shared" si="4"/>
        <v>0</v>
      </c>
      <c r="X51" s="273"/>
    </row>
    <row r="52" spans="1:26" ht="22.5" customHeight="1">
      <c r="A52" s="666"/>
      <c r="B52" s="377"/>
      <c r="C52" s="363" t="s">
        <v>192</v>
      </c>
      <c r="D52" s="427"/>
      <c r="E52" s="645">
        <v>70000000</v>
      </c>
      <c r="F52" s="645">
        <v>70000000</v>
      </c>
      <c r="G52" s="646">
        <f t="shared" si="0"/>
        <v>0</v>
      </c>
      <c r="H52" s="694">
        <f t="shared" si="2"/>
        <v>0</v>
      </c>
      <c r="I52" s="1100" t="s">
        <v>747</v>
      </c>
      <c r="J52" s="1101"/>
      <c r="K52" s="1101"/>
      <c r="L52" s="1101"/>
      <c r="M52" s="1101"/>
      <c r="N52" s="1101"/>
      <c r="O52" s="1101"/>
      <c r="P52" s="1101"/>
      <c r="Q52" s="1101"/>
      <c r="R52" s="1102"/>
      <c r="S52" s="695" t="s">
        <v>376</v>
      </c>
      <c r="T52" s="703"/>
      <c r="U52" s="696">
        <v>42000000</v>
      </c>
      <c r="V52" s="699">
        <v>19000000</v>
      </c>
      <c r="W52" s="697">
        <f t="shared" si="4"/>
        <v>61000000</v>
      </c>
      <c r="X52" s="273"/>
      <c r="Z52" s="647">
        <f>'다-2.자부담세입'!E8</f>
        <v>134400000</v>
      </c>
    </row>
    <row r="53" spans="1:26" ht="22.5" customHeight="1">
      <c r="A53" s="666"/>
      <c r="B53" s="379"/>
      <c r="C53" s="363" t="s">
        <v>24</v>
      </c>
      <c r="D53" s="427"/>
      <c r="E53" s="645">
        <v>4000000</v>
      </c>
      <c r="F53" s="645">
        <v>4000000</v>
      </c>
      <c r="G53" s="646">
        <f t="shared" si="0"/>
        <v>0</v>
      </c>
      <c r="H53" s="694">
        <f t="shared" si="2"/>
        <v>0</v>
      </c>
      <c r="I53" s="1095" t="s">
        <v>875</v>
      </c>
      <c r="J53" s="1095"/>
      <c r="K53" s="1095"/>
      <c r="L53" s="1095"/>
      <c r="M53" s="1095"/>
      <c r="N53" s="1095"/>
      <c r="O53" s="1095"/>
      <c r="P53" s="1095"/>
      <c r="Q53" s="1095"/>
      <c r="R53" s="1096"/>
      <c r="S53" s="695" t="s">
        <v>373</v>
      </c>
      <c r="T53" s="703">
        <v>200000</v>
      </c>
      <c r="U53" s="696">
        <v>500000</v>
      </c>
      <c r="V53" s="700">
        <v>300000</v>
      </c>
      <c r="W53" s="697">
        <f t="shared" si="4"/>
        <v>1000000</v>
      </c>
      <c r="X53" s="273"/>
    </row>
    <row r="54" spans="1:26" ht="22.5" customHeight="1">
      <c r="A54" s="666"/>
      <c r="B54" s="379"/>
      <c r="C54" s="363" t="s">
        <v>129</v>
      </c>
      <c r="D54" s="427" t="s">
        <v>726</v>
      </c>
      <c r="E54" s="645">
        <v>11000000</v>
      </c>
      <c r="F54" s="645">
        <f>SUM(F55:F56)</f>
        <v>11000000</v>
      </c>
      <c r="G54" s="646">
        <f t="shared" si="0"/>
        <v>0</v>
      </c>
      <c r="H54" s="694">
        <f t="shared" si="2"/>
        <v>0</v>
      </c>
      <c r="I54" s="1095"/>
      <c r="J54" s="1095"/>
      <c r="K54" s="1095"/>
      <c r="L54" s="1095"/>
      <c r="M54" s="1095"/>
      <c r="N54" s="1095"/>
      <c r="O54" s="1095"/>
      <c r="P54" s="1095"/>
      <c r="Q54" s="1095"/>
      <c r="R54" s="1096"/>
      <c r="S54" s="695"/>
      <c r="T54" s="703"/>
      <c r="U54" s="696"/>
      <c r="V54" s="641"/>
      <c r="W54" s="697">
        <f t="shared" si="4"/>
        <v>0</v>
      </c>
      <c r="X54" s="273"/>
    </row>
    <row r="55" spans="1:26" ht="22.5" customHeight="1">
      <c r="A55" s="666"/>
      <c r="B55" s="379"/>
      <c r="C55" s="363"/>
      <c r="D55" s="427" t="s">
        <v>728</v>
      </c>
      <c r="E55" s="645">
        <v>3000000</v>
      </c>
      <c r="F55" s="645">
        <v>3000000</v>
      </c>
      <c r="G55" s="646">
        <f t="shared" si="0"/>
        <v>0</v>
      </c>
      <c r="H55" s="694">
        <f t="shared" si="2"/>
        <v>0</v>
      </c>
      <c r="I55" s="1092" t="s">
        <v>939</v>
      </c>
      <c r="J55" s="1093"/>
      <c r="K55" s="1093"/>
      <c r="L55" s="1093"/>
      <c r="M55" s="1093"/>
      <c r="N55" s="1093"/>
      <c r="O55" s="1093"/>
      <c r="P55" s="1093"/>
      <c r="Q55" s="1093"/>
      <c r="R55" s="1094"/>
      <c r="S55" s="695"/>
      <c r="T55" s="703"/>
      <c r="U55" s="696"/>
      <c r="V55" s="641"/>
      <c r="W55" s="697"/>
      <c r="X55" s="273"/>
    </row>
    <row r="56" spans="1:26" ht="22.5" customHeight="1">
      <c r="A56" s="666"/>
      <c r="B56" s="379"/>
      <c r="C56" s="363"/>
      <c r="D56" s="427" t="s">
        <v>729</v>
      </c>
      <c r="E56" s="645">
        <v>8000000</v>
      </c>
      <c r="F56" s="645">
        <v>8000000</v>
      </c>
      <c r="G56" s="646">
        <f t="shared" si="0"/>
        <v>0</v>
      </c>
      <c r="H56" s="694">
        <f>G56/E56*100</f>
        <v>0</v>
      </c>
      <c r="I56" s="1095" t="s">
        <v>938</v>
      </c>
      <c r="J56" s="1095"/>
      <c r="K56" s="1095"/>
      <c r="L56" s="1095"/>
      <c r="M56" s="1095"/>
      <c r="N56" s="1095"/>
      <c r="O56" s="1095"/>
      <c r="P56" s="1095"/>
      <c r="Q56" s="1095"/>
      <c r="R56" s="1096"/>
      <c r="S56" s="695"/>
      <c r="T56" s="703"/>
      <c r="U56" s="696"/>
      <c r="V56" s="641"/>
      <c r="W56" s="697">
        <f t="shared" si="4"/>
        <v>0</v>
      </c>
      <c r="X56" s="273"/>
      <c r="Z56" s="350">
        <f>F51+F73+F41</f>
        <v>174100000</v>
      </c>
    </row>
    <row r="57" spans="1:26" ht="22.5" customHeight="1">
      <c r="A57" s="666"/>
      <c r="B57" s="379"/>
      <c r="C57" s="363" t="s">
        <v>25</v>
      </c>
      <c r="D57" s="427"/>
      <c r="E57" s="645">
        <v>2000000</v>
      </c>
      <c r="F57" s="645">
        <v>2000000</v>
      </c>
      <c r="G57" s="646">
        <f t="shared" si="0"/>
        <v>0</v>
      </c>
      <c r="H57" s="694">
        <f t="shared" si="2"/>
        <v>0</v>
      </c>
      <c r="I57" s="1095"/>
      <c r="J57" s="1095"/>
      <c r="K57" s="1095"/>
      <c r="L57" s="1095"/>
      <c r="M57" s="1095"/>
      <c r="N57" s="1095"/>
      <c r="O57" s="1095"/>
      <c r="P57" s="1095"/>
      <c r="Q57" s="1095"/>
      <c r="R57" s="1096"/>
      <c r="S57" s="695"/>
      <c r="T57" s="703"/>
      <c r="U57" s="696"/>
      <c r="V57" s="641"/>
      <c r="W57" s="697">
        <f t="shared" si="4"/>
        <v>0</v>
      </c>
      <c r="X57" s="273"/>
    </row>
    <row r="58" spans="1:26" ht="13.5" hidden="1" customHeight="1">
      <c r="A58" s="666"/>
      <c r="B58" s="379"/>
      <c r="C58" s="363" t="s">
        <v>199</v>
      </c>
      <c r="D58" s="427"/>
      <c r="E58" s="645">
        <v>0</v>
      </c>
      <c r="F58" s="645">
        <v>0</v>
      </c>
      <c r="G58" s="646">
        <f t="shared" si="0"/>
        <v>0</v>
      </c>
      <c r="H58" s="694" t="e">
        <f t="shared" si="2"/>
        <v>#DIV/0!</v>
      </c>
      <c r="I58" s="1112"/>
      <c r="J58" s="1113"/>
      <c r="K58" s="1113"/>
      <c r="L58" s="1113"/>
      <c r="M58" s="1113"/>
      <c r="N58" s="1113"/>
      <c r="O58" s="1113"/>
      <c r="P58" s="1113"/>
      <c r="Q58" s="1113"/>
      <c r="R58" s="1114"/>
      <c r="S58" s="695"/>
      <c r="T58" s="703"/>
      <c r="U58" s="696"/>
      <c r="V58" s="641"/>
      <c r="W58" s="697">
        <f t="shared" si="4"/>
        <v>0</v>
      </c>
      <c r="X58" s="273"/>
    </row>
    <row r="59" spans="1:26" ht="13.5" hidden="1" customHeight="1">
      <c r="A59" s="666"/>
      <c r="B59" s="379"/>
      <c r="C59" s="363" t="s">
        <v>131</v>
      </c>
      <c r="D59" s="427"/>
      <c r="E59" s="645">
        <v>0</v>
      </c>
      <c r="F59" s="645">
        <v>0</v>
      </c>
      <c r="G59" s="646">
        <f t="shared" si="0"/>
        <v>0</v>
      </c>
      <c r="H59" s="694" t="e">
        <f t="shared" si="2"/>
        <v>#DIV/0!</v>
      </c>
      <c r="I59" s="1112"/>
      <c r="J59" s="1113"/>
      <c r="K59" s="1113"/>
      <c r="L59" s="1113"/>
      <c r="M59" s="1113"/>
      <c r="N59" s="1113"/>
      <c r="O59" s="1113"/>
      <c r="P59" s="1113"/>
      <c r="Q59" s="1113"/>
      <c r="R59" s="1114"/>
      <c r="S59" s="695"/>
      <c r="T59" s="703"/>
      <c r="U59" s="696"/>
      <c r="V59" s="641"/>
      <c r="W59" s="697">
        <f t="shared" si="4"/>
        <v>0</v>
      </c>
      <c r="X59" s="273"/>
    </row>
    <row r="60" spans="1:26" ht="13.5" hidden="1" customHeight="1">
      <c r="A60" s="666"/>
      <c r="B60" s="379"/>
      <c r="C60" s="363" t="s">
        <v>200</v>
      </c>
      <c r="D60" s="650"/>
      <c r="E60" s="645">
        <v>0</v>
      </c>
      <c r="F60" s="645">
        <v>0</v>
      </c>
      <c r="G60" s="646">
        <f t="shared" si="0"/>
        <v>0</v>
      </c>
      <c r="H60" s="694" t="e">
        <f t="shared" si="2"/>
        <v>#DIV/0!</v>
      </c>
      <c r="I60" s="1095"/>
      <c r="J60" s="1095"/>
      <c r="K60" s="1095"/>
      <c r="L60" s="1095"/>
      <c r="M60" s="1095"/>
      <c r="N60" s="1095"/>
      <c r="O60" s="1095"/>
      <c r="P60" s="1095"/>
      <c r="Q60" s="1095"/>
      <c r="R60" s="1096"/>
      <c r="S60" s="695"/>
      <c r="T60" s="703"/>
      <c r="U60" s="696"/>
      <c r="V60" s="641"/>
      <c r="W60" s="697">
        <f t="shared" si="4"/>
        <v>0</v>
      </c>
      <c r="X60" s="273"/>
    </row>
    <row r="61" spans="1:26" ht="13.5" hidden="1" customHeight="1">
      <c r="A61" s="666"/>
      <c r="B61" s="381"/>
      <c r="C61" s="363" t="s">
        <v>201</v>
      </c>
      <c r="D61" s="427"/>
      <c r="E61" s="645">
        <v>0</v>
      </c>
      <c r="F61" s="645">
        <v>0</v>
      </c>
      <c r="G61" s="646">
        <f t="shared" si="0"/>
        <v>0</v>
      </c>
      <c r="H61" s="694" t="e">
        <f t="shared" si="2"/>
        <v>#DIV/0!</v>
      </c>
      <c r="I61" s="1092"/>
      <c r="J61" s="1093"/>
      <c r="K61" s="1093"/>
      <c r="L61" s="1093"/>
      <c r="M61" s="1093"/>
      <c r="N61" s="1093"/>
      <c r="O61" s="1093"/>
      <c r="P61" s="1093"/>
      <c r="Q61" s="1093"/>
      <c r="R61" s="1094"/>
      <c r="S61" s="695"/>
      <c r="T61" s="703"/>
      <c r="U61" s="696"/>
      <c r="V61" s="641"/>
      <c r="W61" s="697">
        <f t="shared" si="4"/>
        <v>0</v>
      </c>
      <c r="X61" s="273"/>
    </row>
    <row r="62" spans="1:26" s="561" customFormat="1" ht="13.5" hidden="1" customHeight="1">
      <c r="A62" s="648"/>
      <c r="B62" s="363" t="s">
        <v>133</v>
      </c>
      <c r="C62" s="363" t="s">
        <v>107</v>
      </c>
      <c r="D62" s="363"/>
      <c r="E62" s="645">
        <v>0</v>
      </c>
      <c r="F62" s="645">
        <f>SUM(F63:F72)</f>
        <v>0</v>
      </c>
      <c r="G62" s="646">
        <f t="shared" si="0"/>
        <v>0</v>
      </c>
      <c r="H62" s="694" t="e">
        <f t="shared" si="2"/>
        <v>#DIV/0!</v>
      </c>
      <c r="I62" s="1042"/>
      <c r="J62" s="1043"/>
      <c r="K62" s="1043"/>
      <c r="L62" s="1043"/>
      <c r="M62" s="1043"/>
      <c r="N62" s="1043"/>
      <c r="O62" s="1043"/>
      <c r="P62" s="1043"/>
      <c r="Q62" s="1043"/>
      <c r="R62" s="1044"/>
      <c r="S62" s="716"/>
      <c r="T62" s="717"/>
      <c r="U62" s="718"/>
      <c r="V62" s="668"/>
      <c r="W62" s="697">
        <f t="shared" si="4"/>
        <v>0</v>
      </c>
      <c r="X62" s="667"/>
    </row>
    <row r="63" spans="1:26" s="561" customFormat="1" ht="13.5" hidden="1" customHeight="1">
      <c r="A63" s="648"/>
      <c r="B63" s="379"/>
      <c r="C63" s="363" t="s">
        <v>134</v>
      </c>
      <c r="D63" s="363"/>
      <c r="E63" s="645">
        <v>0</v>
      </c>
      <c r="F63" s="645">
        <v>0</v>
      </c>
      <c r="G63" s="646">
        <f t="shared" si="0"/>
        <v>0</v>
      </c>
      <c r="H63" s="694" t="e">
        <f t="shared" si="2"/>
        <v>#DIV/0!</v>
      </c>
      <c r="I63" s="1042"/>
      <c r="J63" s="1043"/>
      <c r="K63" s="1043"/>
      <c r="L63" s="1043"/>
      <c r="M63" s="1043"/>
      <c r="N63" s="1043"/>
      <c r="O63" s="1043"/>
      <c r="P63" s="1043"/>
      <c r="Q63" s="1043"/>
      <c r="R63" s="1044"/>
      <c r="S63" s="716"/>
      <c r="T63" s="717"/>
      <c r="U63" s="718"/>
      <c r="V63" s="668"/>
      <c r="W63" s="697">
        <f t="shared" si="4"/>
        <v>0</v>
      </c>
      <c r="X63" s="667"/>
    </row>
    <row r="64" spans="1:26" s="561" customFormat="1" ht="13.5" hidden="1" customHeight="1">
      <c r="A64" s="648"/>
      <c r="B64" s="379"/>
      <c r="C64" s="363" t="s">
        <v>135</v>
      </c>
      <c r="D64" s="363"/>
      <c r="E64" s="645">
        <v>0</v>
      </c>
      <c r="F64" s="645">
        <v>0</v>
      </c>
      <c r="G64" s="646">
        <f t="shared" si="0"/>
        <v>0</v>
      </c>
      <c r="H64" s="694" t="e">
        <f t="shared" si="2"/>
        <v>#DIV/0!</v>
      </c>
      <c r="I64" s="1042"/>
      <c r="J64" s="1043"/>
      <c r="K64" s="1043"/>
      <c r="L64" s="1043"/>
      <c r="M64" s="1043"/>
      <c r="N64" s="1043"/>
      <c r="O64" s="1043"/>
      <c r="P64" s="1043"/>
      <c r="Q64" s="1043"/>
      <c r="R64" s="1044"/>
      <c r="S64" s="716"/>
      <c r="T64" s="717"/>
      <c r="U64" s="718"/>
      <c r="V64" s="668"/>
      <c r="W64" s="697">
        <f t="shared" si="4"/>
        <v>0</v>
      </c>
      <c r="X64" s="667"/>
    </row>
    <row r="65" spans="1:26" s="561" customFormat="1" ht="13.5" hidden="1" customHeight="1">
      <c r="A65" s="648"/>
      <c r="B65" s="379"/>
      <c r="C65" s="363" t="s">
        <v>136</v>
      </c>
      <c r="D65" s="363"/>
      <c r="E65" s="645">
        <v>0</v>
      </c>
      <c r="F65" s="645">
        <v>0</v>
      </c>
      <c r="G65" s="646">
        <f t="shared" si="0"/>
        <v>0</v>
      </c>
      <c r="H65" s="694" t="e">
        <f t="shared" si="2"/>
        <v>#DIV/0!</v>
      </c>
      <c r="I65" s="1042"/>
      <c r="J65" s="1043"/>
      <c r="K65" s="1043"/>
      <c r="L65" s="1043"/>
      <c r="M65" s="1043"/>
      <c r="N65" s="1043"/>
      <c r="O65" s="1043"/>
      <c r="P65" s="1043"/>
      <c r="Q65" s="1043"/>
      <c r="R65" s="1044"/>
      <c r="S65" s="716"/>
      <c r="T65" s="717"/>
      <c r="U65" s="718"/>
      <c r="V65" s="668"/>
      <c r="W65" s="697">
        <f t="shared" si="4"/>
        <v>0</v>
      </c>
      <c r="X65" s="667"/>
    </row>
    <row r="66" spans="1:26" s="561" customFormat="1" ht="13.5" hidden="1" customHeight="1">
      <c r="A66" s="648"/>
      <c r="B66" s="379"/>
      <c r="C66" s="363" t="s">
        <v>137</v>
      </c>
      <c r="D66" s="363"/>
      <c r="E66" s="645">
        <v>0</v>
      </c>
      <c r="F66" s="645">
        <v>0</v>
      </c>
      <c r="G66" s="646">
        <f t="shared" si="0"/>
        <v>0</v>
      </c>
      <c r="H66" s="694" t="e">
        <f t="shared" si="2"/>
        <v>#DIV/0!</v>
      </c>
      <c r="I66" s="1042"/>
      <c r="J66" s="1043"/>
      <c r="K66" s="1043"/>
      <c r="L66" s="1043"/>
      <c r="M66" s="1043"/>
      <c r="N66" s="1043"/>
      <c r="O66" s="1043"/>
      <c r="P66" s="1043"/>
      <c r="Q66" s="1043"/>
      <c r="R66" s="1044"/>
      <c r="S66" s="716"/>
      <c r="T66" s="717"/>
      <c r="U66" s="718"/>
      <c r="V66" s="668"/>
      <c r="W66" s="697">
        <f t="shared" si="4"/>
        <v>0</v>
      </c>
      <c r="X66" s="667"/>
    </row>
    <row r="67" spans="1:26" s="561" customFormat="1" ht="13.5" hidden="1" customHeight="1">
      <c r="A67" s="648"/>
      <c r="B67" s="379"/>
      <c r="C67" s="363" t="s">
        <v>138</v>
      </c>
      <c r="D67" s="363"/>
      <c r="E67" s="645">
        <v>0</v>
      </c>
      <c r="F67" s="645">
        <v>0</v>
      </c>
      <c r="G67" s="646">
        <f t="shared" si="0"/>
        <v>0</v>
      </c>
      <c r="H67" s="694" t="e">
        <f t="shared" si="2"/>
        <v>#DIV/0!</v>
      </c>
      <c r="I67" s="1042"/>
      <c r="J67" s="1043"/>
      <c r="K67" s="1043"/>
      <c r="L67" s="1043"/>
      <c r="M67" s="1043"/>
      <c r="N67" s="1043"/>
      <c r="O67" s="1043"/>
      <c r="P67" s="1043"/>
      <c r="Q67" s="1043"/>
      <c r="R67" s="1044"/>
      <c r="S67" s="716"/>
      <c r="T67" s="717"/>
      <c r="U67" s="718"/>
      <c r="V67" s="668"/>
      <c r="W67" s="697">
        <f t="shared" si="4"/>
        <v>0</v>
      </c>
      <c r="X67" s="667"/>
    </row>
    <row r="68" spans="1:26" s="561" customFormat="1" ht="13.5" hidden="1" customHeight="1">
      <c r="A68" s="648"/>
      <c r="B68" s="379"/>
      <c r="C68" s="363" t="s">
        <v>139</v>
      </c>
      <c r="D68" s="363"/>
      <c r="E68" s="645">
        <v>0</v>
      </c>
      <c r="F68" s="645">
        <v>0</v>
      </c>
      <c r="G68" s="646">
        <f t="shared" si="0"/>
        <v>0</v>
      </c>
      <c r="H68" s="694" t="e">
        <f t="shared" si="2"/>
        <v>#DIV/0!</v>
      </c>
      <c r="I68" s="1042"/>
      <c r="J68" s="1043"/>
      <c r="K68" s="1043"/>
      <c r="L68" s="1043"/>
      <c r="M68" s="1043"/>
      <c r="N68" s="1043"/>
      <c r="O68" s="1043"/>
      <c r="P68" s="1043"/>
      <c r="Q68" s="1043"/>
      <c r="R68" s="1044"/>
      <c r="S68" s="716"/>
      <c r="T68" s="717"/>
      <c r="U68" s="718"/>
      <c r="V68" s="668"/>
      <c r="W68" s="697">
        <f t="shared" si="4"/>
        <v>0</v>
      </c>
      <c r="X68" s="667"/>
    </row>
    <row r="69" spans="1:26" s="561" customFormat="1" ht="13.5" hidden="1" customHeight="1">
      <c r="A69" s="648"/>
      <c r="B69" s="379"/>
      <c r="C69" s="363" t="s">
        <v>140</v>
      </c>
      <c r="D69" s="363"/>
      <c r="E69" s="645">
        <v>0</v>
      </c>
      <c r="F69" s="645">
        <v>0</v>
      </c>
      <c r="G69" s="646">
        <f t="shared" si="0"/>
        <v>0</v>
      </c>
      <c r="H69" s="694" t="e">
        <f t="shared" si="2"/>
        <v>#DIV/0!</v>
      </c>
      <c r="I69" s="1042"/>
      <c r="J69" s="1043"/>
      <c r="K69" s="1043"/>
      <c r="L69" s="1043"/>
      <c r="M69" s="1043"/>
      <c r="N69" s="1043"/>
      <c r="O69" s="1043"/>
      <c r="P69" s="1043"/>
      <c r="Q69" s="1043"/>
      <c r="R69" s="1044"/>
      <c r="S69" s="716"/>
      <c r="T69" s="717"/>
      <c r="U69" s="718"/>
      <c r="V69" s="668"/>
      <c r="W69" s="697">
        <f t="shared" si="4"/>
        <v>0</v>
      </c>
      <c r="X69" s="667"/>
    </row>
    <row r="70" spans="1:26" s="561" customFormat="1" ht="13.5" hidden="1" customHeight="1">
      <c r="A70" s="648"/>
      <c r="B70" s="379"/>
      <c r="C70" s="363" t="s">
        <v>141</v>
      </c>
      <c r="D70" s="363"/>
      <c r="E70" s="645">
        <v>0</v>
      </c>
      <c r="F70" s="645">
        <v>0</v>
      </c>
      <c r="G70" s="646">
        <f t="shared" si="0"/>
        <v>0</v>
      </c>
      <c r="H70" s="694" t="e">
        <f t="shared" si="2"/>
        <v>#DIV/0!</v>
      </c>
      <c r="I70" s="1042"/>
      <c r="J70" s="1043"/>
      <c r="K70" s="1043"/>
      <c r="L70" s="1043"/>
      <c r="M70" s="1043"/>
      <c r="N70" s="1043"/>
      <c r="O70" s="1043"/>
      <c r="P70" s="1043"/>
      <c r="Q70" s="1043"/>
      <c r="R70" s="1044"/>
      <c r="S70" s="716"/>
      <c r="T70" s="717"/>
      <c r="U70" s="718"/>
      <c r="V70" s="668"/>
      <c r="W70" s="697">
        <f t="shared" si="4"/>
        <v>0</v>
      </c>
      <c r="X70" s="667"/>
    </row>
    <row r="71" spans="1:26" s="561" customFormat="1" ht="13.5" hidden="1" customHeight="1">
      <c r="A71" s="648"/>
      <c r="B71" s="379"/>
      <c r="C71" s="363" t="s">
        <v>142</v>
      </c>
      <c r="D71" s="363"/>
      <c r="E71" s="645">
        <v>0</v>
      </c>
      <c r="F71" s="645">
        <v>0</v>
      </c>
      <c r="G71" s="646">
        <f t="shared" ref="G71:G92" si="5">F71-E71</f>
        <v>0</v>
      </c>
      <c r="H71" s="694" t="e">
        <f t="shared" si="2"/>
        <v>#DIV/0!</v>
      </c>
      <c r="I71" s="1042"/>
      <c r="J71" s="1043"/>
      <c r="K71" s="1043"/>
      <c r="L71" s="1043"/>
      <c r="M71" s="1043"/>
      <c r="N71" s="1043"/>
      <c r="O71" s="1043"/>
      <c r="P71" s="1043"/>
      <c r="Q71" s="1043"/>
      <c r="R71" s="1044"/>
      <c r="S71" s="716"/>
      <c r="T71" s="717"/>
      <c r="U71" s="718"/>
      <c r="V71" s="668"/>
      <c r="W71" s="697">
        <f t="shared" si="4"/>
        <v>0</v>
      </c>
      <c r="X71" s="667"/>
    </row>
    <row r="72" spans="1:26" s="561" customFormat="1" ht="13.5" hidden="1" customHeight="1">
      <c r="A72" s="648"/>
      <c r="B72" s="379"/>
      <c r="C72" s="363" t="s">
        <v>143</v>
      </c>
      <c r="D72" s="363"/>
      <c r="E72" s="645">
        <v>0</v>
      </c>
      <c r="F72" s="645">
        <v>0</v>
      </c>
      <c r="G72" s="646">
        <f t="shared" si="5"/>
        <v>0</v>
      </c>
      <c r="H72" s="694" t="e">
        <f t="shared" ref="H72:H73" si="6">G72/E72*100</f>
        <v>#DIV/0!</v>
      </c>
      <c r="I72" s="1042"/>
      <c r="J72" s="1043"/>
      <c r="K72" s="1043"/>
      <c r="L72" s="1043"/>
      <c r="M72" s="1043"/>
      <c r="N72" s="1043"/>
      <c r="O72" s="1043"/>
      <c r="P72" s="1043"/>
      <c r="Q72" s="1043"/>
      <c r="R72" s="1044"/>
      <c r="S72" s="716"/>
      <c r="T72" s="717"/>
      <c r="U72" s="718"/>
      <c r="V72" s="668"/>
      <c r="W72" s="697">
        <f t="shared" si="4"/>
        <v>0</v>
      </c>
      <c r="X72" s="667"/>
    </row>
    <row r="73" spans="1:26" s="561" customFormat="1" ht="24" customHeight="1">
      <c r="A73" s="648"/>
      <c r="B73" s="363" t="s">
        <v>123</v>
      </c>
      <c r="C73" s="363" t="s">
        <v>107</v>
      </c>
      <c r="D73" s="363"/>
      <c r="E73" s="645">
        <v>46000000</v>
      </c>
      <c r="F73" s="645">
        <f>F74+F75+F76+F77+F78+F80</f>
        <v>46000000</v>
      </c>
      <c r="G73" s="646">
        <f t="shared" si="5"/>
        <v>0</v>
      </c>
      <c r="H73" s="694">
        <f t="shared" si="6"/>
        <v>0</v>
      </c>
      <c r="I73" s="1112"/>
      <c r="J73" s="1113"/>
      <c r="K73" s="1113"/>
      <c r="L73" s="1113"/>
      <c r="M73" s="1113"/>
      <c r="N73" s="1113"/>
      <c r="O73" s="1113"/>
      <c r="P73" s="1113"/>
      <c r="Q73" s="1113"/>
      <c r="R73" s="1114"/>
      <c r="S73" s="716"/>
      <c r="T73" s="717"/>
      <c r="U73" s="718"/>
      <c r="V73" s="668"/>
      <c r="W73" s="697">
        <f t="shared" si="4"/>
        <v>0</v>
      </c>
      <c r="X73" s="667"/>
      <c r="Z73" s="719">
        <f>Z52-Z56</f>
        <v>-39700000</v>
      </c>
    </row>
    <row r="74" spans="1:26" s="561" customFormat="1" ht="20.25" hidden="1" customHeight="1">
      <c r="A74" s="648"/>
      <c r="B74" s="377"/>
      <c r="C74" s="363" t="s">
        <v>144</v>
      </c>
      <c r="D74" s="363"/>
      <c r="E74" s="645">
        <v>0</v>
      </c>
      <c r="F74" s="645">
        <v>0</v>
      </c>
      <c r="G74" s="646">
        <f t="shared" si="5"/>
        <v>0</v>
      </c>
      <c r="H74" s="694">
        <v>0</v>
      </c>
      <c r="I74" s="1028"/>
      <c r="J74" s="1029"/>
      <c r="K74" s="1029"/>
      <c r="L74" s="1029"/>
      <c r="M74" s="1029"/>
      <c r="N74" s="1029"/>
      <c r="O74" s="1029"/>
      <c r="P74" s="1029"/>
      <c r="Q74" s="1029"/>
      <c r="R74" s="1030"/>
      <c r="S74" s="716"/>
      <c r="T74" s="717"/>
      <c r="U74" s="718"/>
      <c r="V74" s="668"/>
      <c r="W74" s="697">
        <f t="shared" si="4"/>
        <v>0</v>
      </c>
      <c r="X74" s="667"/>
    </row>
    <row r="75" spans="1:26" s="561" customFormat="1" ht="23.25" customHeight="1">
      <c r="A75" s="648"/>
      <c r="B75" s="379"/>
      <c r="C75" s="363" t="s">
        <v>158</v>
      </c>
      <c r="D75" s="363"/>
      <c r="E75" s="645">
        <v>41000000</v>
      </c>
      <c r="F75" s="645">
        <v>41000000</v>
      </c>
      <c r="G75" s="646">
        <f t="shared" si="5"/>
        <v>0</v>
      </c>
      <c r="H75" s="694">
        <v>0</v>
      </c>
      <c r="I75" s="1133" t="s">
        <v>402</v>
      </c>
      <c r="J75" s="1134"/>
      <c r="K75" s="1134"/>
      <c r="L75" s="1134"/>
      <c r="M75" s="1134"/>
      <c r="N75" s="1134"/>
      <c r="O75" s="1134"/>
      <c r="P75" s="1134"/>
      <c r="Q75" s="1134"/>
      <c r="R75" s="1135"/>
      <c r="S75" s="716" t="s">
        <v>377</v>
      </c>
      <c r="T75" s="717">
        <f>F75-U75-V75</f>
        <v>33500000</v>
      </c>
      <c r="U75" s="718">
        <v>4500000</v>
      </c>
      <c r="V75" s="720">
        <v>3000000</v>
      </c>
      <c r="W75" s="697">
        <f t="shared" si="4"/>
        <v>41000000</v>
      </c>
      <c r="X75" s="667"/>
    </row>
    <row r="76" spans="1:26" s="561" customFormat="1" ht="21" hidden="1" customHeight="1">
      <c r="A76" s="648"/>
      <c r="B76" s="379"/>
      <c r="C76" s="363" t="s">
        <v>145</v>
      </c>
      <c r="D76" s="933"/>
      <c r="E76" s="645">
        <v>0</v>
      </c>
      <c r="F76" s="645">
        <v>0</v>
      </c>
      <c r="G76" s="646">
        <f t="shared" si="5"/>
        <v>0</v>
      </c>
      <c r="H76" s="694">
        <v>0</v>
      </c>
      <c r="I76" s="1136" t="s">
        <v>323</v>
      </c>
      <c r="J76" s="1137"/>
      <c r="K76" s="1137"/>
      <c r="L76" s="1137"/>
      <c r="M76" s="1137"/>
      <c r="N76" s="1137"/>
      <c r="O76" s="1137"/>
      <c r="P76" s="1137"/>
      <c r="Q76" s="1137"/>
      <c r="R76" s="1138"/>
      <c r="S76" s="716" t="s">
        <v>377</v>
      </c>
      <c r="T76" s="717">
        <f>F76-U76-V76</f>
        <v>0</v>
      </c>
      <c r="U76" s="718"/>
      <c r="V76" s="720">
        <v>0</v>
      </c>
      <c r="W76" s="697">
        <f t="shared" si="4"/>
        <v>0</v>
      </c>
      <c r="X76" s="667"/>
    </row>
    <row r="77" spans="1:26" s="561" customFormat="1" ht="23.25" customHeight="1">
      <c r="A77" s="659"/>
      <c r="B77" s="381"/>
      <c r="C77" s="397" t="s">
        <v>976</v>
      </c>
      <c r="D77" s="363"/>
      <c r="E77" s="645">
        <v>5000000</v>
      </c>
      <c r="F77" s="645">
        <v>5000000</v>
      </c>
      <c r="G77" s="646">
        <f t="shared" si="5"/>
        <v>0</v>
      </c>
      <c r="H77" s="694">
        <v>0</v>
      </c>
      <c r="I77" s="1133" t="s">
        <v>966</v>
      </c>
      <c r="J77" s="1134"/>
      <c r="K77" s="1134"/>
      <c r="L77" s="1134"/>
      <c r="M77" s="1134"/>
      <c r="N77" s="1134"/>
      <c r="O77" s="1134"/>
      <c r="P77" s="1134"/>
      <c r="Q77" s="1134"/>
      <c r="R77" s="1135"/>
      <c r="S77" s="716" t="s">
        <v>377</v>
      </c>
      <c r="T77" s="717">
        <f>F77-U77-V77-V78</f>
        <v>-2175729</v>
      </c>
      <c r="U77" s="718">
        <v>4000000</v>
      </c>
      <c r="V77" s="720">
        <v>2175729</v>
      </c>
      <c r="W77" s="697">
        <f>T77+U77+V77+V78</f>
        <v>5000000</v>
      </c>
      <c r="X77" s="667"/>
    </row>
    <row r="78" spans="1:26" s="561" customFormat="1" ht="19.5" hidden="1" customHeight="1">
      <c r="A78" s="721"/>
      <c r="B78" s="675"/>
      <c r="C78" s="675" t="s">
        <v>863</v>
      </c>
      <c r="D78" s="446"/>
      <c r="E78" s="722">
        <v>0</v>
      </c>
      <c r="F78" s="722">
        <v>0</v>
      </c>
      <c r="G78" s="723">
        <f t="shared" si="5"/>
        <v>0</v>
      </c>
      <c r="H78" s="724">
        <f>F78/F6*100</f>
        <v>0</v>
      </c>
      <c r="I78" s="1139"/>
      <c r="J78" s="1140"/>
      <c r="K78" s="1140"/>
      <c r="L78" s="1140"/>
      <c r="M78" s="1140"/>
      <c r="N78" s="1140"/>
      <c r="O78" s="1140"/>
      <c r="P78" s="1140"/>
      <c r="Q78" s="1140"/>
      <c r="R78" s="1141"/>
      <c r="S78" s="725"/>
      <c r="T78" s="726"/>
      <c r="U78" s="727">
        <v>0</v>
      </c>
      <c r="V78" s="728">
        <v>1000000</v>
      </c>
      <c r="W78" s="697"/>
      <c r="X78" s="667"/>
    </row>
    <row r="79" spans="1:26" s="561" customFormat="1" ht="19.5" hidden="1" customHeight="1">
      <c r="A79" s="674"/>
      <c r="B79" s="713"/>
      <c r="C79" s="729"/>
      <c r="D79" s="730"/>
      <c r="E79" s="731"/>
      <c r="F79" s="731"/>
      <c r="G79" s="732">
        <f t="shared" si="5"/>
        <v>0</v>
      </c>
      <c r="H79" s="733">
        <v>0</v>
      </c>
      <c r="I79" s="734"/>
      <c r="J79" s="734"/>
      <c r="K79" s="734"/>
      <c r="L79" s="734"/>
      <c r="M79" s="734"/>
      <c r="N79" s="734"/>
      <c r="O79" s="734"/>
      <c r="P79" s="734"/>
      <c r="Q79" s="734"/>
      <c r="R79" s="735"/>
      <c r="S79" s="725"/>
      <c r="T79" s="726"/>
      <c r="U79" s="727"/>
      <c r="V79" s="668"/>
      <c r="W79" s="697">
        <f t="shared" si="4"/>
        <v>0</v>
      </c>
      <c r="X79" s="667"/>
    </row>
    <row r="80" spans="1:26" s="561" customFormat="1" ht="16.5" hidden="1" customHeight="1">
      <c r="A80" s="648"/>
      <c r="B80" s="379"/>
      <c r="C80" s="652" t="s">
        <v>340</v>
      </c>
      <c r="D80" s="673" t="s">
        <v>6</v>
      </c>
      <c r="E80" s="736">
        <v>0</v>
      </c>
      <c r="F80" s="736">
        <f>F81</f>
        <v>0</v>
      </c>
      <c r="G80" s="737">
        <f t="shared" si="5"/>
        <v>0</v>
      </c>
      <c r="H80" s="715">
        <v>0</v>
      </c>
      <c r="I80" s="1142"/>
      <c r="J80" s="1143"/>
      <c r="K80" s="1143"/>
      <c r="L80" s="1143"/>
      <c r="M80" s="1143"/>
      <c r="N80" s="1143"/>
      <c r="O80" s="1143"/>
      <c r="P80" s="1143"/>
      <c r="Q80" s="1143"/>
      <c r="R80" s="1144"/>
      <c r="S80" s="725"/>
      <c r="T80" s="726"/>
      <c r="U80" s="727"/>
      <c r="V80" s="668"/>
      <c r="W80" s="697">
        <f t="shared" si="4"/>
        <v>0</v>
      </c>
      <c r="X80" s="667"/>
    </row>
    <row r="81" spans="1:24" s="561" customFormat="1" ht="16.5" hidden="1" customHeight="1">
      <c r="A81" s="648"/>
      <c r="B81" s="379"/>
      <c r="C81" s="397"/>
      <c r="D81" s="653" t="s">
        <v>340</v>
      </c>
      <c r="E81" s="738"/>
      <c r="F81" s="738"/>
      <c r="G81" s="739">
        <f t="shared" si="5"/>
        <v>0</v>
      </c>
      <c r="H81" s="694">
        <v>0</v>
      </c>
      <c r="I81" s="1042"/>
      <c r="J81" s="1043"/>
      <c r="K81" s="1043"/>
      <c r="L81" s="1043"/>
      <c r="M81" s="1043"/>
      <c r="N81" s="1043"/>
      <c r="O81" s="1043"/>
      <c r="P81" s="1043"/>
      <c r="Q81" s="1043"/>
      <c r="R81" s="1044"/>
      <c r="S81" s="725" t="s">
        <v>372</v>
      </c>
      <c r="T81" s="726"/>
      <c r="U81" s="727"/>
      <c r="V81" s="668"/>
      <c r="W81" s="697">
        <f t="shared" si="4"/>
        <v>0</v>
      </c>
      <c r="X81" s="667"/>
    </row>
    <row r="82" spans="1:24" s="561" customFormat="1" ht="16.5" hidden="1" customHeight="1">
      <c r="A82" s="648"/>
      <c r="B82" s="379"/>
      <c r="C82" s="397" t="s">
        <v>351</v>
      </c>
      <c r="D82" s="651" t="s">
        <v>6</v>
      </c>
      <c r="E82" s="738">
        <v>0</v>
      </c>
      <c r="F82" s="738">
        <f>F83</f>
        <v>0</v>
      </c>
      <c r="G82" s="739">
        <f t="shared" si="5"/>
        <v>0</v>
      </c>
      <c r="H82" s="694">
        <v>0</v>
      </c>
      <c r="I82" s="1028"/>
      <c r="J82" s="1029"/>
      <c r="K82" s="1029"/>
      <c r="L82" s="1029"/>
      <c r="M82" s="1029"/>
      <c r="N82" s="1029"/>
      <c r="O82" s="1029"/>
      <c r="P82" s="1029"/>
      <c r="Q82" s="1029"/>
      <c r="R82" s="1030"/>
      <c r="S82" s="725"/>
      <c r="T82" s="726"/>
      <c r="U82" s="727"/>
      <c r="V82" s="668"/>
      <c r="W82" s="697">
        <f t="shared" si="4"/>
        <v>0</v>
      </c>
      <c r="X82" s="667"/>
    </row>
    <row r="83" spans="1:24" s="561" customFormat="1" ht="16.5" hidden="1" customHeight="1">
      <c r="A83" s="648"/>
      <c r="B83" s="740"/>
      <c r="C83" s="397"/>
      <c r="D83" s="653" t="s">
        <v>351</v>
      </c>
      <c r="E83" s="738">
        <v>0</v>
      </c>
      <c r="F83" s="738">
        <v>0</v>
      </c>
      <c r="G83" s="739">
        <f t="shared" si="5"/>
        <v>0</v>
      </c>
      <c r="H83" s="694">
        <v>0</v>
      </c>
      <c r="I83" s="1028"/>
      <c r="J83" s="1029"/>
      <c r="K83" s="1029"/>
      <c r="L83" s="1029"/>
      <c r="M83" s="1029"/>
      <c r="N83" s="1029"/>
      <c r="O83" s="1029"/>
      <c r="P83" s="1029"/>
      <c r="Q83" s="1029"/>
      <c r="R83" s="1030"/>
      <c r="S83" s="725"/>
      <c r="T83" s="726"/>
      <c r="U83" s="727"/>
      <c r="V83" s="668"/>
      <c r="W83" s="697">
        <f t="shared" si="4"/>
        <v>0</v>
      </c>
      <c r="X83" s="667"/>
    </row>
    <row r="84" spans="1:24" s="561" customFormat="1" ht="16.5" hidden="1" customHeight="1">
      <c r="A84" s="660" t="s">
        <v>147</v>
      </c>
      <c r="B84" s="1131" t="s">
        <v>161</v>
      </c>
      <c r="C84" s="1132"/>
      <c r="D84" s="651"/>
      <c r="E84" s="738">
        <v>0</v>
      </c>
      <c r="F84" s="738">
        <f>F85</f>
        <v>0</v>
      </c>
      <c r="G84" s="739">
        <f t="shared" si="5"/>
        <v>0</v>
      </c>
      <c r="H84" s="694">
        <v>0</v>
      </c>
      <c r="I84" s="1092"/>
      <c r="J84" s="1093"/>
      <c r="K84" s="1093"/>
      <c r="L84" s="1093"/>
      <c r="M84" s="1093"/>
      <c r="N84" s="1093"/>
      <c r="O84" s="1093"/>
      <c r="P84" s="1093"/>
      <c r="Q84" s="1093"/>
      <c r="R84" s="1094"/>
      <c r="S84" s="716"/>
      <c r="T84" s="717"/>
      <c r="U84" s="718"/>
      <c r="V84" s="668"/>
      <c r="W84" s="697">
        <f t="shared" si="4"/>
        <v>0</v>
      </c>
      <c r="X84" s="667"/>
    </row>
    <row r="85" spans="1:24" s="561" customFormat="1" ht="16.5" hidden="1" customHeight="1">
      <c r="A85" s="644"/>
      <c r="B85" s="363" t="s">
        <v>147</v>
      </c>
      <c r="C85" s="397" t="s">
        <v>107</v>
      </c>
      <c r="D85" s="651"/>
      <c r="E85" s="738">
        <v>0</v>
      </c>
      <c r="F85" s="738">
        <f>F86</f>
        <v>0</v>
      </c>
      <c r="G85" s="739">
        <f t="shared" si="5"/>
        <v>0</v>
      </c>
      <c r="H85" s="694">
        <v>0</v>
      </c>
      <c r="I85" s="1092"/>
      <c r="J85" s="1093"/>
      <c r="K85" s="1093"/>
      <c r="L85" s="1093"/>
      <c r="M85" s="1093"/>
      <c r="N85" s="1093"/>
      <c r="O85" s="1093"/>
      <c r="P85" s="1093"/>
      <c r="Q85" s="1093"/>
      <c r="R85" s="1094"/>
      <c r="S85" s="716"/>
      <c r="T85" s="717"/>
      <c r="U85" s="718"/>
      <c r="V85" s="668"/>
      <c r="W85" s="697">
        <f t="shared" si="4"/>
        <v>0</v>
      </c>
      <c r="X85" s="667"/>
    </row>
    <row r="86" spans="1:24" s="561" customFormat="1" ht="16.5" hidden="1" customHeight="1">
      <c r="A86" s="659"/>
      <c r="B86" s="363"/>
      <c r="C86" s="397" t="s">
        <v>147</v>
      </c>
      <c r="D86" s="651"/>
      <c r="E86" s="738">
        <v>0</v>
      </c>
      <c r="F86" s="738">
        <v>0</v>
      </c>
      <c r="G86" s="739">
        <f t="shared" si="5"/>
        <v>0</v>
      </c>
      <c r="H86" s="694">
        <v>0</v>
      </c>
      <c r="I86" s="1092"/>
      <c r="J86" s="1093"/>
      <c r="K86" s="1093"/>
      <c r="L86" s="1093"/>
      <c r="M86" s="1093"/>
      <c r="N86" s="1093"/>
      <c r="O86" s="1093"/>
      <c r="P86" s="1093"/>
      <c r="Q86" s="1093"/>
      <c r="R86" s="1094"/>
      <c r="S86" s="716"/>
      <c r="T86" s="717"/>
      <c r="U86" s="718"/>
      <c r="V86" s="668"/>
      <c r="W86" s="697">
        <f t="shared" si="4"/>
        <v>0</v>
      </c>
      <c r="X86" s="667"/>
    </row>
    <row r="87" spans="1:24" ht="16.5" hidden="1" customHeight="1">
      <c r="A87" s="637" t="s">
        <v>7</v>
      </c>
      <c r="B87" s="1131" t="s">
        <v>162</v>
      </c>
      <c r="C87" s="1132"/>
      <c r="D87" s="651"/>
      <c r="E87" s="738">
        <v>0</v>
      </c>
      <c r="F87" s="738">
        <f>F88</f>
        <v>0</v>
      </c>
      <c r="G87" s="739">
        <f t="shared" si="5"/>
        <v>0</v>
      </c>
      <c r="H87" s="694">
        <f>F87/F6*100</f>
        <v>0</v>
      </c>
      <c r="I87" s="1095"/>
      <c r="J87" s="1095"/>
      <c r="K87" s="1095"/>
      <c r="L87" s="1095"/>
      <c r="M87" s="1095"/>
      <c r="N87" s="1095"/>
      <c r="O87" s="1095"/>
      <c r="P87" s="1095"/>
      <c r="Q87" s="1095"/>
      <c r="R87" s="1096"/>
      <c r="S87" s="695"/>
      <c r="T87" s="703"/>
      <c r="U87" s="696"/>
      <c r="V87" s="700">
        <v>220000</v>
      </c>
      <c r="W87" s="697">
        <f t="shared" si="4"/>
        <v>220000</v>
      </c>
      <c r="X87" s="273"/>
    </row>
    <row r="88" spans="1:24" ht="16.5" hidden="1" customHeight="1">
      <c r="A88" s="644"/>
      <c r="B88" s="363" t="s">
        <v>194</v>
      </c>
      <c r="C88" s="397" t="s">
        <v>107</v>
      </c>
      <c r="D88" s="462"/>
      <c r="E88" s="741">
        <v>0</v>
      </c>
      <c r="F88" s="741">
        <f>F89</f>
        <v>0</v>
      </c>
      <c r="G88" s="739">
        <f t="shared" si="5"/>
        <v>0</v>
      </c>
      <c r="H88" s="694">
        <f>F88/F6*100</f>
        <v>0</v>
      </c>
      <c r="I88" s="1095"/>
      <c r="J88" s="1095"/>
      <c r="K88" s="1095"/>
      <c r="L88" s="1095"/>
      <c r="M88" s="1095"/>
      <c r="N88" s="1095"/>
      <c r="O88" s="1095"/>
      <c r="P88" s="1095"/>
      <c r="Q88" s="1095"/>
      <c r="R88" s="1096"/>
      <c r="S88" s="695"/>
      <c r="T88" s="703"/>
      <c r="U88" s="696"/>
      <c r="V88" s="641"/>
      <c r="W88" s="697">
        <f t="shared" si="4"/>
        <v>0</v>
      </c>
      <c r="X88" s="273"/>
    </row>
    <row r="89" spans="1:24" ht="16.5" hidden="1" customHeight="1">
      <c r="A89" s="659"/>
      <c r="B89" s="377"/>
      <c r="C89" s="397" t="s">
        <v>194</v>
      </c>
      <c r="D89" s="462"/>
      <c r="E89" s="741">
        <v>0</v>
      </c>
      <c r="F89" s="741">
        <v>0</v>
      </c>
      <c r="G89" s="739">
        <f t="shared" si="5"/>
        <v>0</v>
      </c>
      <c r="H89" s="694">
        <f>F89/F6*100</f>
        <v>0</v>
      </c>
      <c r="I89" s="1095"/>
      <c r="J89" s="1095"/>
      <c r="K89" s="1095"/>
      <c r="L89" s="1095"/>
      <c r="M89" s="1095"/>
      <c r="N89" s="1095"/>
      <c r="O89" s="1095"/>
      <c r="P89" s="1095"/>
      <c r="Q89" s="1095"/>
      <c r="R89" s="1096"/>
      <c r="S89" s="695" t="s">
        <v>373</v>
      </c>
      <c r="T89" s="703"/>
      <c r="U89" s="696"/>
      <c r="V89" s="641"/>
      <c r="W89" s="697">
        <f t="shared" si="4"/>
        <v>0</v>
      </c>
      <c r="X89" s="273"/>
    </row>
    <row r="90" spans="1:24" ht="16.5" hidden="1" customHeight="1">
      <c r="A90" s="637" t="s">
        <v>27</v>
      </c>
      <c r="B90" s="1131" t="s">
        <v>162</v>
      </c>
      <c r="C90" s="1132"/>
      <c r="D90" s="651"/>
      <c r="E90" s="738">
        <v>0</v>
      </c>
      <c r="F90" s="738">
        <f>F91</f>
        <v>0</v>
      </c>
      <c r="G90" s="739">
        <f t="shared" si="5"/>
        <v>0</v>
      </c>
      <c r="H90" s="694">
        <f>F90/F6*100</f>
        <v>0</v>
      </c>
      <c r="I90" s="1092"/>
      <c r="J90" s="1093"/>
      <c r="K90" s="1093"/>
      <c r="L90" s="1093"/>
      <c r="M90" s="1093"/>
      <c r="N90" s="1093"/>
      <c r="O90" s="1093"/>
      <c r="P90" s="1093"/>
      <c r="Q90" s="1093"/>
      <c r="R90" s="1094"/>
      <c r="S90" s="695"/>
      <c r="T90" s="703">
        <v>760000</v>
      </c>
      <c r="U90" s="696"/>
      <c r="V90" s="700">
        <v>240000</v>
      </c>
      <c r="W90" s="697">
        <f t="shared" si="4"/>
        <v>1000000</v>
      </c>
      <c r="X90" s="273"/>
    </row>
    <row r="91" spans="1:24" ht="16.5" hidden="1" customHeight="1">
      <c r="A91" s="644"/>
      <c r="B91" s="363" t="s">
        <v>193</v>
      </c>
      <c r="C91" s="397" t="s">
        <v>107</v>
      </c>
      <c r="D91" s="651"/>
      <c r="E91" s="738">
        <v>0</v>
      </c>
      <c r="F91" s="738">
        <f>F92</f>
        <v>0</v>
      </c>
      <c r="G91" s="739">
        <f t="shared" si="5"/>
        <v>0</v>
      </c>
      <c r="H91" s="694">
        <f>F91/F6*100</f>
        <v>0</v>
      </c>
      <c r="I91" s="1092"/>
      <c r="J91" s="1093"/>
      <c r="K91" s="1093"/>
      <c r="L91" s="1093"/>
      <c r="M91" s="1093"/>
      <c r="N91" s="1093"/>
      <c r="O91" s="1093"/>
      <c r="P91" s="1093"/>
      <c r="Q91" s="1093"/>
      <c r="R91" s="1094"/>
      <c r="S91" s="695"/>
      <c r="T91" s="703"/>
      <c r="U91" s="696"/>
      <c r="V91" s="641"/>
      <c r="W91" s="697">
        <f t="shared" si="4"/>
        <v>0</v>
      </c>
      <c r="X91" s="273"/>
    </row>
    <row r="92" spans="1:24" ht="16.5" hidden="1" customHeight="1">
      <c r="A92" s="674"/>
      <c r="B92" s="675"/>
      <c r="C92" s="676" t="s">
        <v>193</v>
      </c>
      <c r="D92" s="677"/>
      <c r="E92" s="722"/>
      <c r="F92" s="722"/>
      <c r="G92" s="723">
        <f t="shared" si="5"/>
        <v>0</v>
      </c>
      <c r="H92" s="724">
        <f>F92/F6*100</f>
        <v>0</v>
      </c>
      <c r="I92" s="1106"/>
      <c r="J92" s="1107"/>
      <c r="K92" s="1107"/>
      <c r="L92" s="1107"/>
      <c r="M92" s="1107"/>
      <c r="N92" s="1107"/>
      <c r="O92" s="1107"/>
      <c r="P92" s="1107"/>
      <c r="Q92" s="1107"/>
      <c r="R92" s="1108"/>
      <c r="S92" s="695" t="s">
        <v>373</v>
      </c>
      <c r="T92" s="703"/>
      <c r="U92" s="696"/>
      <c r="V92" s="641"/>
      <c r="W92" s="697">
        <f t="shared" si="4"/>
        <v>0</v>
      </c>
      <c r="X92" s="273"/>
    </row>
    <row r="93" spans="1:24">
      <c r="B93" s="516"/>
      <c r="C93" s="516"/>
      <c r="E93" s="475"/>
    </row>
    <row r="94" spans="1:24">
      <c r="B94" s="516"/>
      <c r="C94" s="516"/>
    </row>
    <row r="95" spans="1:24">
      <c r="B95" s="516"/>
      <c r="C95" s="516"/>
    </row>
    <row r="96" spans="1:24">
      <c r="B96" s="516"/>
      <c r="C96" s="516"/>
    </row>
    <row r="97" spans="2:3">
      <c r="B97" s="516"/>
      <c r="C97" s="516"/>
    </row>
    <row r="98" spans="2:3">
      <c r="B98" s="516"/>
      <c r="C98" s="516"/>
    </row>
    <row r="99" spans="2:3">
      <c r="B99" s="516"/>
      <c r="C99" s="516"/>
    </row>
    <row r="100" spans="2:3">
      <c r="B100" s="516"/>
      <c r="C100" s="516"/>
    </row>
    <row r="101" spans="2:3">
      <c r="B101" s="516"/>
      <c r="C101" s="516"/>
    </row>
    <row r="102" spans="2:3">
      <c r="B102" s="516"/>
      <c r="C102" s="516"/>
    </row>
    <row r="103" spans="2:3">
      <c r="B103" s="516"/>
      <c r="C103" s="516"/>
    </row>
    <row r="104" spans="2:3">
      <c r="B104" s="516"/>
      <c r="C104" s="516"/>
    </row>
    <row r="105" spans="2:3">
      <c r="B105" s="516"/>
      <c r="C105" s="516"/>
    </row>
    <row r="106" spans="2:3">
      <c r="B106" s="516"/>
      <c r="C106" s="516"/>
    </row>
    <row r="107" spans="2:3">
      <c r="B107" s="516"/>
      <c r="C107" s="516"/>
    </row>
    <row r="108" spans="2:3">
      <c r="B108" s="516"/>
      <c r="C108" s="516"/>
    </row>
    <row r="109" spans="2:3">
      <c r="B109" s="516"/>
      <c r="C109" s="516"/>
    </row>
    <row r="110" spans="2:3">
      <c r="B110" s="516"/>
      <c r="C110" s="516"/>
    </row>
    <row r="111" spans="2:3">
      <c r="B111" s="516"/>
      <c r="C111" s="516"/>
    </row>
    <row r="112" spans="2:3">
      <c r="B112" s="516"/>
      <c r="C112" s="516"/>
    </row>
    <row r="113" spans="2:3">
      <c r="B113" s="516"/>
      <c r="C113" s="516"/>
    </row>
    <row r="114" spans="2:3">
      <c r="B114" s="516"/>
      <c r="C114" s="516"/>
    </row>
    <row r="115" spans="2:3">
      <c r="B115" s="516"/>
      <c r="C115" s="516"/>
    </row>
    <row r="116" spans="2:3">
      <c r="B116" s="516"/>
      <c r="C116" s="516"/>
    </row>
    <row r="117" spans="2:3">
      <c r="B117" s="516"/>
      <c r="C117" s="516"/>
    </row>
    <row r="118" spans="2:3">
      <c r="B118" s="516"/>
      <c r="C118" s="516"/>
    </row>
    <row r="119" spans="2:3">
      <c r="B119" s="516"/>
      <c r="C119" s="516"/>
    </row>
    <row r="120" spans="2:3">
      <c r="B120" s="516"/>
      <c r="C120" s="516"/>
    </row>
    <row r="121" spans="2:3">
      <c r="B121" s="516"/>
      <c r="C121" s="516"/>
    </row>
    <row r="122" spans="2:3">
      <c r="B122" s="516"/>
      <c r="C122" s="516"/>
    </row>
    <row r="123" spans="2:3">
      <c r="B123" s="516"/>
      <c r="C123" s="516"/>
    </row>
  </sheetData>
  <mergeCells count="99">
    <mergeCell ref="I50:R50"/>
    <mergeCell ref="I19:R19"/>
    <mergeCell ref="I23:R23"/>
    <mergeCell ref="I25:R25"/>
    <mergeCell ref="I35:R35"/>
    <mergeCell ref="I28:R28"/>
    <mergeCell ref="I45:R45"/>
    <mergeCell ref="I34:R34"/>
    <mergeCell ref="I33:R33"/>
    <mergeCell ref="I32:R32"/>
    <mergeCell ref="I36:R36"/>
    <mergeCell ref="I37:R37"/>
    <mergeCell ref="I47:R47"/>
    <mergeCell ref="I30:R30"/>
    <mergeCell ref="I27:R27"/>
    <mergeCell ref="I24:R24"/>
    <mergeCell ref="I62:R62"/>
    <mergeCell ref="I58:R58"/>
    <mergeCell ref="I59:R59"/>
    <mergeCell ref="I51:R51"/>
    <mergeCell ref="I60:R60"/>
    <mergeCell ref="I57:R57"/>
    <mergeCell ref="I68:R68"/>
    <mergeCell ref="I86:R86"/>
    <mergeCell ref="I89:R89"/>
    <mergeCell ref="I80:R80"/>
    <mergeCell ref="I81:R81"/>
    <mergeCell ref="I84:R84"/>
    <mergeCell ref="I77:R77"/>
    <mergeCell ref="I69:R69"/>
    <mergeCell ref="I70:R70"/>
    <mergeCell ref="B90:C90"/>
    <mergeCell ref="B87:C87"/>
    <mergeCell ref="B84:C84"/>
    <mergeCell ref="I74:R74"/>
    <mergeCell ref="I75:R75"/>
    <mergeCell ref="I82:R82"/>
    <mergeCell ref="I76:R76"/>
    <mergeCell ref="I83:R83"/>
    <mergeCell ref="I78:R78"/>
    <mergeCell ref="I26:R26"/>
    <mergeCell ref="A2:C2"/>
    <mergeCell ref="E4:E5"/>
    <mergeCell ref="A4:D4"/>
    <mergeCell ref="F4:F5"/>
    <mergeCell ref="A6:C6"/>
    <mergeCell ref="I14:R14"/>
    <mergeCell ref="G4:H4"/>
    <mergeCell ref="I6:R6"/>
    <mergeCell ref="I22:R22"/>
    <mergeCell ref="I20:R20"/>
    <mergeCell ref="I1:R1"/>
    <mergeCell ref="I2:R2"/>
    <mergeCell ref="I3:R3"/>
    <mergeCell ref="I4:R5"/>
    <mergeCell ref="I21:R21"/>
    <mergeCell ref="I11:R11"/>
    <mergeCell ref="I15:R15"/>
    <mergeCell ref="I7:R7"/>
    <mergeCell ref="I8:R8"/>
    <mergeCell ref="I9:R9"/>
    <mergeCell ref="I13:R13"/>
    <mergeCell ref="I12:R12"/>
    <mergeCell ref="I10:R10"/>
    <mergeCell ref="I17:R17"/>
    <mergeCell ref="I18:R18"/>
    <mergeCell ref="I16:R16"/>
    <mergeCell ref="I92:R92"/>
    <mergeCell ref="I85:R85"/>
    <mergeCell ref="I90:R90"/>
    <mergeCell ref="I87:R87"/>
    <mergeCell ref="I44:R44"/>
    <mergeCell ref="I72:R72"/>
    <mergeCell ref="I65:R65"/>
    <mergeCell ref="I73:R73"/>
    <mergeCell ref="I88:R88"/>
    <mergeCell ref="I71:R71"/>
    <mergeCell ref="I54:R54"/>
    <mergeCell ref="I67:R67"/>
    <mergeCell ref="I61:R61"/>
    <mergeCell ref="I49:R49"/>
    <mergeCell ref="I46:R46"/>
    <mergeCell ref="I56:R56"/>
    <mergeCell ref="I91:R91"/>
    <mergeCell ref="I38:R38"/>
    <mergeCell ref="I42:R42"/>
    <mergeCell ref="I31:R31"/>
    <mergeCell ref="I29:R29"/>
    <mergeCell ref="I41:R41"/>
    <mergeCell ref="I43:R43"/>
    <mergeCell ref="I39:R39"/>
    <mergeCell ref="I40:R40"/>
    <mergeCell ref="I52:R52"/>
    <mergeCell ref="I66:R66"/>
    <mergeCell ref="I64:R64"/>
    <mergeCell ref="I48:R48"/>
    <mergeCell ref="I53:R53"/>
    <mergeCell ref="I55:R55"/>
    <mergeCell ref="I63:R63"/>
  </mergeCells>
  <phoneticPr fontId="2" type="noConversion"/>
  <pageMargins left="0.13" right="0.13" top="0.33" bottom="0.13" header="0.13" footer="0.13"/>
  <pageSetup paperSize="9" scale="89" orientation="portrait" horizontalDpi="4294967293" vertic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8"/>
  <sheetViews>
    <sheetView tabSelected="1" topLeftCell="A44" workbookViewId="0">
      <selection activeCell="Y56" sqref="Y56"/>
    </sheetView>
  </sheetViews>
  <sheetFormatPr defaultRowHeight="13.5"/>
  <cols>
    <col min="1" max="1" width="6.5546875" style="561" customWidth="1"/>
    <col min="2" max="2" width="7" style="561" customWidth="1"/>
    <col min="3" max="3" width="9.21875" style="561" customWidth="1"/>
    <col min="4" max="4" width="8.44140625" style="561" customWidth="1"/>
    <col min="5" max="5" width="11.44140625" style="561" customWidth="1"/>
    <col min="6" max="6" width="11.33203125" style="409" customWidth="1"/>
    <col min="7" max="7" width="11.6640625" style="683" customWidth="1"/>
    <col min="8" max="8" width="6.6640625" style="684" customWidth="1"/>
    <col min="9" max="9" width="3.6640625" style="561" customWidth="1"/>
    <col min="10" max="10" width="4" style="561" customWidth="1"/>
    <col min="11" max="11" width="3.21875" style="561" customWidth="1"/>
    <col min="12" max="12" width="4" style="561" customWidth="1"/>
    <col min="13" max="13" width="1.6640625" style="561" customWidth="1"/>
    <col min="14" max="14" width="5.44140625" style="561" bestFit="1" customWidth="1"/>
    <col min="15" max="15" width="2" style="561" customWidth="1"/>
    <col min="16" max="17" width="1.44140625" style="561" customWidth="1"/>
    <col min="18" max="18" width="1.5546875" style="561" customWidth="1"/>
    <col min="19" max="19" width="8.88671875" style="271" hidden="1" customWidth="1"/>
    <col min="20" max="21" width="11.6640625" style="685" hidden="1" customWidth="1"/>
    <col min="22" max="22" width="14.44140625" style="271" hidden="1" customWidth="1"/>
    <col min="23" max="23" width="8.88671875" style="271" hidden="1" customWidth="1"/>
    <col min="24" max="24" width="13.21875" style="271" hidden="1" customWidth="1"/>
    <col min="25" max="16384" width="8.88671875" style="271"/>
  </cols>
  <sheetData>
    <row r="1" spans="1:24" s="496" customFormat="1" ht="37.5" customHeight="1">
      <c r="A1" s="615" t="s">
        <v>710</v>
      </c>
      <c r="B1" s="615"/>
      <c r="C1" s="615"/>
      <c r="D1" s="494"/>
      <c r="E1" s="494"/>
      <c r="F1" s="492"/>
      <c r="G1" s="616"/>
      <c r="H1" s="617"/>
      <c r="I1" s="1117"/>
      <c r="J1" s="1117"/>
      <c r="K1" s="1117"/>
      <c r="L1" s="1117"/>
      <c r="M1" s="1117"/>
      <c r="N1" s="1117"/>
      <c r="O1" s="1117"/>
      <c r="P1" s="1117"/>
      <c r="Q1" s="1117"/>
      <c r="R1" s="1117"/>
      <c r="T1" s="618"/>
      <c r="U1" s="618"/>
    </row>
    <row r="2" spans="1:24" s="496" customFormat="1" ht="23.25" customHeight="1">
      <c r="A2" s="1014" t="s">
        <v>952</v>
      </c>
      <c r="B2" s="1014"/>
      <c r="C2" s="1015"/>
      <c r="D2" s="565"/>
      <c r="E2" s="494"/>
      <c r="F2" s="492"/>
      <c r="G2" s="616"/>
      <c r="H2" s="617"/>
      <c r="I2" s="1117"/>
      <c r="J2" s="1117"/>
      <c r="K2" s="1117"/>
      <c r="L2" s="1117"/>
      <c r="M2" s="1117"/>
      <c r="N2" s="1117"/>
      <c r="O2" s="1117"/>
      <c r="P2" s="1117"/>
      <c r="Q2" s="1117"/>
      <c r="R2" s="1117"/>
      <c r="S2" s="619"/>
      <c r="T2" s="620"/>
      <c r="U2" s="620"/>
      <c r="V2" s="619"/>
      <c r="W2" s="619"/>
    </row>
    <row r="3" spans="1:24" s="624" customFormat="1" ht="18" customHeight="1">
      <c r="A3" s="494"/>
      <c r="B3" s="494"/>
      <c r="C3" s="494"/>
      <c r="D3" s="494"/>
      <c r="E3" s="494"/>
      <c r="F3" s="492"/>
      <c r="G3" s="616"/>
      <c r="H3" s="617"/>
      <c r="I3" s="1118" t="s">
        <v>0</v>
      </c>
      <c r="J3" s="1118"/>
      <c r="K3" s="1118"/>
      <c r="L3" s="1118"/>
      <c r="M3" s="1118"/>
      <c r="N3" s="1118"/>
      <c r="O3" s="1118"/>
      <c r="P3" s="1118"/>
      <c r="Q3" s="1118"/>
      <c r="R3" s="1118"/>
      <c r="S3" s="621"/>
      <c r="T3" s="622">
        <f>T6/V6</f>
        <v>0.66280026711569973</v>
      </c>
      <c r="U3" s="622">
        <f>U6/V6</f>
        <v>0.33719973288430027</v>
      </c>
      <c r="V3" s="623">
        <f>SUM(T3:U3)</f>
        <v>1</v>
      </c>
      <c r="W3" s="621"/>
    </row>
    <row r="4" spans="1:24" s="627" customFormat="1" ht="24.75" customHeight="1">
      <c r="A4" s="1049" t="s">
        <v>4</v>
      </c>
      <c r="B4" s="1050"/>
      <c r="C4" s="1050"/>
      <c r="D4" s="1051"/>
      <c r="E4" s="997" t="str">
        <f>'라-2.자부담세출'!E4:E5</f>
        <v>전년도예산
( A )</v>
      </c>
      <c r="F4" s="995" t="str">
        <f>'라-2.자부담세출'!F4:F5</f>
        <v>2020년예산
( B )</v>
      </c>
      <c r="G4" s="1128" t="s">
        <v>757</v>
      </c>
      <c r="H4" s="1128"/>
      <c r="I4" s="1119" t="s">
        <v>62</v>
      </c>
      <c r="J4" s="1119"/>
      <c r="K4" s="1119"/>
      <c r="L4" s="1119"/>
      <c r="M4" s="1119"/>
      <c r="N4" s="1119"/>
      <c r="O4" s="1119"/>
      <c r="P4" s="1119"/>
      <c r="Q4" s="1119"/>
      <c r="R4" s="1120"/>
      <c r="S4" s="625"/>
      <c r="T4" s="626" t="s">
        <v>347</v>
      </c>
      <c r="U4" s="626" t="s">
        <v>348</v>
      </c>
      <c r="V4" s="625" t="s">
        <v>349</v>
      </c>
      <c r="W4" s="625"/>
    </row>
    <row r="5" spans="1:24" s="627" customFormat="1" ht="24.75" customHeight="1" thickBot="1">
      <c r="A5" s="628" t="s">
        <v>1</v>
      </c>
      <c r="B5" s="629" t="s">
        <v>2</v>
      </c>
      <c r="C5" s="629" t="s">
        <v>3</v>
      </c>
      <c r="D5" s="629" t="s">
        <v>305</v>
      </c>
      <c r="E5" s="998"/>
      <c r="F5" s="996"/>
      <c r="G5" s="630" t="s">
        <v>759</v>
      </c>
      <c r="H5" s="631" t="s">
        <v>760</v>
      </c>
      <c r="I5" s="1121"/>
      <c r="J5" s="1121"/>
      <c r="K5" s="1121"/>
      <c r="L5" s="1121"/>
      <c r="M5" s="1121"/>
      <c r="N5" s="1121"/>
      <c r="O5" s="1121"/>
      <c r="P5" s="1121"/>
      <c r="Q5" s="1121"/>
      <c r="R5" s="1122"/>
      <c r="S5" s="625"/>
      <c r="T5" s="626"/>
      <c r="U5" s="626"/>
      <c r="V5" s="625"/>
      <c r="W5" s="625"/>
    </row>
    <row r="6" spans="1:24" s="627" customFormat="1" ht="21.75" customHeight="1" thickTop="1">
      <c r="A6" s="1126" t="s">
        <v>39</v>
      </c>
      <c r="B6" s="1127"/>
      <c r="C6" s="1127"/>
      <c r="D6" s="632"/>
      <c r="E6" s="633">
        <v>389800000</v>
      </c>
      <c r="F6" s="633">
        <f>F7+F47+F52+F92+F89</f>
        <v>380700000</v>
      </c>
      <c r="G6" s="634">
        <f>G7+G47+G52+G92+G89</f>
        <v>-9100000</v>
      </c>
      <c r="H6" s="635">
        <f>G6/E6*100</f>
        <v>-2.3345305284761415</v>
      </c>
      <c r="I6" s="1181"/>
      <c r="J6" s="1181"/>
      <c r="K6" s="1181"/>
      <c r="L6" s="1181"/>
      <c r="M6" s="1181"/>
      <c r="N6" s="1181"/>
      <c r="O6" s="1181"/>
      <c r="P6" s="1181"/>
      <c r="Q6" s="1181"/>
      <c r="R6" s="1182"/>
      <c r="S6" s="625"/>
      <c r="T6" s="626">
        <f>SUM(T7:T97)</f>
        <v>252678060</v>
      </c>
      <c r="U6" s="626">
        <f>SUM(U7:U97)</f>
        <v>128550000</v>
      </c>
      <c r="V6" s="636">
        <f>SUM(T6:U6)</f>
        <v>381228060</v>
      </c>
      <c r="W6" s="625"/>
    </row>
    <row r="7" spans="1:24" ht="21.75" customHeight="1">
      <c r="A7" s="637" t="s">
        <v>9</v>
      </c>
      <c r="B7" s="1131" t="s">
        <v>28</v>
      </c>
      <c r="C7" s="1132"/>
      <c r="D7" s="363"/>
      <c r="E7" s="638">
        <v>179703000</v>
      </c>
      <c r="F7" s="638">
        <f>F8+F33+F38</f>
        <v>172220000</v>
      </c>
      <c r="G7" s="639">
        <f>G8+G33+G38</f>
        <v>-7483000</v>
      </c>
      <c r="H7" s="640">
        <f>G7/E7*100</f>
        <v>-4.1640929756320153</v>
      </c>
      <c r="I7" s="1171"/>
      <c r="J7" s="1171"/>
      <c r="K7" s="1171"/>
      <c r="L7" s="1171"/>
      <c r="M7" s="1171"/>
      <c r="N7" s="1171"/>
      <c r="O7" s="1171"/>
      <c r="P7" s="1171"/>
      <c r="Q7" s="1171"/>
      <c r="R7" s="1172"/>
      <c r="S7" s="273"/>
      <c r="T7" s="641"/>
      <c r="U7" s="641"/>
      <c r="V7" s="642">
        <f>'다-3.후원금세입'!E6-'라-3.후원금세출'!F6</f>
        <v>0</v>
      </c>
      <c r="W7" s="273"/>
      <c r="X7" s="643"/>
    </row>
    <row r="8" spans="1:24" ht="21.75" customHeight="1">
      <c r="A8" s="644"/>
      <c r="B8" s="397" t="s">
        <v>50</v>
      </c>
      <c r="C8" s="363" t="s">
        <v>6</v>
      </c>
      <c r="D8" s="363"/>
      <c r="E8" s="645">
        <v>50705030</v>
      </c>
      <c r="F8" s="645">
        <f>F9+F10+F11+F12+F26+F27+F32</f>
        <v>50705030</v>
      </c>
      <c r="G8" s="646">
        <f>F8-E8</f>
        <v>0</v>
      </c>
      <c r="H8" s="640">
        <f t="shared" ref="H8:H71" si="0">G8/E8*100</f>
        <v>0</v>
      </c>
      <c r="I8" s="1171"/>
      <c r="J8" s="1171"/>
      <c r="K8" s="1171"/>
      <c r="L8" s="1171"/>
      <c r="M8" s="1171"/>
      <c r="N8" s="1171"/>
      <c r="O8" s="1171"/>
      <c r="P8" s="1171"/>
      <c r="Q8" s="1171"/>
      <c r="R8" s="1172"/>
      <c r="S8" s="273"/>
      <c r="T8" s="641"/>
      <c r="U8" s="641"/>
      <c r="V8" s="273"/>
      <c r="W8" s="273"/>
      <c r="X8" s="647">
        <f>'다-3.후원금세입'!E6</f>
        <v>380700000</v>
      </c>
    </row>
    <row r="9" spans="1:24" ht="21.75" customHeight="1">
      <c r="A9" s="648"/>
      <c r="B9" s="377"/>
      <c r="C9" s="363" t="s">
        <v>10</v>
      </c>
      <c r="D9" s="363"/>
      <c r="E9" s="645">
        <v>10000000</v>
      </c>
      <c r="F9" s="645">
        <v>10000000</v>
      </c>
      <c r="G9" s="646">
        <f t="shared" ref="G9:G72" si="1">F9-E9</f>
        <v>0</v>
      </c>
      <c r="H9" s="640">
        <f t="shared" si="0"/>
        <v>0</v>
      </c>
      <c r="I9" s="1171"/>
      <c r="J9" s="1171"/>
      <c r="K9" s="1171"/>
      <c r="L9" s="1171"/>
      <c r="M9" s="1171"/>
      <c r="N9" s="1171"/>
      <c r="O9" s="1171"/>
      <c r="P9" s="1171"/>
      <c r="Q9" s="1171"/>
      <c r="R9" s="1172"/>
      <c r="S9" s="273"/>
      <c r="T9" s="641">
        <f>F9</f>
        <v>10000000</v>
      </c>
      <c r="U9" s="641"/>
      <c r="V9" s="273"/>
      <c r="W9" s="273"/>
      <c r="X9" s="643">
        <f>X8-F6</f>
        <v>0</v>
      </c>
    </row>
    <row r="10" spans="1:24" ht="21.75" hidden="1" customHeight="1">
      <c r="A10" s="648"/>
      <c r="B10" s="379"/>
      <c r="C10" s="363" t="s">
        <v>11</v>
      </c>
      <c r="D10" s="363"/>
      <c r="E10" s="645">
        <v>0</v>
      </c>
      <c r="F10" s="645">
        <f>'인건비총계표(후원금)'!G49+'인건비총계표(후원금)'!J49+'인건비총계표(후원금)'!H49</f>
        <v>0</v>
      </c>
      <c r="G10" s="646">
        <f t="shared" si="1"/>
        <v>0</v>
      </c>
      <c r="H10" s="640" t="e">
        <f t="shared" si="0"/>
        <v>#DIV/0!</v>
      </c>
      <c r="I10" s="1171"/>
      <c r="J10" s="1171"/>
      <c r="K10" s="1171"/>
      <c r="L10" s="1171"/>
      <c r="M10" s="1171"/>
      <c r="N10" s="1171"/>
      <c r="O10" s="1171"/>
      <c r="P10" s="1171"/>
      <c r="Q10" s="1171"/>
      <c r="R10" s="1172"/>
      <c r="S10" s="273"/>
      <c r="T10" s="641">
        <f>F10</f>
        <v>0</v>
      </c>
      <c r="U10" s="641"/>
      <c r="V10" s="273"/>
      <c r="W10" s="273"/>
    </row>
    <row r="11" spans="1:24" ht="21.75" customHeight="1">
      <c r="A11" s="648"/>
      <c r="B11" s="379"/>
      <c r="C11" s="363" t="s">
        <v>12</v>
      </c>
      <c r="D11" s="363"/>
      <c r="E11" s="645">
        <v>9600000</v>
      </c>
      <c r="F11" s="645">
        <v>9600000</v>
      </c>
      <c r="G11" s="646">
        <f t="shared" si="1"/>
        <v>0</v>
      </c>
      <c r="H11" s="640">
        <f t="shared" si="0"/>
        <v>0</v>
      </c>
      <c r="I11" s="1171" t="s">
        <v>892</v>
      </c>
      <c r="J11" s="1171"/>
      <c r="K11" s="1171"/>
      <c r="L11" s="1171"/>
      <c r="M11" s="1171"/>
      <c r="N11" s="1171"/>
      <c r="O11" s="1171"/>
      <c r="P11" s="1171"/>
      <c r="Q11" s="1171"/>
      <c r="R11" s="1172"/>
      <c r="S11" s="273"/>
      <c r="T11" s="641">
        <f>F11</f>
        <v>9600000</v>
      </c>
      <c r="U11" s="641"/>
      <c r="V11" s="273"/>
      <c r="W11" s="273"/>
      <c r="X11" s="643">
        <f>X8-F6</f>
        <v>0</v>
      </c>
    </row>
    <row r="12" spans="1:24" ht="21.75" hidden="1" customHeight="1">
      <c r="A12" s="648"/>
      <c r="B12" s="379"/>
      <c r="C12" s="363" t="s">
        <v>13</v>
      </c>
      <c r="D12" s="363" t="s">
        <v>6</v>
      </c>
      <c r="E12" s="645">
        <v>0</v>
      </c>
      <c r="F12" s="645">
        <f>SUM(F13:F25)</f>
        <v>0</v>
      </c>
      <c r="G12" s="646">
        <f t="shared" si="1"/>
        <v>0</v>
      </c>
      <c r="H12" s="640" t="e">
        <f t="shared" si="0"/>
        <v>#DIV/0!</v>
      </c>
      <c r="I12" s="1171"/>
      <c r="J12" s="1171"/>
      <c r="K12" s="1171"/>
      <c r="L12" s="1171"/>
      <c r="M12" s="1171"/>
      <c r="N12" s="1171"/>
      <c r="O12" s="1171"/>
      <c r="P12" s="1171"/>
      <c r="Q12" s="1171"/>
      <c r="R12" s="1172"/>
      <c r="S12" s="273"/>
      <c r="T12" s="641">
        <f>F12</f>
        <v>0</v>
      </c>
      <c r="U12" s="641"/>
      <c r="V12" s="273"/>
      <c r="W12" s="273"/>
    </row>
    <row r="13" spans="1:24" ht="15.75" hidden="1" customHeight="1">
      <c r="A13" s="648"/>
      <c r="B13" s="379"/>
      <c r="C13" s="377"/>
      <c r="D13" s="363" t="s">
        <v>306</v>
      </c>
      <c r="E13" s="645">
        <v>0</v>
      </c>
      <c r="F13" s="645">
        <f>'인건비총계표(후원금)'!K49</f>
        <v>0</v>
      </c>
      <c r="G13" s="646">
        <f t="shared" si="1"/>
        <v>0</v>
      </c>
      <c r="H13" s="640" t="e">
        <f t="shared" si="0"/>
        <v>#DIV/0!</v>
      </c>
      <c r="I13" s="1171"/>
      <c r="J13" s="1171"/>
      <c r="K13" s="1171"/>
      <c r="L13" s="1171"/>
      <c r="M13" s="1171"/>
      <c r="N13" s="1171"/>
      <c r="O13" s="1171"/>
      <c r="P13" s="1171"/>
      <c r="Q13" s="1171"/>
      <c r="R13" s="1172"/>
      <c r="S13" s="273"/>
      <c r="T13" s="641"/>
      <c r="U13" s="641"/>
      <c r="V13" s="273"/>
      <c r="W13" s="273"/>
    </row>
    <row r="14" spans="1:24" ht="24" hidden="1" customHeight="1">
      <c r="A14" s="648"/>
      <c r="B14" s="379"/>
      <c r="C14" s="379"/>
      <c r="D14" s="363" t="s">
        <v>307</v>
      </c>
      <c r="E14" s="645">
        <v>0</v>
      </c>
      <c r="F14" s="645">
        <f>'인건비총계표(후원금)'!L6+'인건비총계표(후원금)'!L49</f>
        <v>0</v>
      </c>
      <c r="G14" s="646">
        <f t="shared" si="1"/>
        <v>0</v>
      </c>
      <c r="H14" s="640" t="e">
        <f t="shared" si="0"/>
        <v>#DIV/0!</v>
      </c>
      <c r="I14" s="1103"/>
      <c r="J14" s="1110"/>
      <c r="K14" s="1110"/>
      <c r="L14" s="1110"/>
      <c r="M14" s="1110"/>
      <c r="N14" s="1110"/>
      <c r="O14" s="1110"/>
      <c r="P14" s="1110"/>
      <c r="Q14" s="1110"/>
      <c r="R14" s="1111"/>
      <c r="S14" s="273"/>
      <c r="T14" s="641"/>
      <c r="U14" s="641"/>
      <c r="V14" s="273"/>
      <c r="W14" s="273"/>
    </row>
    <row r="15" spans="1:24" ht="21" hidden="1" customHeight="1">
      <c r="A15" s="648"/>
      <c r="B15" s="379"/>
      <c r="C15" s="649"/>
      <c r="D15" s="397" t="s">
        <v>29</v>
      </c>
      <c r="E15" s="645">
        <v>0</v>
      </c>
      <c r="F15" s="645">
        <f>'인건비총계표(후원금)'!M49</f>
        <v>0</v>
      </c>
      <c r="G15" s="646">
        <f t="shared" si="1"/>
        <v>0</v>
      </c>
      <c r="H15" s="640" t="e">
        <f t="shared" si="0"/>
        <v>#DIV/0!</v>
      </c>
      <c r="I15" s="1171"/>
      <c r="J15" s="1171"/>
      <c r="K15" s="1171"/>
      <c r="L15" s="1171"/>
      <c r="M15" s="1171"/>
      <c r="N15" s="1171"/>
      <c r="O15" s="1171"/>
      <c r="P15" s="1171"/>
      <c r="Q15" s="1171"/>
      <c r="R15" s="1172"/>
      <c r="S15" s="273"/>
      <c r="T15" s="641"/>
      <c r="U15" s="641"/>
      <c r="V15" s="273"/>
      <c r="W15" s="273"/>
    </row>
    <row r="16" spans="1:24" ht="15.75" hidden="1" customHeight="1">
      <c r="A16" s="648"/>
      <c r="B16" s="379"/>
      <c r="C16" s="649"/>
      <c r="D16" s="363" t="s">
        <v>268</v>
      </c>
      <c r="E16" s="645">
        <v>0</v>
      </c>
      <c r="F16" s="645">
        <v>0</v>
      </c>
      <c r="G16" s="646">
        <f t="shared" si="1"/>
        <v>0</v>
      </c>
      <c r="H16" s="640" t="e">
        <f t="shared" si="0"/>
        <v>#DIV/0!</v>
      </c>
      <c r="I16" s="1151"/>
      <c r="J16" s="1152"/>
      <c r="K16" s="1152"/>
      <c r="L16" s="1152"/>
      <c r="M16" s="1152"/>
      <c r="N16" s="1152"/>
      <c r="O16" s="1152"/>
      <c r="P16" s="1152"/>
      <c r="Q16" s="1152"/>
      <c r="R16" s="1153"/>
      <c r="S16" s="273"/>
      <c r="T16" s="641"/>
      <c r="U16" s="641"/>
      <c r="V16" s="273"/>
      <c r="W16" s="273"/>
    </row>
    <row r="17" spans="1:23" ht="15.75" hidden="1" customHeight="1">
      <c r="A17" s="648"/>
      <c r="B17" s="379"/>
      <c r="C17" s="649"/>
      <c r="D17" s="363" t="s">
        <v>269</v>
      </c>
      <c r="E17" s="645">
        <v>0</v>
      </c>
      <c r="F17" s="645">
        <f>'인건비총계표(후원금)'!N49</f>
        <v>0</v>
      </c>
      <c r="G17" s="646">
        <f t="shared" si="1"/>
        <v>0</v>
      </c>
      <c r="H17" s="640" t="e">
        <f t="shared" si="0"/>
        <v>#DIV/0!</v>
      </c>
      <c r="I17" s="1151"/>
      <c r="J17" s="1152"/>
      <c r="K17" s="1152"/>
      <c r="L17" s="1152"/>
      <c r="M17" s="1152"/>
      <c r="N17" s="1152"/>
      <c r="O17" s="1152"/>
      <c r="P17" s="1152"/>
      <c r="Q17" s="1152"/>
      <c r="R17" s="1153"/>
      <c r="S17" s="273"/>
      <c r="T17" s="641"/>
      <c r="U17" s="641"/>
      <c r="V17" s="273"/>
      <c r="W17" s="273"/>
    </row>
    <row r="18" spans="1:23" ht="15.75" hidden="1" customHeight="1">
      <c r="A18" s="648"/>
      <c r="B18" s="379"/>
      <c r="C18" s="649"/>
      <c r="D18" s="363" t="s">
        <v>270</v>
      </c>
      <c r="E18" s="645">
        <v>0</v>
      </c>
      <c r="F18" s="645">
        <v>0</v>
      </c>
      <c r="G18" s="646">
        <f t="shared" si="1"/>
        <v>0</v>
      </c>
      <c r="H18" s="640" t="e">
        <f t="shared" si="0"/>
        <v>#DIV/0!</v>
      </c>
      <c r="I18" s="1109"/>
      <c r="J18" s="1110"/>
      <c r="K18" s="1110"/>
      <c r="L18" s="1110"/>
      <c r="M18" s="1110"/>
      <c r="N18" s="1110"/>
      <c r="O18" s="1110"/>
      <c r="P18" s="1110"/>
      <c r="Q18" s="1110"/>
      <c r="R18" s="1111"/>
      <c r="S18" s="273"/>
      <c r="T18" s="641"/>
      <c r="U18" s="641"/>
      <c r="V18" s="273"/>
      <c r="W18" s="273"/>
    </row>
    <row r="19" spans="1:23" ht="22.5" hidden="1" customHeight="1">
      <c r="A19" s="648"/>
      <c r="B19" s="379"/>
      <c r="C19" s="649"/>
      <c r="D19" s="397" t="s">
        <v>40</v>
      </c>
      <c r="E19" s="645">
        <v>0</v>
      </c>
      <c r="F19" s="645">
        <f>'인건비(후원금)'!L5</f>
        <v>0</v>
      </c>
      <c r="G19" s="646">
        <f t="shared" si="1"/>
        <v>0</v>
      </c>
      <c r="H19" s="640" t="e">
        <f t="shared" si="0"/>
        <v>#DIV/0!</v>
      </c>
      <c r="I19" s="1171" t="s">
        <v>874</v>
      </c>
      <c r="J19" s="1171"/>
      <c r="K19" s="1171"/>
      <c r="L19" s="1171"/>
      <c r="M19" s="1171"/>
      <c r="N19" s="1171"/>
      <c r="O19" s="1171"/>
      <c r="P19" s="1171"/>
      <c r="Q19" s="1171"/>
      <c r="R19" s="1172"/>
      <c r="S19" s="273"/>
      <c r="T19" s="641"/>
      <c r="U19" s="641"/>
      <c r="V19" s="273"/>
      <c r="W19" s="273"/>
    </row>
    <row r="20" spans="1:23" ht="15.75" hidden="1" customHeight="1">
      <c r="A20" s="648"/>
      <c r="B20" s="379"/>
      <c r="C20" s="649"/>
      <c r="D20" s="397" t="s">
        <v>8</v>
      </c>
      <c r="E20" s="645">
        <v>0</v>
      </c>
      <c r="F20" s="645">
        <f>'인건비총계표(후원금)'!O49</f>
        <v>0</v>
      </c>
      <c r="G20" s="646">
        <f t="shared" si="1"/>
        <v>0</v>
      </c>
      <c r="H20" s="640" t="e">
        <f t="shared" si="0"/>
        <v>#DIV/0!</v>
      </c>
      <c r="I20" s="1171"/>
      <c r="J20" s="1171"/>
      <c r="K20" s="1171"/>
      <c r="L20" s="1171"/>
      <c r="M20" s="1171"/>
      <c r="N20" s="1171"/>
      <c r="O20" s="1171"/>
      <c r="P20" s="1171"/>
      <c r="Q20" s="1171"/>
      <c r="R20" s="1172"/>
      <c r="S20" s="273"/>
      <c r="T20" s="641"/>
      <c r="U20" s="641"/>
      <c r="V20" s="273"/>
      <c r="W20" s="273"/>
    </row>
    <row r="21" spans="1:23" ht="15.75" hidden="1" customHeight="1">
      <c r="A21" s="648"/>
      <c r="B21" s="379"/>
      <c r="C21" s="649"/>
      <c r="D21" s="397" t="s">
        <v>14</v>
      </c>
      <c r="E21" s="645">
        <v>0</v>
      </c>
      <c r="F21" s="645">
        <f>'인건비총계표(후원금)'!R49</f>
        <v>0</v>
      </c>
      <c r="G21" s="646">
        <f t="shared" si="1"/>
        <v>0</v>
      </c>
      <c r="H21" s="640" t="e">
        <f t="shared" si="0"/>
        <v>#DIV/0!</v>
      </c>
      <c r="I21" s="1171"/>
      <c r="J21" s="1171"/>
      <c r="K21" s="1171"/>
      <c r="L21" s="1171"/>
      <c r="M21" s="1171"/>
      <c r="N21" s="1171"/>
      <c r="O21" s="1171"/>
      <c r="P21" s="1171"/>
      <c r="Q21" s="1171"/>
      <c r="R21" s="1172"/>
      <c r="S21" s="273"/>
      <c r="T21" s="641"/>
      <c r="U21" s="641"/>
      <c r="V21" s="273"/>
      <c r="W21" s="273"/>
    </row>
    <row r="22" spans="1:23" ht="15.75" hidden="1" customHeight="1">
      <c r="A22" s="648"/>
      <c r="B22" s="379"/>
      <c r="C22" s="649"/>
      <c r="D22" s="397" t="s">
        <v>308</v>
      </c>
      <c r="E22" s="645">
        <v>0</v>
      </c>
      <c r="F22" s="645">
        <v>0</v>
      </c>
      <c r="G22" s="646">
        <f t="shared" si="1"/>
        <v>0</v>
      </c>
      <c r="H22" s="640" t="e">
        <f t="shared" si="0"/>
        <v>#DIV/0!</v>
      </c>
      <c r="I22" s="1171"/>
      <c r="J22" s="1171"/>
      <c r="K22" s="1171"/>
      <c r="L22" s="1171"/>
      <c r="M22" s="1171"/>
      <c r="N22" s="1171"/>
      <c r="O22" s="1171"/>
      <c r="P22" s="1171"/>
      <c r="Q22" s="1171"/>
      <c r="R22" s="1172"/>
      <c r="S22" s="273"/>
      <c r="T22" s="641"/>
      <c r="U22" s="641"/>
      <c r="V22" s="273"/>
      <c r="W22" s="273"/>
    </row>
    <row r="23" spans="1:23" ht="21" hidden="1" customHeight="1">
      <c r="A23" s="648"/>
      <c r="B23" s="379"/>
      <c r="C23" s="649"/>
      <c r="D23" s="397" t="s">
        <v>271</v>
      </c>
      <c r="E23" s="645">
        <v>0</v>
      </c>
      <c r="F23" s="645">
        <f>'인건비총계표(후원금)'!S49</f>
        <v>0</v>
      </c>
      <c r="G23" s="646">
        <f t="shared" si="1"/>
        <v>0</v>
      </c>
      <c r="H23" s="640" t="e">
        <f t="shared" si="0"/>
        <v>#DIV/0!</v>
      </c>
      <c r="I23" s="1151"/>
      <c r="J23" s="1152"/>
      <c r="K23" s="1152"/>
      <c r="L23" s="1152"/>
      <c r="M23" s="1152"/>
      <c r="N23" s="1152"/>
      <c r="O23" s="1152"/>
      <c r="P23" s="1152"/>
      <c r="Q23" s="1152"/>
      <c r="R23" s="1153"/>
      <c r="S23" s="273"/>
      <c r="T23" s="641"/>
      <c r="U23" s="641"/>
      <c r="V23" s="273"/>
      <c r="W23" s="273"/>
    </row>
    <row r="24" spans="1:23" ht="15.75" hidden="1" customHeight="1">
      <c r="A24" s="648"/>
      <c r="B24" s="379"/>
      <c r="C24" s="649"/>
      <c r="D24" s="397" t="s">
        <v>326</v>
      </c>
      <c r="E24" s="645">
        <v>0</v>
      </c>
      <c r="F24" s="645">
        <v>0</v>
      </c>
      <c r="G24" s="646">
        <f t="shared" si="1"/>
        <v>0</v>
      </c>
      <c r="H24" s="640" t="e">
        <f t="shared" si="0"/>
        <v>#DIV/0!</v>
      </c>
      <c r="I24" s="1109"/>
      <c r="J24" s="1110"/>
      <c r="K24" s="1110"/>
      <c r="L24" s="1110"/>
      <c r="M24" s="1110"/>
      <c r="N24" s="1110"/>
      <c r="O24" s="1110"/>
      <c r="P24" s="1110"/>
      <c r="Q24" s="1110"/>
      <c r="R24" s="1111"/>
      <c r="S24" s="273"/>
      <c r="T24" s="641"/>
      <c r="U24" s="641"/>
      <c r="V24" s="273"/>
      <c r="W24" s="273"/>
    </row>
    <row r="25" spans="1:23" ht="15.75" hidden="1" customHeight="1">
      <c r="A25" s="648"/>
      <c r="B25" s="379"/>
      <c r="C25" s="652"/>
      <c r="D25" s="397" t="s">
        <v>346</v>
      </c>
      <c r="E25" s="645"/>
      <c r="F25" s="645"/>
      <c r="G25" s="646">
        <f t="shared" si="1"/>
        <v>0</v>
      </c>
      <c r="H25" s="640" t="e">
        <f t="shared" si="0"/>
        <v>#DIV/0!</v>
      </c>
      <c r="I25" s="1151"/>
      <c r="J25" s="1152"/>
      <c r="K25" s="1152"/>
      <c r="L25" s="1152"/>
      <c r="M25" s="1152"/>
      <c r="N25" s="1152"/>
      <c r="O25" s="1152"/>
      <c r="P25" s="1152"/>
      <c r="Q25" s="1152"/>
      <c r="R25" s="1153"/>
      <c r="S25" s="273"/>
      <c r="T25" s="641"/>
      <c r="U25" s="641"/>
      <c r="V25" s="273"/>
      <c r="W25" s="273"/>
    </row>
    <row r="26" spans="1:23" ht="22.5" customHeight="1">
      <c r="A26" s="648"/>
      <c r="B26" s="379"/>
      <c r="C26" s="397" t="s">
        <v>980</v>
      </c>
      <c r="D26" s="397"/>
      <c r="E26" s="645">
        <v>600000</v>
      </c>
      <c r="F26" s="645">
        <v>600000</v>
      </c>
      <c r="G26" s="646">
        <f t="shared" si="1"/>
        <v>0</v>
      </c>
      <c r="H26" s="640">
        <f t="shared" si="0"/>
        <v>0</v>
      </c>
      <c r="I26" s="1171"/>
      <c r="J26" s="1171"/>
      <c r="K26" s="1171"/>
      <c r="L26" s="1171"/>
      <c r="M26" s="1171"/>
      <c r="N26" s="1171"/>
      <c r="O26" s="1171"/>
      <c r="P26" s="1171"/>
      <c r="Q26" s="1171"/>
      <c r="R26" s="1172"/>
      <c r="S26" s="273"/>
      <c r="T26" s="641">
        <f>F26</f>
        <v>600000</v>
      </c>
      <c r="U26" s="641"/>
      <c r="V26" s="273"/>
      <c r="W26" s="273"/>
    </row>
    <row r="27" spans="1:23" ht="22.5" customHeight="1">
      <c r="A27" s="648"/>
      <c r="B27" s="379"/>
      <c r="C27" s="397" t="s">
        <v>981</v>
      </c>
      <c r="D27" s="397" t="s">
        <v>6</v>
      </c>
      <c r="E27" s="645">
        <v>505030</v>
      </c>
      <c r="F27" s="645">
        <f>SUM(F28:F31)</f>
        <v>505030</v>
      </c>
      <c r="G27" s="646">
        <f t="shared" si="1"/>
        <v>0</v>
      </c>
      <c r="H27" s="640">
        <f t="shared" si="0"/>
        <v>0</v>
      </c>
      <c r="I27" s="1151"/>
      <c r="J27" s="1152"/>
      <c r="K27" s="1152"/>
      <c r="L27" s="1152"/>
      <c r="M27" s="1152"/>
      <c r="N27" s="1152"/>
      <c r="O27" s="1152"/>
      <c r="P27" s="1152"/>
      <c r="Q27" s="1152"/>
      <c r="R27" s="1153"/>
      <c r="S27" s="273"/>
      <c r="T27" s="641">
        <f>F27</f>
        <v>505030</v>
      </c>
      <c r="U27" s="641"/>
      <c r="V27" s="273"/>
      <c r="W27" s="273"/>
    </row>
    <row r="28" spans="1:23" ht="31.5" customHeight="1">
      <c r="A28" s="648"/>
      <c r="B28" s="379"/>
      <c r="C28" s="657"/>
      <c r="D28" s="657" t="s">
        <v>977</v>
      </c>
      <c r="E28" s="654">
        <v>335030</v>
      </c>
      <c r="F28" s="654">
        <f>U28</f>
        <v>335030</v>
      </c>
      <c r="G28" s="646">
        <f t="shared" si="1"/>
        <v>0</v>
      </c>
      <c r="H28" s="640">
        <f t="shared" si="0"/>
        <v>0</v>
      </c>
      <c r="I28" s="1045" t="s">
        <v>916</v>
      </c>
      <c r="J28" s="1046"/>
      <c r="K28" s="1046"/>
      <c r="L28" s="1046"/>
      <c r="M28" s="1046"/>
      <c r="N28" s="1046"/>
      <c r="O28" s="1046"/>
      <c r="P28" s="1046"/>
      <c r="Q28" s="1046"/>
      <c r="R28" s="1047"/>
      <c r="S28" s="655">
        <f>ROUNDUP(F9*3.12%,-1)</f>
        <v>312000</v>
      </c>
      <c r="T28" s="655">
        <f>ROUNDUP(S28*7.38%,-1)</f>
        <v>23030</v>
      </c>
      <c r="U28" s="641">
        <f>SUM(S28:T28)</f>
        <v>335030</v>
      </c>
      <c r="V28" s="273"/>
      <c r="W28" s="273"/>
    </row>
    <row r="29" spans="1:23" ht="22.5" hidden="1" customHeight="1">
      <c r="A29" s="648"/>
      <c r="B29" s="379"/>
      <c r="C29" s="649"/>
      <c r="D29" s="397" t="s">
        <v>5</v>
      </c>
      <c r="E29" s="645">
        <v>0</v>
      </c>
      <c r="F29" s="645">
        <f>'인건비총계표(후원금)'!W49</f>
        <v>0</v>
      </c>
      <c r="G29" s="646">
        <f t="shared" si="1"/>
        <v>0</v>
      </c>
      <c r="H29" s="640" t="e">
        <f t="shared" si="0"/>
        <v>#DIV/0!</v>
      </c>
      <c r="I29" s="1095"/>
      <c r="J29" s="1095"/>
      <c r="K29" s="1095"/>
      <c r="L29" s="1095"/>
      <c r="M29" s="1095"/>
      <c r="N29" s="1095"/>
      <c r="O29" s="1095"/>
      <c r="P29" s="1095"/>
      <c r="Q29" s="1095"/>
      <c r="R29" s="1096"/>
      <c r="S29" s="655">
        <f t="shared" ref="S29" si="2">ROUNDUP(F22*3.12%,-1)</f>
        <v>0</v>
      </c>
      <c r="T29" s="641"/>
      <c r="U29" s="641"/>
      <c r="V29" s="273"/>
      <c r="W29" s="273"/>
    </row>
    <row r="30" spans="1:23" ht="22.5" customHeight="1">
      <c r="A30" s="648"/>
      <c r="B30" s="379"/>
      <c r="C30" s="649"/>
      <c r="D30" s="397" t="s">
        <v>978</v>
      </c>
      <c r="E30" s="645">
        <v>90000</v>
      </c>
      <c r="F30" s="645">
        <f>T30</f>
        <v>90000</v>
      </c>
      <c r="G30" s="646">
        <f t="shared" si="1"/>
        <v>0</v>
      </c>
      <c r="H30" s="640">
        <f t="shared" si="0"/>
        <v>0</v>
      </c>
      <c r="I30" s="1042" t="s">
        <v>917</v>
      </c>
      <c r="J30" s="1043"/>
      <c r="K30" s="1043"/>
      <c r="L30" s="1043"/>
      <c r="M30" s="1043"/>
      <c r="N30" s="1043"/>
      <c r="O30" s="1043"/>
      <c r="P30" s="1043"/>
      <c r="Q30" s="1043"/>
      <c r="R30" s="1044"/>
      <c r="S30" s="655">
        <f>F9</f>
        <v>10000000</v>
      </c>
      <c r="T30" s="655">
        <f>ROUNDUP(S30*0.9%,-1)</f>
        <v>90000</v>
      </c>
      <c r="U30" s="641"/>
      <c r="V30" s="273"/>
      <c r="W30" s="273"/>
    </row>
    <row r="31" spans="1:23" ht="22.5" customHeight="1">
      <c r="A31" s="648"/>
      <c r="B31" s="379"/>
      <c r="C31" s="381"/>
      <c r="D31" s="397" t="s">
        <v>979</v>
      </c>
      <c r="E31" s="645">
        <v>80000</v>
      </c>
      <c r="F31" s="645">
        <f>T31</f>
        <v>80000</v>
      </c>
      <c r="G31" s="646">
        <f t="shared" si="1"/>
        <v>0</v>
      </c>
      <c r="H31" s="640">
        <f t="shared" si="0"/>
        <v>0</v>
      </c>
      <c r="I31" s="1042" t="s">
        <v>918</v>
      </c>
      <c r="J31" s="1043"/>
      <c r="K31" s="1043"/>
      <c r="L31" s="1043"/>
      <c r="M31" s="1043"/>
      <c r="N31" s="1043"/>
      <c r="O31" s="1043"/>
      <c r="P31" s="1043"/>
      <c r="Q31" s="1043"/>
      <c r="R31" s="1044"/>
      <c r="S31" s="655">
        <f>F9</f>
        <v>10000000</v>
      </c>
      <c r="T31" s="655">
        <f>ROUNDUP(S31*0.8%,-1)</f>
        <v>80000</v>
      </c>
      <c r="U31" s="641"/>
      <c r="V31" s="273"/>
      <c r="W31" s="273"/>
    </row>
    <row r="32" spans="1:23" ht="25.5" customHeight="1">
      <c r="A32" s="648"/>
      <c r="B32" s="381"/>
      <c r="C32" s="363" t="s">
        <v>309</v>
      </c>
      <c r="D32" s="363"/>
      <c r="E32" s="645">
        <v>30000000</v>
      </c>
      <c r="F32" s="645">
        <v>30000000</v>
      </c>
      <c r="G32" s="646">
        <f t="shared" si="1"/>
        <v>0</v>
      </c>
      <c r="H32" s="640">
        <f t="shared" si="0"/>
        <v>0</v>
      </c>
      <c r="I32" s="1171" t="s">
        <v>403</v>
      </c>
      <c r="J32" s="1171"/>
      <c r="K32" s="1171"/>
      <c r="L32" s="1171"/>
      <c r="M32" s="1171"/>
      <c r="N32" s="1171"/>
      <c r="O32" s="1171"/>
      <c r="P32" s="1171"/>
      <c r="Q32" s="1171"/>
      <c r="R32" s="1172"/>
      <c r="S32" s="273"/>
      <c r="T32" s="641">
        <f>F32</f>
        <v>30000000</v>
      </c>
      <c r="U32" s="641"/>
      <c r="V32" s="273"/>
      <c r="W32" s="273"/>
    </row>
    <row r="33" spans="1:23" ht="22.5" hidden="1" customHeight="1">
      <c r="A33" s="648"/>
      <c r="B33" s="363" t="s">
        <v>51</v>
      </c>
      <c r="C33" s="363" t="s">
        <v>6</v>
      </c>
      <c r="D33" s="363"/>
      <c r="E33" s="638">
        <v>0</v>
      </c>
      <c r="F33" s="638">
        <f>SUM(F34:F37)</f>
        <v>0</v>
      </c>
      <c r="G33" s="646">
        <f t="shared" si="1"/>
        <v>0</v>
      </c>
      <c r="H33" s="640" t="e">
        <f t="shared" si="0"/>
        <v>#DIV/0!</v>
      </c>
      <c r="I33" s="1171"/>
      <c r="J33" s="1171"/>
      <c r="K33" s="1171"/>
      <c r="L33" s="1171"/>
      <c r="M33" s="1171"/>
      <c r="N33" s="1171"/>
      <c r="O33" s="1171"/>
      <c r="P33" s="1171"/>
      <c r="Q33" s="1171"/>
      <c r="R33" s="1172"/>
      <c r="S33" s="273"/>
      <c r="T33" s="641"/>
      <c r="U33" s="641">
        <f>F33</f>
        <v>0</v>
      </c>
      <c r="V33" s="273"/>
      <c r="W33" s="273"/>
    </row>
    <row r="34" spans="1:23" ht="15.75" hidden="1" customHeight="1">
      <c r="A34" s="648"/>
      <c r="B34" s="657"/>
      <c r="C34" s="363" t="s">
        <v>246</v>
      </c>
      <c r="D34" s="363"/>
      <c r="E34" s="645">
        <v>0</v>
      </c>
      <c r="F34" s="645">
        <v>0</v>
      </c>
      <c r="G34" s="646">
        <f t="shared" si="1"/>
        <v>0</v>
      </c>
      <c r="H34" s="640" t="e">
        <f t="shared" si="0"/>
        <v>#DIV/0!</v>
      </c>
      <c r="I34" s="1171"/>
      <c r="J34" s="1171"/>
      <c r="K34" s="1171"/>
      <c r="L34" s="1171"/>
      <c r="M34" s="1171"/>
      <c r="N34" s="1171"/>
      <c r="O34" s="1171"/>
      <c r="P34" s="1171"/>
      <c r="Q34" s="1171"/>
      <c r="R34" s="1172"/>
      <c r="S34" s="273"/>
      <c r="T34" s="641"/>
      <c r="U34" s="641"/>
      <c r="V34" s="273"/>
      <c r="W34" s="273"/>
    </row>
    <row r="35" spans="1:23" ht="15.75" hidden="1" customHeight="1">
      <c r="A35" s="648"/>
      <c r="B35" s="379"/>
      <c r="C35" s="363" t="s">
        <v>14</v>
      </c>
      <c r="D35" s="363"/>
      <c r="E35" s="645">
        <v>0</v>
      </c>
      <c r="F35" s="645">
        <v>0</v>
      </c>
      <c r="G35" s="646">
        <f t="shared" si="1"/>
        <v>0</v>
      </c>
      <c r="H35" s="640" t="e">
        <f t="shared" si="0"/>
        <v>#DIV/0!</v>
      </c>
      <c r="I35" s="1171"/>
      <c r="J35" s="1171"/>
      <c r="K35" s="1171"/>
      <c r="L35" s="1171"/>
      <c r="M35" s="1171"/>
      <c r="N35" s="1171"/>
      <c r="O35" s="1171"/>
      <c r="P35" s="1171"/>
      <c r="Q35" s="1171"/>
      <c r="R35" s="1172"/>
      <c r="S35" s="273"/>
      <c r="T35" s="641"/>
      <c r="U35" s="641"/>
      <c r="V35" s="273"/>
      <c r="W35" s="273"/>
    </row>
    <row r="36" spans="1:23" ht="24" hidden="1" customHeight="1">
      <c r="A36" s="648"/>
      <c r="B36" s="379"/>
      <c r="C36" s="363" t="s">
        <v>260</v>
      </c>
      <c r="D36" s="363"/>
      <c r="E36" s="645">
        <v>0</v>
      </c>
      <c r="F36" s="645">
        <v>0</v>
      </c>
      <c r="G36" s="646">
        <f t="shared" si="1"/>
        <v>0</v>
      </c>
      <c r="H36" s="640" t="e">
        <f t="shared" si="0"/>
        <v>#DIV/0!</v>
      </c>
      <c r="I36" s="1171"/>
      <c r="J36" s="1171"/>
      <c r="K36" s="1171"/>
      <c r="L36" s="1171"/>
      <c r="M36" s="1171"/>
      <c r="N36" s="1171"/>
      <c r="O36" s="1171"/>
      <c r="P36" s="1171"/>
      <c r="Q36" s="1171"/>
      <c r="R36" s="1172"/>
      <c r="S36" s="273"/>
      <c r="T36" s="641"/>
      <c r="U36" s="641"/>
      <c r="V36" s="273"/>
      <c r="W36" s="273"/>
    </row>
    <row r="37" spans="1:23" ht="24" hidden="1" customHeight="1">
      <c r="A37" s="648"/>
      <c r="B37" s="381"/>
      <c r="C37" s="363" t="s">
        <v>247</v>
      </c>
      <c r="D37" s="363"/>
      <c r="E37" s="645">
        <v>0</v>
      </c>
      <c r="F37" s="645">
        <v>0</v>
      </c>
      <c r="G37" s="646">
        <f t="shared" si="1"/>
        <v>0</v>
      </c>
      <c r="H37" s="640" t="e">
        <f t="shared" si="0"/>
        <v>#DIV/0!</v>
      </c>
      <c r="I37" s="1171"/>
      <c r="J37" s="1171"/>
      <c r="K37" s="1171"/>
      <c r="L37" s="1171"/>
      <c r="M37" s="1171"/>
      <c r="N37" s="1171"/>
      <c r="O37" s="1171"/>
      <c r="P37" s="1171"/>
      <c r="Q37" s="1171"/>
      <c r="R37" s="1172"/>
      <c r="S37" s="273"/>
      <c r="T37" s="641"/>
      <c r="U37" s="641"/>
      <c r="V37" s="273"/>
      <c r="W37" s="273"/>
    </row>
    <row r="38" spans="1:23" ht="26.25" customHeight="1">
      <c r="A38" s="648"/>
      <c r="B38" s="363" t="s">
        <v>15</v>
      </c>
      <c r="C38" s="363" t="s">
        <v>6</v>
      </c>
      <c r="D38" s="363"/>
      <c r="E38" s="645">
        <v>128997970</v>
      </c>
      <c r="F38" s="645">
        <f>SUM(F39,F40,F43:F46)</f>
        <v>121514970</v>
      </c>
      <c r="G38" s="646">
        <f t="shared" si="1"/>
        <v>-7483000</v>
      </c>
      <c r="H38" s="640">
        <f t="shared" si="0"/>
        <v>-5.8008664787515656</v>
      </c>
      <c r="I38" s="1171"/>
      <c r="J38" s="1171"/>
      <c r="K38" s="1171"/>
      <c r="L38" s="1171"/>
      <c r="M38" s="1171"/>
      <c r="N38" s="1171"/>
      <c r="O38" s="1171"/>
      <c r="P38" s="1171"/>
      <c r="Q38" s="1171"/>
      <c r="R38" s="1172"/>
      <c r="S38" s="273"/>
      <c r="T38" s="641"/>
      <c r="U38" s="641"/>
      <c r="V38" s="273"/>
      <c r="W38" s="273"/>
    </row>
    <row r="39" spans="1:23" ht="27.75" customHeight="1">
      <c r="A39" s="648"/>
      <c r="B39" s="377"/>
      <c r="C39" s="363" t="s">
        <v>16</v>
      </c>
      <c r="D39" s="363"/>
      <c r="E39" s="645">
        <v>5000000</v>
      </c>
      <c r="F39" s="645">
        <v>5000000</v>
      </c>
      <c r="G39" s="646">
        <f t="shared" si="1"/>
        <v>0</v>
      </c>
      <c r="H39" s="640">
        <f t="shared" si="0"/>
        <v>0</v>
      </c>
      <c r="I39" s="1171" t="s">
        <v>327</v>
      </c>
      <c r="J39" s="1171"/>
      <c r="K39" s="1171"/>
      <c r="L39" s="1171"/>
      <c r="M39" s="1171"/>
      <c r="N39" s="1171"/>
      <c r="O39" s="1171"/>
      <c r="P39" s="1171"/>
      <c r="Q39" s="1171"/>
      <c r="R39" s="1172"/>
      <c r="S39" s="273"/>
      <c r="T39" s="641"/>
      <c r="U39" s="641">
        <f>F39</f>
        <v>5000000</v>
      </c>
      <c r="V39" s="273"/>
      <c r="W39" s="273"/>
    </row>
    <row r="40" spans="1:23" ht="30.75" customHeight="1">
      <c r="A40" s="648"/>
      <c r="B40" s="379"/>
      <c r="C40" s="658" t="s">
        <v>780</v>
      </c>
      <c r="D40" s="363" t="s">
        <v>107</v>
      </c>
      <c r="E40" s="645">
        <v>44997970</v>
      </c>
      <c r="F40" s="645">
        <f>SUM(F41:F42)</f>
        <v>40514970</v>
      </c>
      <c r="G40" s="646">
        <f t="shared" si="1"/>
        <v>-4483000</v>
      </c>
      <c r="H40" s="640">
        <f t="shared" si="0"/>
        <v>-9.9626716494099625</v>
      </c>
      <c r="I40" s="1171" t="s">
        <v>740</v>
      </c>
      <c r="J40" s="1171"/>
      <c r="K40" s="1171"/>
      <c r="L40" s="1171"/>
      <c r="M40" s="1171"/>
      <c r="N40" s="1171"/>
      <c r="O40" s="1171"/>
      <c r="P40" s="1171"/>
      <c r="Q40" s="1171"/>
      <c r="R40" s="1172"/>
      <c r="S40" s="273"/>
      <c r="T40" s="641"/>
      <c r="U40" s="641">
        <f>F40</f>
        <v>40514970</v>
      </c>
      <c r="V40" s="273"/>
      <c r="W40" s="273"/>
    </row>
    <row r="41" spans="1:23" ht="28.5" customHeight="1">
      <c r="A41" s="648"/>
      <c r="B41" s="379"/>
      <c r="C41" s="363"/>
      <c r="D41" s="658" t="s">
        <v>780</v>
      </c>
      <c r="E41" s="645">
        <v>26997970</v>
      </c>
      <c r="F41" s="645">
        <v>22514970</v>
      </c>
      <c r="G41" s="646">
        <f t="shared" si="1"/>
        <v>-4483000</v>
      </c>
      <c r="H41" s="640">
        <f t="shared" si="0"/>
        <v>-16.604952150106101</v>
      </c>
      <c r="I41" s="1022" t="s">
        <v>175</v>
      </c>
      <c r="J41" s="1023"/>
      <c r="K41" s="1023"/>
      <c r="L41" s="1023"/>
      <c r="M41" s="1023"/>
      <c r="N41" s="1023"/>
      <c r="O41" s="1023"/>
      <c r="P41" s="1023"/>
      <c r="Q41" s="1023"/>
      <c r="R41" s="1024"/>
      <c r="S41" s="273"/>
      <c r="T41" s="641"/>
      <c r="U41" s="641"/>
      <c r="V41" s="273"/>
      <c r="W41" s="273"/>
    </row>
    <row r="42" spans="1:23" ht="24" customHeight="1">
      <c r="A42" s="648"/>
      <c r="B42" s="379"/>
      <c r="C42" s="363"/>
      <c r="D42" s="363" t="s">
        <v>725</v>
      </c>
      <c r="E42" s="645">
        <v>18000000</v>
      </c>
      <c r="F42" s="645">
        <v>18000000</v>
      </c>
      <c r="G42" s="646">
        <f t="shared" si="1"/>
        <v>0</v>
      </c>
      <c r="H42" s="640">
        <f>G42/E42*100</f>
        <v>0</v>
      </c>
      <c r="I42" s="1171" t="s">
        <v>737</v>
      </c>
      <c r="J42" s="1171"/>
      <c r="K42" s="1171"/>
      <c r="L42" s="1171"/>
      <c r="M42" s="1171"/>
      <c r="N42" s="1171"/>
      <c r="O42" s="1171"/>
      <c r="P42" s="1171"/>
      <c r="Q42" s="1171"/>
      <c r="R42" s="1172"/>
      <c r="S42" s="273"/>
      <c r="T42" s="641"/>
      <c r="U42" s="641"/>
      <c r="V42" s="273"/>
      <c r="W42" s="273"/>
    </row>
    <row r="43" spans="1:23" ht="24" customHeight="1">
      <c r="A43" s="648"/>
      <c r="B43" s="379"/>
      <c r="C43" s="397" t="s">
        <v>17</v>
      </c>
      <c r="D43" s="397"/>
      <c r="E43" s="645">
        <v>43000000</v>
      </c>
      <c r="F43" s="645">
        <v>40000000</v>
      </c>
      <c r="G43" s="646">
        <f t="shared" si="1"/>
        <v>-3000000</v>
      </c>
      <c r="H43" s="640">
        <f t="shared" si="0"/>
        <v>-6.9767441860465116</v>
      </c>
      <c r="I43" s="1171" t="s">
        <v>590</v>
      </c>
      <c r="J43" s="1171"/>
      <c r="K43" s="1171"/>
      <c r="L43" s="1171"/>
      <c r="M43" s="1171"/>
      <c r="N43" s="1171"/>
      <c r="O43" s="1171"/>
      <c r="P43" s="1171"/>
      <c r="Q43" s="1171"/>
      <c r="R43" s="1172"/>
      <c r="S43" s="273"/>
      <c r="T43" s="641">
        <f>F43</f>
        <v>40000000</v>
      </c>
      <c r="U43" s="641"/>
      <c r="V43" s="273"/>
      <c r="W43" s="273"/>
    </row>
    <row r="44" spans="1:23" ht="24" customHeight="1">
      <c r="A44" s="648"/>
      <c r="B44" s="379"/>
      <c r="C44" s="397" t="s">
        <v>18</v>
      </c>
      <c r="D44" s="397"/>
      <c r="E44" s="645">
        <v>5000000</v>
      </c>
      <c r="F44" s="645">
        <v>5000000</v>
      </c>
      <c r="G44" s="646">
        <f t="shared" si="1"/>
        <v>0</v>
      </c>
      <c r="H44" s="640">
        <f t="shared" si="0"/>
        <v>0</v>
      </c>
      <c r="I44" s="1171" t="s">
        <v>357</v>
      </c>
      <c r="J44" s="1171"/>
      <c r="K44" s="1171"/>
      <c r="L44" s="1171"/>
      <c r="M44" s="1171"/>
      <c r="N44" s="1171"/>
      <c r="O44" s="1171"/>
      <c r="P44" s="1171"/>
      <c r="Q44" s="1171"/>
      <c r="R44" s="1172"/>
      <c r="S44" s="273"/>
      <c r="T44" s="641">
        <f>F44-1000000</f>
        <v>4000000</v>
      </c>
      <c r="U44" s="641">
        <f>F44-4000000</f>
        <v>1000000</v>
      </c>
      <c r="V44" s="273"/>
      <c r="W44" s="273"/>
    </row>
    <row r="45" spans="1:23" ht="24" customHeight="1">
      <c r="A45" s="648"/>
      <c r="B45" s="379"/>
      <c r="C45" s="397" t="s">
        <v>19</v>
      </c>
      <c r="D45" s="397"/>
      <c r="E45" s="645">
        <v>21000000</v>
      </c>
      <c r="F45" s="645">
        <v>21000000</v>
      </c>
      <c r="G45" s="646">
        <f t="shared" si="1"/>
        <v>0</v>
      </c>
      <c r="H45" s="640">
        <f t="shared" si="0"/>
        <v>0</v>
      </c>
      <c r="I45" s="1171" t="s">
        <v>738</v>
      </c>
      <c r="J45" s="1171"/>
      <c r="K45" s="1171"/>
      <c r="L45" s="1171"/>
      <c r="M45" s="1171"/>
      <c r="N45" s="1171"/>
      <c r="O45" s="1171"/>
      <c r="P45" s="1171"/>
      <c r="Q45" s="1171"/>
      <c r="R45" s="1172"/>
      <c r="S45" s="273"/>
      <c r="T45" s="641">
        <f>F45</f>
        <v>21000000</v>
      </c>
      <c r="U45" s="641"/>
      <c r="V45" s="273"/>
      <c r="W45" s="273"/>
    </row>
    <row r="46" spans="1:23" ht="24" customHeight="1">
      <c r="A46" s="659"/>
      <c r="B46" s="381"/>
      <c r="C46" s="397" t="s">
        <v>248</v>
      </c>
      <c r="D46" s="397"/>
      <c r="E46" s="645">
        <v>10000000</v>
      </c>
      <c r="F46" s="645">
        <v>10000000</v>
      </c>
      <c r="G46" s="646">
        <f t="shared" si="1"/>
        <v>0</v>
      </c>
      <c r="H46" s="640">
        <f t="shared" si="0"/>
        <v>0</v>
      </c>
      <c r="I46" s="1109" t="s">
        <v>712</v>
      </c>
      <c r="J46" s="1110"/>
      <c r="K46" s="1110"/>
      <c r="L46" s="1110"/>
      <c r="M46" s="1110"/>
      <c r="N46" s="1110"/>
      <c r="O46" s="1110"/>
      <c r="P46" s="1110"/>
      <c r="Q46" s="1110"/>
      <c r="R46" s="1111"/>
      <c r="S46" s="273"/>
      <c r="T46" s="641"/>
      <c r="U46" s="641">
        <f>F46</f>
        <v>10000000</v>
      </c>
      <c r="V46" s="273"/>
      <c r="W46" s="273"/>
    </row>
    <row r="47" spans="1:23" ht="26.25" customHeight="1">
      <c r="A47" s="396" t="s">
        <v>984</v>
      </c>
      <c r="B47" s="1183" t="s">
        <v>28</v>
      </c>
      <c r="C47" s="1184"/>
      <c r="D47" s="397"/>
      <c r="E47" s="645">
        <v>150000000</v>
      </c>
      <c r="F47" s="645">
        <f>F48</f>
        <v>150900000</v>
      </c>
      <c r="G47" s="646">
        <f t="shared" si="1"/>
        <v>900000</v>
      </c>
      <c r="H47" s="640">
        <f t="shared" si="0"/>
        <v>0.6</v>
      </c>
      <c r="I47" s="1171"/>
      <c r="J47" s="1171"/>
      <c r="K47" s="1171"/>
      <c r="L47" s="1171"/>
      <c r="M47" s="1171"/>
      <c r="N47" s="1171"/>
      <c r="O47" s="1171"/>
      <c r="P47" s="1171"/>
      <c r="Q47" s="1171"/>
      <c r="R47" s="1172"/>
      <c r="S47" s="273"/>
      <c r="T47" s="641"/>
      <c r="U47" s="641"/>
      <c r="V47" s="273"/>
      <c r="W47" s="273"/>
    </row>
    <row r="48" spans="1:23" ht="20.25" customHeight="1">
      <c r="A48" s="644"/>
      <c r="B48" s="363" t="s">
        <v>21</v>
      </c>
      <c r="C48" s="397" t="s">
        <v>6</v>
      </c>
      <c r="D48" s="397"/>
      <c r="E48" s="645">
        <v>150000000</v>
      </c>
      <c r="F48" s="645">
        <f>SUM(F49:F51)</f>
        <v>150900000</v>
      </c>
      <c r="G48" s="646">
        <f t="shared" si="1"/>
        <v>900000</v>
      </c>
      <c r="H48" s="640">
        <f t="shared" si="0"/>
        <v>0.6</v>
      </c>
      <c r="I48" s="1151"/>
      <c r="J48" s="1152"/>
      <c r="K48" s="1152"/>
      <c r="L48" s="1152"/>
      <c r="M48" s="1152"/>
      <c r="N48" s="1152"/>
      <c r="O48" s="1152"/>
      <c r="P48" s="1152"/>
      <c r="Q48" s="1152"/>
      <c r="R48" s="1153"/>
      <c r="S48" s="273"/>
      <c r="T48" s="641"/>
      <c r="U48" s="641"/>
      <c r="V48" s="273"/>
      <c r="W48" s="273"/>
    </row>
    <row r="49" spans="1:23" ht="20.25" customHeight="1">
      <c r="A49" s="648"/>
      <c r="B49" s="377"/>
      <c r="C49" s="397" t="s">
        <v>21</v>
      </c>
      <c r="D49" s="397"/>
      <c r="E49" s="645">
        <v>10000000</v>
      </c>
      <c r="F49" s="645">
        <v>10000000</v>
      </c>
      <c r="G49" s="646">
        <f t="shared" si="1"/>
        <v>0</v>
      </c>
      <c r="H49" s="662">
        <v>100</v>
      </c>
      <c r="I49" s="1171"/>
      <c r="J49" s="1171"/>
      <c r="K49" s="1171"/>
      <c r="L49" s="1171"/>
      <c r="M49" s="1171"/>
      <c r="N49" s="1171"/>
      <c r="O49" s="1171"/>
      <c r="P49" s="1171"/>
      <c r="Q49" s="1171"/>
      <c r="R49" s="1172"/>
      <c r="S49" s="273"/>
      <c r="T49" s="641"/>
      <c r="U49" s="641">
        <f>F49</f>
        <v>10000000</v>
      </c>
      <c r="V49" s="273"/>
      <c r="W49" s="273"/>
    </row>
    <row r="50" spans="1:23" ht="39.75" customHeight="1">
      <c r="A50" s="648"/>
      <c r="B50" s="379"/>
      <c r="C50" s="397" t="s">
        <v>52</v>
      </c>
      <c r="D50" s="397"/>
      <c r="E50" s="645">
        <v>20000000</v>
      </c>
      <c r="F50" s="645">
        <f>4200000+56700000</f>
        <v>60900000</v>
      </c>
      <c r="G50" s="646">
        <f t="shared" si="1"/>
        <v>40900000</v>
      </c>
      <c r="H50" s="640">
        <f t="shared" si="0"/>
        <v>204.5</v>
      </c>
      <c r="I50" s="1103" t="s">
        <v>1000</v>
      </c>
      <c r="J50" s="1104"/>
      <c r="K50" s="1104"/>
      <c r="L50" s="1104"/>
      <c r="M50" s="1104"/>
      <c r="N50" s="1104"/>
      <c r="O50" s="1104"/>
      <c r="P50" s="1104"/>
      <c r="Q50" s="1104"/>
      <c r="R50" s="1105"/>
      <c r="S50" s="273"/>
      <c r="T50" s="641"/>
      <c r="U50" s="641">
        <f>F50</f>
        <v>60900000</v>
      </c>
      <c r="V50" s="273"/>
      <c r="W50" s="273"/>
    </row>
    <row r="51" spans="1:23" ht="25.5" customHeight="1">
      <c r="A51" s="659"/>
      <c r="B51" s="381"/>
      <c r="C51" s="397" t="s">
        <v>781</v>
      </c>
      <c r="D51" s="397"/>
      <c r="E51" s="645">
        <v>120000000</v>
      </c>
      <c r="F51" s="645">
        <v>80000000</v>
      </c>
      <c r="G51" s="646">
        <f t="shared" si="1"/>
        <v>-40000000</v>
      </c>
      <c r="H51" s="640">
        <f>G51/E51*100</f>
        <v>-33.333333333333329</v>
      </c>
      <c r="I51" s="1171" t="s">
        <v>324</v>
      </c>
      <c r="J51" s="1171"/>
      <c r="K51" s="1171"/>
      <c r="L51" s="1171"/>
      <c r="M51" s="1171"/>
      <c r="N51" s="1171"/>
      <c r="O51" s="1171"/>
      <c r="P51" s="1171"/>
      <c r="Q51" s="1171"/>
      <c r="R51" s="1172"/>
      <c r="S51" s="273"/>
      <c r="T51" s="641">
        <f>F51</f>
        <v>80000000</v>
      </c>
      <c r="U51" s="641"/>
      <c r="V51" s="273"/>
      <c r="W51" s="273"/>
    </row>
    <row r="52" spans="1:23" ht="21" customHeight="1">
      <c r="A52" s="659" t="s">
        <v>23</v>
      </c>
      <c r="B52" s="1160" t="s">
        <v>28</v>
      </c>
      <c r="C52" s="1161"/>
      <c r="D52" s="652"/>
      <c r="E52" s="663">
        <v>58200000</v>
      </c>
      <c r="F52" s="663">
        <f>SUM(F53,F76,F87)</f>
        <v>56780000</v>
      </c>
      <c r="G52" s="664">
        <f t="shared" si="1"/>
        <v>-1420000</v>
      </c>
      <c r="H52" s="640">
        <f t="shared" si="0"/>
        <v>-2.4398625429553267</v>
      </c>
      <c r="I52" s="1187"/>
      <c r="J52" s="1188"/>
      <c r="K52" s="1188"/>
      <c r="L52" s="1188"/>
      <c r="M52" s="1188"/>
      <c r="N52" s="1188"/>
      <c r="O52" s="1188"/>
      <c r="P52" s="1188"/>
      <c r="Q52" s="1188"/>
      <c r="R52" s="1189"/>
      <c r="S52" s="273"/>
      <c r="T52" s="641">
        <f>F52</f>
        <v>56780000</v>
      </c>
      <c r="U52" s="641"/>
      <c r="V52" s="273"/>
      <c r="W52" s="273"/>
    </row>
    <row r="53" spans="1:23" ht="24.75" customHeight="1">
      <c r="A53" s="644"/>
      <c r="B53" s="381" t="s">
        <v>15</v>
      </c>
      <c r="C53" s="381" t="s">
        <v>6</v>
      </c>
      <c r="D53" s="381"/>
      <c r="E53" s="665">
        <v>12000000</v>
      </c>
      <c r="F53" s="665">
        <f>SUM(F54,F55,F59)</f>
        <v>12000000</v>
      </c>
      <c r="G53" s="646">
        <f t="shared" si="1"/>
        <v>0</v>
      </c>
      <c r="H53" s="640">
        <f t="shared" si="0"/>
        <v>0</v>
      </c>
      <c r="I53" s="1181"/>
      <c r="J53" s="1181"/>
      <c r="K53" s="1181"/>
      <c r="L53" s="1181"/>
      <c r="M53" s="1181"/>
      <c r="N53" s="1181"/>
      <c r="O53" s="1181"/>
      <c r="P53" s="1181"/>
      <c r="Q53" s="1181"/>
      <c r="R53" s="1182"/>
      <c r="S53" s="273"/>
      <c r="T53" s="641"/>
      <c r="U53" s="641"/>
      <c r="V53" s="273"/>
      <c r="W53" s="273"/>
    </row>
    <row r="54" spans="1:23" ht="21" customHeight="1">
      <c r="A54" s="648"/>
      <c r="B54" s="657"/>
      <c r="C54" s="363" t="s">
        <v>206</v>
      </c>
      <c r="D54" s="363"/>
      <c r="E54" s="645">
        <v>5000000</v>
      </c>
      <c r="F54" s="645">
        <v>5000000</v>
      </c>
      <c r="G54" s="646">
        <f t="shared" si="1"/>
        <v>0</v>
      </c>
      <c r="H54" s="640">
        <f t="shared" si="0"/>
        <v>0</v>
      </c>
      <c r="I54" s="1171"/>
      <c r="J54" s="1171"/>
      <c r="K54" s="1171"/>
      <c r="L54" s="1171"/>
      <c r="M54" s="1171"/>
      <c r="N54" s="1171"/>
      <c r="O54" s="1171"/>
      <c r="P54" s="1171"/>
      <c r="Q54" s="1171"/>
      <c r="R54" s="1172"/>
      <c r="S54" s="273"/>
      <c r="T54" s="641"/>
      <c r="U54" s="641"/>
      <c r="V54" s="273"/>
      <c r="W54" s="273"/>
    </row>
    <row r="55" spans="1:23" ht="25.5" customHeight="1">
      <c r="A55" s="648"/>
      <c r="B55" s="379"/>
      <c r="C55" s="363" t="s">
        <v>310</v>
      </c>
      <c r="D55" s="363" t="s">
        <v>726</v>
      </c>
      <c r="E55" s="645">
        <v>6000000</v>
      </c>
      <c r="F55" s="645">
        <f>SUM(F56:F57)</f>
        <v>6000000</v>
      </c>
      <c r="G55" s="646">
        <f t="shared" si="1"/>
        <v>0</v>
      </c>
      <c r="H55" s="640">
        <f t="shared" si="0"/>
        <v>0</v>
      </c>
      <c r="I55" s="1171"/>
      <c r="J55" s="1171"/>
      <c r="K55" s="1171"/>
      <c r="L55" s="1171"/>
      <c r="M55" s="1171"/>
      <c r="N55" s="1171"/>
      <c r="O55" s="1171"/>
      <c r="P55" s="1171"/>
      <c r="Q55" s="1171"/>
      <c r="R55" s="1172"/>
      <c r="S55" s="273"/>
      <c r="T55" s="641"/>
      <c r="U55" s="641"/>
      <c r="V55" s="273"/>
      <c r="W55" s="273"/>
    </row>
    <row r="56" spans="1:23" ht="22.5" customHeight="1">
      <c r="A56" s="648"/>
      <c r="B56" s="379"/>
      <c r="C56" s="363"/>
      <c r="D56" s="397" t="s">
        <v>985</v>
      </c>
      <c r="E56" s="645">
        <v>3000000</v>
      </c>
      <c r="F56" s="645">
        <v>3000000</v>
      </c>
      <c r="G56" s="646">
        <f t="shared" si="1"/>
        <v>0</v>
      </c>
      <c r="H56" s="640">
        <f t="shared" si="0"/>
        <v>0</v>
      </c>
      <c r="I56" s="1151"/>
      <c r="J56" s="1152"/>
      <c r="K56" s="1152"/>
      <c r="L56" s="1152"/>
      <c r="M56" s="1152"/>
      <c r="N56" s="1152"/>
      <c r="O56" s="1152"/>
      <c r="P56" s="1152"/>
      <c r="Q56" s="1152"/>
      <c r="R56" s="1153"/>
      <c r="S56" s="273"/>
      <c r="T56" s="641"/>
      <c r="U56" s="641"/>
      <c r="V56" s="273"/>
      <c r="W56" s="273"/>
    </row>
    <row r="57" spans="1:23" ht="19.5" customHeight="1">
      <c r="A57" s="648"/>
      <c r="B57" s="379"/>
      <c r="C57" s="363"/>
      <c r="D57" s="363" t="s">
        <v>727</v>
      </c>
      <c r="E57" s="645">
        <v>3000000</v>
      </c>
      <c r="F57" s="645">
        <v>3000000</v>
      </c>
      <c r="G57" s="646">
        <f t="shared" si="1"/>
        <v>0</v>
      </c>
      <c r="H57" s="640">
        <f t="shared" si="0"/>
        <v>0</v>
      </c>
      <c r="I57" s="1171"/>
      <c r="J57" s="1171"/>
      <c r="K57" s="1171"/>
      <c r="L57" s="1171"/>
      <c r="M57" s="1171"/>
      <c r="N57" s="1171"/>
      <c r="O57" s="1171"/>
      <c r="P57" s="1171"/>
      <c r="Q57" s="1171"/>
      <c r="R57" s="1172"/>
      <c r="S57" s="273"/>
      <c r="T57" s="641"/>
      <c r="U57" s="641"/>
      <c r="V57" s="273"/>
      <c r="W57" s="273"/>
    </row>
    <row r="58" spans="1:23" ht="15.75" hidden="1" customHeight="1">
      <c r="A58" s="648"/>
      <c r="B58" s="379"/>
      <c r="C58" s="363" t="s">
        <v>24</v>
      </c>
      <c r="D58" s="363"/>
      <c r="E58" s="645">
        <v>0</v>
      </c>
      <c r="F58" s="645">
        <v>0</v>
      </c>
      <c r="G58" s="646">
        <f t="shared" si="1"/>
        <v>0</v>
      </c>
      <c r="H58" s="640" t="e">
        <f t="shared" si="0"/>
        <v>#DIV/0!</v>
      </c>
      <c r="I58" s="1171"/>
      <c r="J58" s="1171"/>
      <c r="K58" s="1171"/>
      <c r="L58" s="1171"/>
      <c r="M58" s="1171"/>
      <c r="N58" s="1171"/>
      <c r="O58" s="1171"/>
      <c r="P58" s="1171"/>
      <c r="Q58" s="1171"/>
      <c r="R58" s="1172"/>
      <c r="S58" s="273"/>
      <c r="T58" s="641"/>
      <c r="U58" s="641"/>
      <c r="V58" s="273"/>
      <c r="W58" s="273"/>
    </row>
    <row r="59" spans="1:23" ht="25.5" customHeight="1">
      <c r="A59" s="674"/>
      <c r="B59" s="713"/>
      <c r="C59" s="675" t="s">
        <v>25</v>
      </c>
      <c r="D59" s="675"/>
      <c r="E59" s="678">
        <v>1000000</v>
      </c>
      <c r="F59" s="678">
        <v>1000000</v>
      </c>
      <c r="G59" s="679">
        <f t="shared" si="1"/>
        <v>0</v>
      </c>
      <c r="H59" s="680">
        <f t="shared" si="0"/>
        <v>0</v>
      </c>
      <c r="I59" s="1185"/>
      <c r="J59" s="1185"/>
      <c r="K59" s="1185"/>
      <c r="L59" s="1185"/>
      <c r="M59" s="1185"/>
      <c r="N59" s="1185"/>
      <c r="O59" s="1185"/>
      <c r="P59" s="1185"/>
      <c r="Q59" s="1185"/>
      <c r="R59" s="1186"/>
      <c r="S59" s="273"/>
      <c r="T59" s="641"/>
      <c r="U59" s="641"/>
      <c r="V59" s="273"/>
      <c r="W59" s="273"/>
    </row>
    <row r="60" spans="1:23" ht="15.75" hidden="1" customHeight="1">
      <c r="A60" s="648"/>
      <c r="B60" s="379"/>
      <c r="C60" s="381" t="s">
        <v>250</v>
      </c>
      <c r="D60" s="381"/>
      <c r="E60" s="663">
        <v>0</v>
      </c>
      <c r="F60" s="663">
        <v>0</v>
      </c>
      <c r="G60" s="664">
        <f t="shared" si="1"/>
        <v>0</v>
      </c>
      <c r="H60" s="681" t="e">
        <f t="shared" si="0"/>
        <v>#DIV/0!</v>
      </c>
      <c r="I60" s="1181"/>
      <c r="J60" s="1181"/>
      <c r="K60" s="1181"/>
      <c r="L60" s="1181"/>
      <c r="M60" s="1181"/>
      <c r="N60" s="1181"/>
      <c r="O60" s="1181"/>
      <c r="P60" s="1181"/>
      <c r="Q60" s="1181"/>
      <c r="R60" s="1182"/>
      <c r="S60" s="273"/>
      <c r="T60" s="641"/>
      <c r="U60" s="641"/>
      <c r="V60" s="273"/>
      <c r="W60" s="273"/>
    </row>
    <row r="61" spans="1:23" ht="15.75" hidden="1" customHeight="1">
      <c r="A61" s="648"/>
      <c r="B61" s="379"/>
      <c r="C61" s="363" t="s">
        <v>26</v>
      </c>
      <c r="D61" s="363"/>
      <c r="E61" s="645">
        <v>0</v>
      </c>
      <c r="F61" s="645">
        <v>0</v>
      </c>
      <c r="G61" s="646">
        <f t="shared" si="1"/>
        <v>0</v>
      </c>
      <c r="H61" s="640" t="e">
        <f t="shared" si="0"/>
        <v>#DIV/0!</v>
      </c>
      <c r="I61" s="1151"/>
      <c r="J61" s="1152"/>
      <c r="K61" s="1152"/>
      <c r="L61" s="1152"/>
      <c r="M61" s="1152"/>
      <c r="N61" s="1152"/>
      <c r="O61" s="1152"/>
      <c r="P61" s="1152"/>
      <c r="Q61" s="1152"/>
      <c r="R61" s="1153"/>
      <c r="S61" s="273"/>
      <c r="T61" s="641"/>
      <c r="U61" s="641"/>
      <c r="V61" s="273"/>
      <c r="W61" s="273"/>
    </row>
    <row r="62" spans="1:23" ht="15.75" hidden="1" customHeight="1">
      <c r="A62" s="648"/>
      <c r="B62" s="379"/>
      <c r="C62" s="363" t="s">
        <v>251</v>
      </c>
      <c r="D62" s="363"/>
      <c r="E62" s="645">
        <v>0</v>
      </c>
      <c r="F62" s="645">
        <v>0</v>
      </c>
      <c r="G62" s="646">
        <f t="shared" si="1"/>
        <v>0</v>
      </c>
      <c r="H62" s="640" t="e">
        <f t="shared" si="0"/>
        <v>#DIV/0!</v>
      </c>
      <c r="I62" s="1151"/>
      <c r="J62" s="1152"/>
      <c r="K62" s="1152"/>
      <c r="L62" s="1152"/>
      <c r="M62" s="1152"/>
      <c r="N62" s="1152"/>
      <c r="O62" s="1152"/>
      <c r="P62" s="1152"/>
      <c r="Q62" s="1152"/>
      <c r="R62" s="1153"/>
      <c r="S62" s="273"/>
      <c r="T62" s="641"/>
      <c r="U62" s="641"/>
      <c r="V62" s="273"/>
      <c r="W62" s="273"/>
    </row>
    <row r="63" spans="1:23" ht="15.75" hidden="1" customHeight="1">
      <c r="A63" s="648"/>
      <c r="B63" s="379"/>
      <c r="C63" s="363" t="s">
        <v>252</v>
      </c>
      <c r="D63" s="363"/>
      <c r="E63" s="645">
        <v>0</v>
      </c>
      <c r="F63" s="645">
        <v>0</v>
      </c>
      <c r="G63" s="646">
        <f t="shared" si="1"/>
        <v>0</v>
      </c>
      <c r="H63" s="640" t="e">
        <f t="shared" si="0"/>
        <v>#DIV/0!</v>
      </c>
      <c r="I63" s="1171"/>
      <c r="J63" s="1171"/>
      <c r="K63" s="1171"/>
      <c r="L63" s="1171"/>
      <c r="M63" s="1171"/>
      <c r="N63" s="1171"/>
      <c r="O63" s="1171"/>
      <c r="P63" s="1171"/>
      <c r="Q63" s="1171"/>
      <c r="R63" s="1172"/>
      <c r="S63" s="273"/>
      <c r="T63" s="641"/>
      <c r="U63" s="641"/>
      <c r="V63" s="273"/>
      <c r="W63" s="273"/>
    </row>
    <row r="64" spans="1:23" ht="15.75" hidden="1" customHeight="1">
      <c r="A64" s="648"/>
      <c r="B64" s="381"/>
      <c r="C64" s="363" t="s">
        <v>20</v>
      </c>
      <c r="D64" s="363"/>
      <c r="E64" s="645">
        <v>0</v>
      </c>
      <c r="F64" s="645">
        <v>0</v>
      </c>
      <c r="G64" s="646">
        <f t="shared" si="1"/>
        <v>0</v>
      </c>
      <c r="H64" s="640" t="e">
        <f t="shared" si="0"/>
        <v>#DIV/0!</v>
      </c>
      <c r="I64" s="1109"/>
      <c r="J64" s="1110"/>
      <c r="K64" s="1110"/>
      <c r="L64" s="1110"/>
      <c r="M64" s="1110"/>
      <c r="N64" s="1110"/>
      <c r="O64" s="1110"/>
      <c r="P64" s="1110"/>
      <c r="Q64" s="1110"/>
      <c r="R64" s="1111"/>
      <c r="S64" s="273"/>
      <c r="T64" s="641"/>
      <c r="U64" s="641"/>
      <c r="V64" s="273"/>
      <c r="W64" s="273"/>
    </row>
    <row r="65" spans="1:23" s="561" customFormat="1" ht="15.75" hidden="1" customHeight="1">
      <c r="A65" s="648"/>
      <c r="B65" s="397" t="s">
        <v>253</v>
      </c>
      <c r="C65" s="363" t="s">
        <v>6</v>
      </c>
      <c r="D65" s="363"/>
      <c r="E65" s="645">
        <v>0</v>
      </c>
      <c r="F65" s="645">
        <f>SUM(F66:F75)</f>
        <v>0</v>
      </c>
      <c r="G65" s="646">
        <f t="shared" si="1"/>
        <v>0</v>
      </c>
      <c r="H65" s="640" t="e">
        <f t="shared" si="0"/>
        <v>#DIV/0!</v>
      </c>
      <c r="I65" s="1154"/>
      <c r="J65" s="1155"/>
      <c r="K65" s="1155"/>
      <c r="L65" s="1155"/>
      <c r="M65" s="1155"/>
      <c r="N65" s="1155"/>
      <c r="O65" s="1155"/>
      <c r="P65" s="1155"/>
      <c r="Q65" s="1155"/>
      <c r="R65" s="1156"/>
      <c r="S65" s="667"/>
      <c r="T65" s="668"/>
      <c r="U65" s="668"/>
      <c r="V65" s="667"/>
      <c r="W65" s="667"/>
    </row>
    <row r="66" spans="1:23" s="561" customFormat="1" ht="15.75" hidden="1" customHeight="1">
      <c r="A66" s="648"/>
      <c r="B66" s="649"/>
      <c r="C66" s="363" t="s">
        <v>311</v>
      </c>
      <c r="D66" s="363"/>
      <c r="E66" s="645">
        <v>0</v>
      </c>
      <c r="F66" s="645">
        <v>0</v>
      </c>
      <c r="G66" s="646">
        <f t="shared" si="1"/>
        <v>0</v>
      </c>
      <c r="H66" s="640" t="e">
        <f t="shared" si="0"/>
        <v>#DIV/0!</v>
      </c>
      <c r="I66" s="1154"/>
      <c r="J66" s="1155"/>
      <c r="K66" s="1155"/>
      <c r="L66" s="1155"/>
      <c r="M66" s="1155"/>
      <c r="N66" s="1155"/>
      <c r="O66" s="1155"/>
      <c r="P66" s="1155"/>
      <c r="Q66" s="1155"/>
      <c r="R66" s="1156"/>
      <c r="S66" s="667"/>
      <c r="T66" s="668"/>
      <c r="U66" s="668"/>
      <c r="V66" s="667"/>
      <c r="W66" s="667"/>
    </row>
    <row r="67" spans="1:23" s="561" customFormat="1" ht="15.75" hidden="1" customHeight="1">
      <c r="A67" s="648"/>
      <c r="B67" s="649"/>
      <c r="C67" s="363" t="s">
        <v>312</v>
      </c>
      <c r="D67" s="363"/>
      <c r="E67" s="645">
        <v>0</v>
      </c>
      <c r="F67" s="645">
        <v>0</v>
      </c>
      <c r="G67" s="646">
        <f t="shared" si="1"/>
        <v>0</v>
      </c>
      <c r="H67" s="640" t="e">
        <f t="shared" si="0"/>
        <v>#DIV/0!</v>
      </c>
      <c r="I67" s="1154"/>
      <c r="J67" s="1155"/>
      <c r="K67" s="1155"/>
      <c r="L67" s="1155"/>
      <c r="M67" s="1155"/>
      <c r="N67" s="1155"/>
      <c r="O67" s="1155"/>
      <c r="P67" s="1155"/>
      <c r="Q67" s="1155"/>
      <c r="R67" s="1156"/>
      <c r="S67" s="667"/>
      <c r="T67" s="668"/>
      <c r="U67" s="668"/>
      <c r="V67" s="667"/>
      <c r="W67" s="667"/>
    </row>
    <row r="68" spans="1:23" s="561" customFormat="1" ht="15.75" hidden="1" customHeight="1">
      <c r="A68" s="648"/>
      <c r="B68" s="379"/>
      <c r="C68" s="363" t="s">
        <v>313</v>
      </c>
      <c r="D68" s="363"/>
      <c r="E68" s="645">
        <v>0</v>
      </c>
      <c r="F68" s="645">
        <v>0</v>
      </c>
      <c r="G68" s="646">
        <f t="shared" si="1"/>
        <v>0</v>
      </c>
      <c r="H68" s="640" t="e">
        <f t="shared" si="0"/>
        <v>#DIV/0!</v>
      </c>
      <c r="I68" s="1154"/>
      <c r="J68" s="1155"/>
      <c r="K68" s="1155"/>
      <c r="L68" s="1155"/>
      <c r="M68" s="1155"/>
      <c r="N68" s="1155"/>
      <c r="O68" s="1155"/>
      <c r="P68" s="1155"/>
      <c r="Q68" s="1155"/>
      <c r="R68" s="1156"/>
      <c r="S68" s="667"/>
      <c r="T68" s="668"/>
      <c r="U68" s="668"/>
      <c r="V68" s="667"/>
      <c r="W68" s="667"/>
    </row>
    <row r="69" spans="1:23" s="561" customFormat="1" ht="15.75" hidden="1" customHeight="1">
      <c r="A69" s="648"/>
      <c r="B69" s="379"/>
      <c r="C69" s="363" t="s">
        <v>314</v>
      </c>
      <c r="D69" s="669"/>
      <c r="E69" s="645">
        <v>0</v>
      </c>
      <c r="F69" s="645">
        <v>0</v>
      </c>
      <c r="G69" s="646">
        <f t="shared" si="1"/>
        <v>0</v>
      </c>
      <c r="H69" s="640" t="e">
        <f t="shared" si="0"/>
        <v>#DIV/0!</v>
      </c>
      <c r="I69" s="1154"/>
      <c r="J69" s="1155"/>
      <c r="K69" s="1155"/>
      <c r="L69" s="1155"/>
      <c r="M69" s="1155"/>
      <c r="N69" s="1155"/>
      <c r="O69" s="1155"/>
      <c r="P69" s="1155"/>
      <c r="Q69" s="1155"/>
      <c r="R69" s="1156"/>
      <c r="S69" s="667"/>
      <c r="T69" s="668"/>
      <c r="U69" s="668"/>
      <c r="V69" s="667"/>
      <c r="W69" s="667"/>
    </row>
    <row r="70" spans="1:23" s="561" customFormat="1" ht="15.75" hidden="1" customHeight="1">
      <c r="A70" s="648"/>
      <c r="B70" s="379"/>
      <c r="C70" s="363" t="s">
        <v>315</v>
      </c>
      <c r="D70" s="363"/>
      <c r="E70" s="645">
        <v>0</v>
      </c>
      <c r="F70" s="645">
        <v>0</v>
      </c>
      <c r="G70" s="646">
        <f t="shared" si="1"/>
        <v>0</v>
      </c>
      <c r="H70" s="640" t="e">
        <f t="shared" si="0"/>
        <v>#DIV/0!</v>
      </c>
      <c r="I70" s="1154"/>
      <c r="J70" s="1155"/>
      <c r="K70" s="1155"/>
      <c r="L70" s="1155"/>
      <c r="M70" s="1155"/>
      <c r="N70" s="1155"/>
      <c r="O70" s="1155"/>
      <c r="P70" s="1155"/>
      <c r="Q70" s="1155"/>
      <c r="R70" s="1156"/>
      <c r="S70" s="667"/>
      <c r="T70" s="668"/>
      <c r="U70" s="668"/>
      <c r="V70" s="667"/>
      <c r="W70" s="667"/>
    </row>
    <row r="71" spans="1:23" s="561" customFormat="1" ht="15.75" hidden="1" customHeight="1">
      <c r="A71" s="648"/>
      <c r="B71" s="379"/>
      <c r="C71" s="363" t="s">
        <v>316</v>
      </c>
      <c r="D71" s="363"/>
      <c r="E71" s="645">
        <v>0</v>
      </c>
      <c r="F71" s="645">
        <v>0</v>
      </c>
      <c r="G71" s="646">
        <f t="shared" si="1"/>
        <v>0</v>
      </c>
      <c r="H71" s="640" t="e">
        <f t="shared" si="0"/>
        <v>#DIV/0!</v>
      </c>
      <c r="I71" s="1154"/>
      <c r="J71" s="1155"/>
      <c r="K71" s="1155"/>
      <c r="L71" s="1155"/>
      <c r="M71" s="1155"/>
      <c r="N71" s="1155"/>
      <c r="O71" s="1155"/>
      <c r="P71" s="1155"/>
      <c r="Q71" s="1155"/>
      <c r="R71" s="1156"/>
      <c r="S71" s="667"/>
      <c r="T71" s="668"/>
      <c r="U71" s="668"/>
      <c r="V71" s="667"/>
      <c r="W71" s="667"/>
    </row>
    <row r="72" spans="1:23" s="561" customFormat="1" ht="15.75" hidden="1" customHeight="1">
      <c r="A72" s="648"/>
      <c r="B72" s="379"/>
      <c r="C72" s="363" t="s">
        <v>317</v>
      </c>
      <c r="D72" s="363"/>
      <c r="E72" s="645">
        <v>0</v>
      </c>
      <c r="F72" s="645">
        <v>0</v>
      </c>
      <c r="G72" s="646">
        <f t="shared" si="1"/>
        <v>0</v>
      </c>
      <c r="H72" s="640" t="e">
        <f t="shared" ref="H72:H91" si="3">G72/E72*100</f>
        <v>#DIV/0!</v>
      </c>
      <c r="I72" s="1154"/>
      <c r="J72" s="1155"/>
      <c r="K72" s="1155"/>
      <c r="L72" s="1155"/>
      <c r="M72" s="1155"/>
      <c r="N72" s="1155"/>
      <c r="O72" s="1155"/>
      <c r="P72" s="1155"/>
      <c r="Q72" s="1155"/>
      <c r="R72" s="1156"/>
      <c r="S72" s="667"/>
      <c r="T72" s="668"/>
      <c r="U72" s="668"/>
      <c r="V72" s="667"/>
      <c r="W72" s="667"/>
    </row>
    <row r="73" spans="1:23" s="561" customFormat="1" ht="15.75" hidden="1" customHeight="1">
      <c r="A73" s="648"/>
      <c r="B73" s="379"/>
      <c r="C73" s="363" t="s">
        <v>318</v>
      </c>
      <c r="D73" s="363"/>
      <c r="E73" s="645">
        <v>0</v>
      </c>
      <c r="F73" s="645">
        <v>0</v>
      </c>
      <c r="G73" s="646">
        <f t="shared" ref="G73:G97" si="4">F73-E73</f>
        <v>0</v>
      </c>
      <c r="H73" s="640" t="e">
        <f t="shared" si="3"/>
        <v>#DIV/0!</v>
      </c>
      <c r="I73" s="1154"/>
      <c r="J73" s="1155"/>
      <c r="K73" s="1155"/>
      <c r="L73" s="1155"/>
      <c r="M73" s="1155"/>
      <c r="N73" s="1155"/>
      <c r="O73" s="1155"/>
      <c r="P73" s="1155"/>
      <c r="Q73" s="1155"/>
      <c r="R73" s="1156"/>
      <c r="S73" s="667"/>
      <c r="T73" s="668"/>
      <c r="U73" s="668"/>
      <c r="V73" s="667"/>
      <c r="W73" s="667"/>
    </row>
    <row r="74" spans="1:23" s="561" customFormat="1" ht="15.75" hidden="1" customHeight="1">
      <c r="A74" s="648"/>
      <c r="B74" s="379"/>
      <c r="C74" s="363" t="s">
        <v>142</v>
      </c>
      <c r="D74" s="670"/>
      <c r="E74" s="645">
        <v>0</v>
      </c>
      <c r="F74" s="645">
        <v>0</v>
      </c>
      <c r="G74" s="646">
        <f t="shared" si="4"/>
        <v>0</v>
      </c>
      <c r="H74" s="640" t="e">
        <f t="shared" si="3"/>
        <v>#DIV/0!</v>
      </c>
      <c r="I74" s="1154"/>
      <c r="J74" s="1155"/>
      <c r="K74" s="1155"/>
      <c r="L74" s="1155"/>
      <c r="M74" s="1155"/>
      <c r="N74" s="1155"/>
      <c r="O74" s="1155"/>
      <c r="P74" s="1155"/>
      <c r="Q74" s="1155"/>
      <c r="R74" s="1156"/>
      <c r="S74" s="667"/>
      <c r="T74" s="668"/>
      <c r="U74" s="668"/>
      <c r="V74" s="667"/>
      <c r="W74" s="667"/>
    </row>
    <row r="75" spans="1:23" s="561" customFormat="1" ht="1.5" hidden="1" customHeight="1">
      <c r="A75" s="648"/>
      <c r="B75" s="379"/>
      <c r="C75" s="397" t="s">
        <v>143</v>
      </c>
      <c r="D75" s="397"/>
      <c r="E75" s="645">
        <v>0</v>
      </c>
      <c r="F75" s="645">
        <v>0</v>
      </c>
      <c r="G75" s="646">
        <f t="shared" si="4"/>
        <v>0</v>
      </c>
      <c r="H75" s="640" t="e">
        <f t="shared" si="3"/>
        <v>#DIV/0!</v>
      </c>
      <c r="I75" s="1154"/>
      <c r="J75" s="1155"/>
      <c r="K75" s="1155"/>
      <c r="L75" s="1155"/>
      <c r="M75" s="1155"/>
      <c r="N75" s="1155"/>
      <c r="O75" s="1155"/>
      <c r="P75" s="1155"/>
      <c r="Q75" s="1155"/>
      <c r="R75" s="1156"/>
      <c r="S75" s="667"/>
      <c r="T75" s="668"/>
      <c r="U75" s="668"/>
      <c r="V75" s="667"/>
      <c r="W75" s="667"/>
    </row>
    <row r="76" spans="1:23" s="561" customFormat="1" ht="24.75" customHeight="1">
      <c r="A76" s="648"/>
      <c r="B76" s="363" t="s">
        <v>23</v>
      </c>
      <c r="C76" s="397" t="s">
        <v>6</v>
      </c>
      <c r="D76" s="397"/>
      <c r="E76" s="645">
        <v>44700000</v>
      </c>
      <c r="F76" s="645">
        <f>SUM(F78:F82)</f>
        <v>43280000</v>
      </c>
      <c r="G76" s="646">
        <f>F76-E76</f>
        <v>-1420000</v>
      </c>
      <c r="H76" s="640">
        <f t="shared" si="3"/>
        <v>-3.1767337807606264</v>
      </c>
      <c r="I76" s="1151"/>
      <c r="J76" s="1152"/>
      <c r="K76" s="1152"/>
      <c r="L76" s="1152"/>
      <c r="M76" s="1152"/>
      <c r="N76" s="1152"/>
      <c r="O76" s="1152"/>
      <c r="P76" s="1152"/>
      <c r="Q76" s="1152"/>
      <c r="R76" s="1153"/>
      <c r="S76" s="667"/>
      <c r="T76" s="668"/>
      <c r="U76" s="668"/>
      <c r="V76" s="667"/>
      <c r="W76" s="667"/>
    </row>
    <row r="77" spans="1:23" s="561" customFormat="1" ht="24.75" hidden="1" customHeight="1">
      <c r="A77" s="648"/>
      <c r="B77" s="937"/>
      <c r="C77" s="397" t="s">
        <v>319</v>
      </c>
      <c r="D77" s="397"/>
      <c r="E77" s="645">
        <v>0</v>
      </c>
      <c r="F77" s="645">
        <v>0</v>
      </c>
      <c r="G77" s="646">
        <f t="shared" si="4"/>
        <v>0</v>
      </c>
      <c r="H77" s="640" t="e">
        <f t="shared" si="3"/>
        <v>#DIV/0!</v>
      </c>
      <c r="I77" s="1173"/>
      <c r="J77" s="1174"/>
      <c r="K77" s="1174"/>
      <c r="L77" s="1174"/>
      <c r="M77" s="1174"/>
      <c r="N77" s="1174"/>
      <c r="O77" s="1174"/>
      <c r="P77" s="1174"/>
      <c r="Q77" s="1174"/>
      <c r="R77" s="1175"/>
      <c r="S77" s="667"/>
      <c r="T77" s="668"/>
      <c r="U77" s="668"/>
      <c r="V77" s="667"/>
      <c r="W77" s="667"/>
    </row>
    <row r="78" spans="1:23" s="561" customFormat="1" ht="24.75" customHeight="1">
      <c r="A78" s="648"/>
      <c r="B78" s="379"/>
      <c r="C78" s="397" t="s">
        <v>320</v>
      </c>
      <c r="D78" s="397"/>
      <c r="E78" s="645">
        <v>44000000</v>
      </c>
      <c r="F78" s="645">
        <v>40000000</v>
      </c>
      <c r="G78" s="646">
        <f t="shared" si="4"/>
        <v>-4000000</v>
      </c>
      <c r="H78" s="640">
        <f t="shared" si="3"/>
        <v>-9.0909090909090917</v>
      </c>
      <c r="I78" s="1176" t="s">
        <v>402</v>
      </c>
      <c r="J78" s="1177"/>
      <c r="K78" s="1177"/>
      <c r="L78" s="1177"/>
      <c r="M78" s="1177"/>
      <c r="N78" s="1177"/>
      <c r="O78" s="1177"/>
      <c r="P78" s="1177"/>
      <c r="Q78" s="1177"/>
      <c r="R78" s="1178"/>
      <c r="S78" s="667"/>
      <c r="T78" s="668"/>
      <c r="U78" s="668"/>
      <c r="V78" s="667"/>
      <c r="W78" s="667"/>
    </row>
    <row r="79" spans="1:23" s="561" customFormat="1" ht="24.75" hidden="1" customHeight="1">
      <c r="A79" s="648"/>
      <c r="B79" s="379"/>
      <c r="C79" s="397" t="s">
        <v>321</v>
      </c>
      <c r="D79" s="938"/>
      <c r="E79" s="645">
        <v>0</v>
      </c>
      <c r="F79" s="645">
        <v>0</v>
      </c>
      <c r="G79" s="646">
        <f t="shared" si="4"/>
        <v>0</v>
      </c>
      <c r="H79" s="640" t="e">
        <f t="shared" si="3"/>
        <v>#DIV/0!</v>
      </c>
      <c r="I79" s="1154" t="s">
        <v>325</v>
      </c>
      <c r="J79" s="1155"/>
      <c r="K79" s="1155"/>
      <c r="L79" s="1155"/>
      <c r="M79" s="1155"/>
      <c r="N79" s="1155"/>
      <c r="O79" s="1155"/>
      <c r="P79" s="1155"/>
      <c r="Q79" s="1155"/>
      <c r="R79" s="1156"/>
      <c r="S79" s="667"/>
      <c r="T79" s="668"/>
      <c r="U79" s="668"/>
      <c r="V79" s="667"/>
      <c r="W79" s="667"/>
    </row>
    <row r="80" spans="1:23" s="561" customFormat="1" ht="24.75" hidden="1" customHeight="1">
      <c r="A80" s="648"/>
      <c r="B80" s="379"/>
      <c r="C80" s="397" t="s">
        <v>779</v>
      </c>
      <c r="D80" s="397"/>
      <c r="E80" s="645">
        <v>0</v>
      </c>
      <c r="F80" s="645">
        <v>0</v>
      </c>
      <c r="G80" s="646">
        <f t="shared" si="4"/>
        <v>0</v>
      </c>
      <c r="H80" s="640" t="e">
        <f t="shared" si="3"/>
        <v>#DIV/0!</v>
      </c>
      <c r="I80" s="1154"/>
      <c r="J80" s="1155"/>
      <c r="K80" s="1155"/>
      <c r="L80" s="1155"/>
      <c r="M80" s="1155"/>
      <c r="N80" s="1155"/>
      <c r="O80" s="1155"/>
      <c r="P80" s="1155"/>
      <c r="Q80" s="1155"/>
      <c r="R80" s="1156"/>
      <c r="S80" s="667"/>
      <c r="T80" s="668"/>
      <c r="U80" s="668"/>
      <c r="V80" s="667"/>
      <c r="W80" s="667"/>
    </row>
    <row r="81" spans="1:23" s="561" customFormat="1" ht="33" customHeight="1">
      <c r="A81" s="648"/>
      <c r="B81" s="381"/>
      <c r="C81" s="397" t="s">
        <v>778</v>
      </c>
      <c r="D81" s="397"/>
      <c r="E81" s="645">
        <v>700000</v>
      </c>
      <c r="F81" s="645">
        <v>3280000</v>
      </c>
      <c r="G81" s="646">
        <f t="shared" si="4"/>
        <v>2580000</v>
      </c>
      <c r="H81" s="640">
        <f t="shared" si="3"/>
        <v>368.57142857142856</v>
      </c>
      <c r="I81" s="1067" t="s">
        <v>1001</v>
      </c>
      <c r="J81" s="1158"/>
      <c r="K81" s="1158"/>
      <c r="L81" s="1158"/>
      <c r="M81" s="1158"/>
      <c r="N81" s="1158"/>
      <c r="O81" s="1158"/>
      <c r="P81" s="1158"/>
      <c r="Q81" s="1158"/>
      <c r="R81" s="1159"/>
      <c r="S81" s="671"/>
      <c r="T81" s="672"/>
      <c r="U81" s="672"/>
      <c r="V81" s="667"/>
      <c r="W81" s="667"/>
    </row>
    <row r="82" spans="1:23" s="561" customFormat="1" ht="24.75" hidden="1" customHeight="1">
      <c r="A82" s="648"/>
      <c r="B82" s="379"/>
      <c r="C82" s="397"/>
      <c r="D82" s="397"/>
      <c r="E82" s="645"/>
      <c r="F82" s="645"/>
      <c r="G82" s="646">
        <f t="shared" si="4"/>
        <v>0</v>
      </c>
      <c r="H82" s="640" t="e">
        <f t="shared" si="3"/>
        <v>#DIV/0!</v>
      </c>
      <c r="I82" s="1022"/>
      <c r="J82" s="1023"/>
      <c r="K82" s="1023"/>
      <c r="L82" s="1023"/>
      <c r="M82" s="1023"/>
      <c r="N82" s="1023"/>
      <c r="O82" s="1023"/>
      <c r="P82" s="1023"/>
      <c r="Q82" s="1023"/>
      <c r="R82" s="1024"/>
      <c r="S82" s="671"/>
      <c r="T82" s="672"/>
      <c r="U82" s="672"/>
      <c r="V82" s="667"/>
      <c r="W82" s="667"/>
    </row>
    <row r="83" spans="1:23" s="561" customFormat="1" ht="24.75" hidden="1" customHeight="1">
      <c r="A83" s="648"/>
      <c r="B83" s="379"/>
      <c r="C83" s="397" t="s">
        <v>862</v>
      </c>
      <c r="D83" s="397" t="s">
        <v>6</v>
      </c>
      <c r="E83" s="645">
        <v>0</v>
      </c>
      <c r="F83" s="645">
        <f>F84</f>
        <v>0</v>
      </c>
      <c r="G83" s="646">
        <f t="shared" si="4"/>
        <v>0</v>
      </c>
      <c r="H83" s="640" t="e">
        <f t="shared" si="3"/>
        <v>#DIV/0!</v>
      </c>
      <c r="I83" s="1173"/>
      <c r="J83" s="1174"/>
      <c r="K83" s="1174"/>
      <c r="L83" s="1174"/>
      <c r="M83" s="1174"/>
      <c r="N83" s="1174"/>
      <c r="O83" s="1174"/>
      <c r="P83" s="1174"/>
      <c r="Q83" s="1174"/>
      <c r="R83" s="1175"/>
      <c r="S83" s="671"/>
      <c r="T83" s="672"/>
      <c r="U83" s="672"/>
      <c r="V83" s="667"/>
      <c r="W83" s="667"/>
    </row>
    <row r="84" spans="1:23" s="561" customFormat="1" ht="24.75" hidden="1" customHeight="1">
      <c r="A84" s="648"/>
      <c r="B84" s="379"/>
      <c r="C84" s="397"/>
      <c r="D84" s="397" t="s">
        <v>862</v>
      </c>
      <c r="E84" s="645">
        <v>0</v>
      </c>
      <c r="F84" s="645">
        <v>0</v>
      </c>
      <c r="G84" s="646">
        <f t="shared" si="4"/>
        <v>0</v>
      </c>
      <c r="H84" s="640" t="e">
        <f t="shared" si="3"/>
        <v>#DIV/0!</v>
      </c>
      <c r="I84" s="1173" t="s">
        <v>891</v>
      </c>
      <c r="J84" s="1174"/>
      <c r="K84" s="1174"/>
      <c r="L84" s="1174"/>
      <c r="M84" s="1174"/>
      <c r="N84" s="1174"/>
      <c r="O84" s="1174"/>
      <c r="P84" s="1174"/>
      <c r="Q84" s="1174"/>
      <c r="R84" s="1175"/>
      <c r="S84" s="671"/>
      <c r="T84" s="672">
        <f>F84</f>
        <v>0</v>
      </c>
      <c r="U84" s="672"/>
      <c r="V84" s="667"/>
      <c r="W84" s="667"/>
    </row>
    <row r="85" spans="1:23" s="561" customFormat="1" ht="24.75" hidden="1" customHeight="1">
      <c r="A85" s="648"/>
      <c r="B85" s="379"/>
      <c r="C85" s="397" t="s">
        <v>351</v>
      </c>
      <c r="D85" s="397" t="s">
        <v>6</v>
      </c>
      <c r="E85" s="645">
        <v>0</v>
      </c>
      <c r="F85" s="645">
        <f>F86</f>
        <v>0</v>
      </c>
      <c r="G85" s="646">
        <f t="shared" si="4"/>
        <v>0</v>
      </c>
      <c r="H85" s="640" t="e">
        <f t="shared" si="3"/>
        <v>#DIV/0!</v>
      </c>
      <c r="I85" s="1173"/>
      <c r="J85" s="1174"/>
      <c r="K85" s="1174"/>
      <c r="L85" s="1174"/>
      <c r="M85" s="1174"/>
      <c r="N85" s="1174"/>
      <c r="O85" s="1174"/>
      <c r="P85" s="1174"/>
      <c r="Q85" s="1174"/>
      <c r="R85" s="1175"/>
      <c r="S85" s="671"/>
      <c r="T85" s="672">
        <f>F85</f>
        <v>0</v>
      </c>
      <c r="U85" s="672"/>
      <c r="V85" s="667"/>
      <c r="W85" s="667"/>
    </row>
    <row r="86" spans="1:23" s="561" customFormat="1" ht="24.75" hidden="1" customHeight="1">
      <c r="A86" s="648"/>
      <c r="B86" s="381"/>
      <c r="C86" s="397"/>
      <c r="D86" s="397" t="s">
        <v>351</v>
      </c>
      <c r="E86" s="645">
        <v>0</v>
      </c>
      <c r="F86" s="645">
        <v>0</v>
      </c>
      <c r="G86" s="646">
        <f t="shared" si="4"/>
        <v>0</v>
      </c>
      <c r="H86" s="640" t="e">
        <f>G86/E86*100</f>
        <v>#DIV/0!</v>
      </c>
      <c r="I86" s="1157"/>
      <c r="J86" s="1155"/>
      <c r="K86" s="1155"/>
      <c r="L86" s="1155"/>
      <c r="M86" s="1155"/>
      <c r="N86" s="1155"/>
      <c r="O86" s="1155"/>
      <c r="P86" s="1155"/>
      <c r="Q86" s="1155"/>
      <c r="R86" s="1156"/>
      <c r="S86" s="671"/>
      <c r="T86" s="672"/>
      <c r="U86" s="672"/>
      <c r="V86" s="667"/>
      <c r="W86" s="667"/>
    </row>
    <row r="87" spans="1:23" s="561" customFormat="1" ht="24.75" customHeight="1">
      <c r="A87" s="648"/>
      <c r="B87" s="652" t="s">
        <v>782</v>
      </c>
      <c r="C87" s="397" t="s">
        <v>6</v>
      </c>
      <c r="D87" s="397"/>
      <c r="E87" s="645">
        <v>1500000</v>
      </c>
      <c r="F87" s="645">
        <f>F88</f>
        <v>1500000</v>
      </c>
      <c r="G87" s="646">
        <f t="shared" si="4"/>
        <v>0</v>
      </c>
      <c r="H87" s="640">
        <f t="shared" si="3"/>
        <v>0</v>
      </c>
      <c r="I87" s="1109"/>
      <c r="J87" s="1110"/>
      <c r="K87" s="1110"/>
      <c r="L87" s="1110"/>
      <c r="M87" s="1110"/>
      <c r="N87" s="1110"/>
      <c r="O87" s="1110"/>
      <c r="P87" s="1110"/>
      <c r="Q87" s="1110"/>
      <c r="R87" s="1111"/>
      <c r="S87" s="667"/>
      <c r="T87" s="668"/>
      <c r="U87" s="668"/>
      <c r="V87" s="667"/>
      <c r="W87" s="667"/>
    </row>
    <row r="88" spans="1:23" s="561" customFormat="1" ht="24.75" customHeight="1">
      <c r="A88" s="659"/>
      <c r="B88" s="363"/>
      <c r="C88" s="397" t="s">
        <v>982</v>
      </c>
      <c r="D88" s="397"/>
      <c r="E88" s="645">
        <v>1500000</v>
      </c>
      <c r="F88" s="645">
        <v>1500000</v>
      </c>
      <c r="G88" s="646">
        <f t="shared" si="4"/>
        <v>0</v>
      </c>
      <c r="H88" s="640">
        <f t="shared" si="3"/>
        <v>0</v>
      </c>
      <c r="I88" s="1109"/>
      <c r="J88" s="1110"/>
      <c r="K88" s="1110"/>
      <c r="L88" s="1110"/>
      <c r="M88" s="1110"/>
      <c r="N88" s="1110"/>
      <c r="O88" s="1110"/>
      <c r="P88" s="1110"/>
      <c r="Q88" s="1110"/>
      <c r="R88" s="1111"/>
      <c r="S88" s="667"/>
      <c r="T88" s="668"/>
      <c r="U88" s="668"/>
      <c r="V88" s="667"/>
      <c r="W88" s="667"/>
    </row>
    <row r="89" spans="1:23" s="561" customFormat="1" ht="24.75" customHeight="1">
      <c r="A89" s="939" t="s">
        <v>983</v>
      </c>
      <c r="B89" s="1160" t="s">
        <v>161</v>
      </c>
      <c r="C89" s="1161"/>
      <c r="D89" s="652"/>
      <c r="E89" s="663">
        <v>1897000</v>
      </c>
      <c r="F89" s="663">
        <f>F90</f>
        <v>800000</v>
      </c>
      <c r="G89" s="664">
        <f t="shared" si="4"/>
        <v>-1097000</v>
      </c>
      <c r="H89" s="640">
        <f t="shared" si="3"/>
        <v>-57.82814971006853</v>
      </c>
      <c r="I89" s="1162"/>
      <c r="J89" s="1163"/>
      <c r="K89" s="1163"/>
      <c r="L89" s="1163"/>
      <c r="M89" s="1163"/>
      <c r="N89" s="1163"/>
      <c r="O89" s="1163"/>
      <c r="P89" s="1163"/>
      <c r="Q89" s="1163"/>
      <c r="R89" s="1164"/>
      <c r="S89" s="667"/>
      <c r="T89" s="668"/>
      <c r="U89" s="641">
        <f>F89</f>
        <v>800000</v>
      </c>
      <c r="V89" s="667"/>
      <c r="W89" s="667"/>
    </row>
    <row r="90" spans="1:23" s="561" customFormat="1" ht="24.75" customHeight="1">
      <c r="A90" s="644"/>
      <c r="B90" s="363" t="s">
        <v>148</v>
      </c>
      <c r="C90" s="397" t="s">
        <v>6</v>
      </c>
      <c r="D90" s="397"/>
      <c r="E90" s="645">
        <v>1897000</v>
      </c>
      <c r="F90" s="645">
        <f>F91</f>
        <v>800000</v>
      </c>
      <c r="G90" s="646">
        <f t="shared" si="4"/>
        <v>-1097000</v>
      </c>
      <c r="H90" s="640">
        <f t="shared" si="3"/>
        <v>-57.82814971006853</v>
      </c>
      <c r="I90" s="1109"/>
      <c r="J90" s="1110"/>
      <c r="K90" s="1110"/>
      <c r="L90" s="1110"/>
      <c r="M90" s="1110"/>
      <c r="N90" s="1110"/>
      <c r="O90" s="1110"/>
      <c r="P90" s="1110"/>
      <c r="Q90" s="1110"/>
      <c r="R90" s="1111"/>
      <c r="S90" s="667"/>
      <c r="T90" s="668"/>
      <c r="U90" s="668"/>
      <c r="V90" s="667"/>
      <c r="W90" s="667"/>
    </row>
    <row r="91" spans="1:23" s="561" customFormat="1" ht="24.75" customHeight="1">
      <c r="A91" s="674"/>
      <c r="B91" s="675"/>
      <c r="C91" s="676" t="s">
        <v>148</v>
      </c>
      <c r="D91" s="676"/>
      <c r="E91" s="678">
        <v>1897000</v>
      </c>
      <c r="F91" s="678">
        <v>800000</v>
      </c>
      <c r="G91" s="679">
        <f t="shared" si="4"/>
        <v>-1097000</v>
      </c>
      <c r="H91" s="680">
        <f t="shared" si="3"/>
        <v>-57.82814971006853</v>
      </c>
      <c r="I91" s="1168" t="s">
        <v>998</v>
      </c>
      <c r="J91" s="1169"/>
      <c r="K91" s="1169"/>
      <c r="L91" s="1169"/>
      <c r="M91" s="1169"/>
      <c r="N91" s="1169"/>
      <c r="O91" s="1169"/>
      <c r="P91" s="1169"/>
      <c r="Q91" s="1169"/>
      <c r="R91" s="1170"/>
      <c r="S91" s="667"/>
      <c r="T91" s="668"/>
      <c r="U91" s="668"/>
      <c r="V91" s="667"/>
      <c r="W91" s="667"/>
    </row>
    <row r="92" spans="1:23" ht="23.25" hidden="1" customHeight="1">
      <c r="A92" s="659" t="s">
        <v>7</v>
      </c>
      <c r="B92" s="1160" t="s">
        <v>28</v>
      </c>
      <c r="C92" s="1161"/>
      <c r="D92" s="652"/>
      <c r="E92" s="663">
        <v>0</v>
      </c>
      <c r="F92" s="663">
        <f>F93</f>
        <v>0</v>
      </c>
      <c r="G92" s="664">
        <f t="shared" si="4"/>
        <v>0</v>
      </c>
      <c r="H92" s="681" t="e">
        <f t="shared" ref="H92:H97" si="5">G92/E92*100</f>
        <v>#DIV/0!</v>
      </c>
      <c r="I92" s="1181"/>
      <c r="J92" s="1181"/>
      <c r="K92" s="1181"/>
      <c r="L92" s="1181"/>
      <c r="M92" s="1181"/>
      <c r="N92" s="1181"/>
      <c r="O92" s="1181"/>
      <c r="P92" s="1181"/>
      <c r="Q92" s="1181"/>
      <c r="R92" s="1182"/>
      <c r="S92" s="273"/>
      <c r="T92" s="641"/>
      <c r="U92" s="641">
        <f>F92</f>
        <v>0</v>
      </c>
      <c r="V92" s="273"/>
      <c r="W92" s="273"/>
    </row>
    <row r="93" spans="1:23" ht="23.25" hidden="1" customHeight="1">
      <c r="A93" s="644"/>
      <c r="B93" s="940" t="s">
        <v>783</v>
      </c>
      <c r="C93" s="1131" t="s">
        <v>28</v>
      </c>
      <c r="D93" s="1132"/>
      <c r="E93" s="682">
        <v>0</v>
      </c>
      <c r="F93" s="682">
        <f>F94</f>
        <v>0</v>
      </c>
      <c r="G93" s="646">
        <f t="shared" si="4"/>
        <v>0</v>
      </c>
      <c r="H93" s="640" t="e">
        <f t="shared" si="5"/>
        <v>#DIV/0!</v>
      </c>
      <c r="I93" s="1171"/>
      <c r="J93" s="1171"/>
      <c r="K93" s="1171"/>
      <c r="L93" s="1171"/>
      <c r="M93" s="1171"/>
      <c r="N93" s="1171"/>
      <c r="O93" s="1171"/>
      <c r="P93" s="1171"/>
      <c r="Q93" s="1171"/>
      <c r="R93" s="1172"/>
      <c r="S93" s="273"/>
      <c r="T93" s="641"/>
      <c r="U93" s="641"/>
      <c r="V93" s="273"/>
      <c r="W93" s="273"/>
    </row>
    <row r="94" spans="1:23" ht="23.25" hidden="1" customHeight="1">
      <c r="A94" s="648"/>
      <c r="B94" s="384"/>
      <c r="C94" s="397" t="s">
        <v>762</v>
      </c>
      <c r="D94" s="363" t="s">
        <v>6</v>
      </c>
      <c r="E94" s="682">
        <v>0</v>
      </c>
      <c r="F94" s="682">
        <f>F95</f>
        <v>0</v>
      </c>
      <c r="G94" s="646">
        <f t="shared" si="4"/>
        <v>0</v>
      </c>
      <c r="H94" s="640" t="e">
        <f t="shared" si="5"/>
        <v>#DIV/0!</v>
      </c>
      <c r="I94" s="1179"/>
      <c r="J94" s="1179"/>
      <c r="K94" s="1179"/>
      <c r="L94" s="1179"/>
      <c r="M94" s="1179"/>
      <c r="N94" s="1179"/>
      <c r="O94" s="1179"/>
      <c r="P94" s="1179"/>
      <c r="Q94" s="1179"/>
      <c r="R94" s="1180"/>
      <c r="S94" s="273"/>
      <c r="T94" s="641"/>
      <c r="U94" s="641"/>
      <c r="V94" s="273"/>
      <c r="W94" s="273"/>
    </row>
    <row r="95" spans="1:23" ht="29.25" hidden="1" customHeight="1">
      <c r="A95" s="637" t="s">
        <v>27</v>
      </c>
      <c r="B95" s="388"/>
      <c r="C95" s="381"/>
      <c r="D95" s="363" t="s">
        <v>763</v>
      </c>
      <c r="E95" s="645">
        <v>0</v>
      </c>
      <c r="F95" s="645">
        <v>0</v>
      </c>
      <c r="G95" s="646">
        <f t="shared" si="4"/>
        <v>0</v>
      </c>
      <c r="H95" s="640" t="e">
        <f t="shared" si="5"/>
        <v>#DIV/0!</v>
      </c>
      <c r="I95" s="1165"/>
      <c r="J95" s="1166"/>
      <c r="K95" s="1166"/>
      <c r="L95" s="1166"/>
      <c r="M95" s="1166"/>
      <c r="N95" s="1166"/>
      <c r="O95" s="1166"/>
      <c r="P95" s="1166"/>
      <c r="Q95" s="1166"/>
      <c r="R95" s="1167"/>
      <c r="S95" s="273"/>
      <c r="T95" s="641"/>
      <c r="U95" s="641">
        <f>F95</f>
        <v>0</v>
      </c>
      <c r="V95" s="273"/>
      <c r="W95" s="273"/>
    </row>
    <row r="96" spans="1:23" ht="24" hidden="1" customHeight="1">
      <c r="A96" s="644"/>
      <c r="B96" s="381" t="s">
        <v>27</v>
      </c>
      <c r="C96" s="652" t="s">
        <v>6</v>
      </c>
      <c r="D96" s="652"/>
      <c r="E96" s="663">
        <v>0</v>
      </c>
      <c r="F96" s="663">
        <f>F97</f>
        <v>0</v>
      </c>
      <c r="G96" s="664">
        <f t="shared" si="4"/>
        <v>0</v>
      </c>
      <c r="H96" s="640" t="e">
        <f t="shared" si="5"/>
        <v>#DIV/0!</v>
      </c>
      <c r="I96" s="1162"/>
      <c r="J96" s="1163"/>
      <c r="K96" s="1163"/>
      <c r="L96" s="1163"/>
      <c r="M96" s="1163"/>
      <c r="N96" s="1163"/>
      <c r="O96" s="1163"/>
      <c r="P96" s="1163"/>
      <c r="Q96" s="1163"/>
      <c r="R96" s="1164"/>
      <c r="S96" s="273"/>
      <c r="T96" s="641"/>
      <c r="U96" s="641"/>
      <c r="V96" s="273"/>
      <c r="W96" s="273"/>
    </row>
    <row r="97" spans="1:23" ht="24" hidden="1" customHeight="1">
      <c r="A97" s="674"/>
      <c r="B97" s="675"/>
      <c r="C97" s="676" t="s">
        <v>27</v>
      </c>
      <c r="D97" s="676"/>
      <c r="E97" s="678">
        <v>0</v>
      </c>
      <c r="F97" s="678">
        <v>0</v>
      </c>
      <c r="G97" s="679">
        <f t="shared" si="4"/>
        <v>0</v>
      </c>
      <c r="H97" s="640" t="e">
        <f t="shared" si="5"/>
        <v>#DIV/0!</v>
      </c>
      <c r="I97" s="1168"/>
      <c r="J97" s="1169"/>
      <c r="K97" s="1169"/>
      <c r="L97" s="1169"/>
      <c r="M97" s="1169"/>
      <c r="N97" s="1169"/>
      <c r="O97" s="1169"/>
      <c r="P97" s="1169"/>
      <c r="Q97" s="1169"/>
      <c r="R97" s="1170"/>
      <c r="S97" s="273"/>
      <c r="T97" s="641"/>
      <c r="U97" s="641"/>
      <c r="V97" s="273"/>
      <c r="W97" s="273"/>
    </row>
    <row r="98" spans="1:23">
      <c r="A98" s="516"/>
      <c r="B98" s="516"/>
      <c r="C98" s="516"/>
      <c r="D98" s="516"/>
    </row>
  </sheetData>
  <mergeCells count="108">
    <mergeCell ref="C93:D93"/>
    <mergeCell ref="I42:R42"/>
    <mergeCell ref="I41:R41"/>
    <mergeCell ref="I56:R56"/>
    <mergeCell ref="I1:R1"/>
    <mergeCell ref="I2:R2"/>
    <mergeCell ref="I3:R3"/>
    <mergeCell ref="I9:R9"/>
    <mergeCell ref="I4:R5"/>
    <mergeCell ref="I14:R14"/>
    <mergeCell ref="I17:R17"/>
    <mergeCell ref="I27:R27"/>
    <mergeCell ref="I26:R26"/>
    <mergeCell ref="I31:R31"/>
    <mergeCell ref="I29:R29"/>
    <mergeCell ref="I20:R20"/>
    <mergeCell ref="I30:R30"/>
    <mergeCell ref="I44:R44"/>
    <mergeCell ref="I16:R16"/>
    <mergeCell ref="I18:R18"/>
    <mergeCell ref="I22:R22"/>
    <mergeCell ref="I32:R32"/>
    <mergeCell ref="I37:R37"/>
    <mergeCell ref="I35:R35"/>
    <mergeCell ref="I39:R39"/>
    <mergeCell ref="I63:R63"/>
    <mergeCell ref="I59:R59"/>
    <mergeCell ref="I61:R61"/>
    <mergeCell ref="I55:R55"/>
    <mergeCell ref="I62:R62"/>
    <mergeCell ref="I54:R54"/>
    <mergeCell ref="I52:R52"/>
    <mergeCell ref="I58:R58"/>
    <mergeCell ref="I60:R60"/>
    <mergeCell ref="I53:R53"/>
    <mergeCell ref="I38:R38"/>
    <mergeCell ref="A2:C2"/>
    <mergeCell ref="E4:E5"/>
    <mergeCell ref="A4:D4"/>
    <mergeCell ref="I13:R13"/>
    <mergeCell ref="I10:R10"/>
    <mergeCell ref="I11:R11"/>
    <mergeCell ref="I12:R12"/>
    <mergeCell ref="A6:C6"/>
    <mergeCell ref="B7:C7"/>
    <mergeCell ref="I8:R8"/>
    <mergeCell ref="I6:R6"/>
    <mergeCell ref="I7:R7"/>
    <mergeCell ref="F4:F5"/>
    <mergeCell ref="G4:H4"/>
    <mergeCell ref="I97:R97"/>
    <mergeCell ref="I94:R94"/>
    <mergeCell ref="B92:C92"/>
    <mergeCell ref="I15:R15"/>
    <mergeCell ref="I87:R87"/>
    <mergeCell ref="I92:R92"/>
    <mergeCell ref="I93:R93"/>
    <mergeCell ref="I90:R90"/>
    <mergeCell ref="I65:R65"/>
    <mergeCell ref="I66:R66"/>
    <mergeCell ref="I71:R71"/>
    <mergeCell ref="I70:R70"/>
    <mergeCell ref="I83:R83"/>
    <mergeCell ref="I84:R84"/>
    <mergeCell ref="I80:R80"/>
    <mergeCell ref="B47:C47"/>
    <mergeCell ref="B52:C52"/>
    <mergeCell ref="I48:R48"/>
    <mergeCell ref="I57:R57"/>
    <mergeCell ref="I50:R50"/>
    <mergeCell ref="I25:R25"/>
    <mergeCell ref="I21:R21"/>
    <mergeCell ref="I24:R24"/>
    <mergeCell ref="I34:R34"/>
    <mergeCell ref="B89:C89"/>
    <mergeCell ref="I96:R96"/>
    <mergeCell ref="I95:R95"/>
    <mergeCell ref="I91:R91"/>
    <mergeCell ref="I19:R19"/>
    <mergeCell ref="I23:R23"/>
    <mergeCell ref="I40:R40"/>
    <mergeCell ref="I46:R46"/>
    <mergeCell ref="I51:R51"/>
    <mergeCell ref="I28:R28"/>
    <mergeCell ref="I49:R49"/>
    <mergeCell ref="I45:R45"/>
    <mergeCell ref="I43:R43"/>
    <mergeCell ref="I47:R47"/>
    <mergeCell ref="I64:R64"/>
    <mergeCell ref="I68:R68"/>
    <mergeCell ref="I85:R85"/>
    <mergeCell ref="I89:R89"/>
    <mergeCell ref="I76:R76"/>
    <mergeCell ref="I79:R79"/>
    <mergeCell ref="I77:R77"/>
    <mergeCell ref="I78:R78"/>
    <mergeCell ref="I33:R33"/>
    <mergeCell ref="I36:R36"/>
    <mergeCell ref="I75:R75"/>
    <mergeCell ref="I73:R73"/>
    <mergeCell ref="I74:R74"/>
    <mergeCell ref="I72:R72"/>
    <mergeCell ref="I69:R69"/>
    <mergeCell ref="I67:R67"/>
    <mergeCell ref="I88:R88"/>
    <mergeCell ref="I86:R86"/>
    <mergeCell ref="I81:R81"/>
    <mergeCell ref="I82:R82"/>
  </mergeCells>
  <phoneticPr fontId="2" type="noConversion"/>
  <pageMargins left="0.13" right="0.13" top="0.53" bottom="0.13" header="0.39" footer="0.13"/>
  <pageSetup paperSize="9" scale="87" orientation="portrait" horizontalDpi="4294967293" verticalDpi="4294967293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workbookViewId="0">
      <selection activeCell="C10" sqref="C10"/>
    </sheetView>
  </sheetViews>
  <sheetFormatPr defaultRowHeight="13.5"/>
  <cols>
    <col min="1" max="1" width="12.6640625" style="271" customWidth="1"/>
    <col min="2" max="2" width="16.6640625" style="564" customWidth="1"/>
    <col min="3" max="3" width="16.6640625" style="271" customWidth="1"/>
    <col min="4" max="4" width="19.109375" style="271" customWidth="1"/>
    <col min="5" max="5" width="16.6640625" style="271" customWidth="1"/>
    <col min="6" max="6" width="12.21875" style="271" hidden="1" customWidth="1"/>
    <col min="7" max="16384" width="8.88671875" style="271"/>
  </cols>
  <sheetData>
    <row r="1" spans="1:6" ht="52.5" customHeight="1">
      <c r="A1" s="1197" t="s">
        <v>695</v>
      </c>
      <c r="B1" s="1198"/>
      <c r="C1" s="1198"/>
      <c r="D1" s="1198"/>
      <c r="E1" s="1198"/>
    </row>
    <row r="2" spans="1:6" ht="25.5" customHeight="1" thickBot="1">
      <c r="A2" s="563"/>
      <c r="C2" s="565"/>
      <c r="D2" s="565"/>
      <c r="E2" s="566" t="s">
        <v>0</v>
      </c>
    </row>
    <row r="3" spans="1:6" ht="30" customHeight="1" thickBot="1">
      <c r="A3" s="567" t="s">
        <v>88</v>
      </c>
      <c r="B3" s="1190" t="s">
        <v>202</v>
      </c>
      <c r="C3" s="1191"/>
      <c r="D3" s="1190" t="s">
        <v>338</v>
      </c>
      <c r="E3" s="1192"/>
    </row>
    <row r="4" spans="1:6" ht="30" customHeight="1">
      <c r="A4" s="567" t="s">
        <v>261</v>
      </c>
      <c r="B4" s="1193">
        <f>C5+C18+C26</f>
        <v>3230720000</v>
      </c>
      <c r="C4" s="1194"/>
      <c r="D4" s="1195">
        <f>E5+E18+E26</f>
        <v>3230720000</v>
      </c>
      <c r="E4" s="1196"/>
      <c r="F4" s="350">
        <f>B4-'나.세입세출(총괄)'!E6</f>
        <v>0</v>
      </c>
    </row>
    <row r="5" spans="1:6" ht="25.5" customHeight="1">
      <c r="A5" s="568" t="s">
        <v>103</v>
      </c>
      <c r="B5" s="569" t="s">
        <v>6</v>
      </c>
      <c r="C5" s="570">
        <f>SUM(C6:C11)</f>
        <v>2623220000</v>
      </c>
      <c r="D5" s="571" t="s">
        <v>223</v>
      </c>
      <c r="E5" s="572">
        <f>SUM(E6:E17)</f>
        <v>2623220000</v>
      </c>
    </row>
    <row r="6" spans="1:6" ht="25.5" customHeight="1">
      <c r="A6" s="573"/>
      <c r="B6" s="574" t="s">
        <v>748</v>
      </c>
      <c r="C6" s="575">
        <f>다.국도시세입!F15</f>
        <v>1672616764</v>
      </c>
      <c r="D6" s="576" t="s">
        <v>96</v>
      </c>
      <c r="E6" s="577">
        <f>라.국도비세출!F8+'라-1.도시(군)세출'!F7</f>
        <v>2309031180</v>
      </c>
    </row>
    <row r="7" spans="1:6" ht="25.5" customHeight="1">
      <c r="A7" s="578"/>
      <c r="B7" s="579" t="str">
        <f>다.국도시세입!C20</f>
        <v>시도보조금</v>
      </c>
      <c r="C7" s="575">
        <f>다.국도시세입!F20+'다-1.도시(군)세입'!F13</f>
        <v>918707056</v>
      </c>
      <c r="D7" s="576" t="s">
        <v>881</v>
      </c>
      <c r="E7" s="577">
        <f>라.국도비세출!F22+라.국도비세출!F26+라.국도비세출!F36+라.국도비세출!F47</f>
        <v>91670000</v>
      </c>
    </row>
    <row r="8" spans="1:6" ht="25.5" customHeight="1">
      <c r="A8" s="578"/>
      <c r="B8" s="579" t="str">
        <f>다.국도시세입!B25</f>
        <v>기타보조금</v>
      </c>
      <c r="C8" s="575">
        <f>다.국도시세입!F25</f>
        <v>0</v>
      </c>
      <c r="D8" s="580" t="s">
        <v>97</v>
      </c>
      <c r="E8" s="577">
        <f>라.국도비세출!F43</f>
        <v>134362640</v>
      </c>
    </row>
    <row r="9" spans="1:6" ht="25.5" customHeight="1">
      <c r="A9" s="578"/>
      <c r="B9" s="579" t="str">
        <f>다.국도시세입!B33</f>
        <v>이월금</v>
      </c>
      <c r="C9" s="575">
        <f>다.국도시세입!F33+'다-1.도시(군)세입'!F22</f>
        <v>31287000</v>
      </c>
      <c r="D9" s="580" t="s">
        <v>98</v>
      </c>
      <c r="E9" s="577">
        <f>라.국도비세출!F50+'라-1.도시(군)세출'!F20</f>
        <v>56260000</v>
      </c>
    </row>
    <row r="10" spans="1:6" ht="25.5" customHeight="1">
      <c r="A10" s="578"/>
      <c r="B10" s="579" t="str">
        <f>다.국도시세입!B37</f>
        <v>잡수입</v>
      </c>
      <c r="C10" s="575">
        <f>다.국도시세입!F37+'다-1.도시(군)세입'!F28</f>
        <v>609180</v>
      </c>
      <c r="D10" s="581" t="s">
        <v>100</v>
      </c>
      <c r="E10" s="577">
        <f>라.국도비세출!F57+'라-1.도시(군)세출'!F36</f>
        <v>609180</v>
      </c>
    </row>
    <row r="11" spans="1:6" ht="24" customHeight="1">
      <c r="A11" s="582"/>
      <c r="B11" s="583" t="s">
        <v>934</v>
      </c>
      <c r="C11" s="584">
        <v>0</v>
      </c>
      <c r="D11" s="585" t="s">
        <v>150</v>
      </c>
      <c r="E11" s="586">
        <f>라.국도비세출!F59+'다-1.도시(군)세입'!F23</f>
        <v>31287000</v>
      </c>
    </row>
    <row r="12" spans="1:6" ht="20.25" hidden="1" customHeight="1">
      <c r="A12" s="578"/>
      <c r="B12" s="587"/>
      <c r="C12" s="588"/>
      <c r="D12" s="589"/>
      <c r="E12" s="590"/>
    </row>
    <row r="13" spans="1:6" ht="20.25" hidden="1" customHeight="1">
      <c r="A13" s="578"/>
      <c r="B13" s="591"/>
      <c r="C13" s="592"/>
      <c r="D13" s="593"/>
      <c r="E13" s="594"/>
    </row>
    <row r="14" spans="1:6" ht="20.25" hidden="1" customHeight="1">
      <c r="A14" s="578"/>
      <c r="B14" s="591"/>
      <c r="C14" s="592"/>
      <c r="D14" s="593"/>
      <c r="E14" s="594"/>
    </row>
    <row r="15" spans="1:6" ht="20.25" hidden="1" customHeight="1">
      <c r="A15" s="578"/>
      <c r="B15" s="591"/>
      <c r="C15" s="592"/>
      <c r="D15" s="593"/>
      <c r="E15" s="594"/>
    </row>
    <row r="16" spans="1:6" ht="20.25" hidden="1" customHeight="1">
      <c r="A16" s="578"/>
      <c r="B16" s="591"/>
      <c r="C16" s="592"/>
      <c r="D16" s="581"/>
      <c r="E16" s="594"/>
    </row>
    <row r="17" spans="1:5" ht="20.25" hidden="1" customHeight="1">
      <c r="A17" s="578"/>
      <c r="B17" s="591"/>
      <c r="C17" s="592"/>
      <c r="D17" s="585"/>
      <c r="E17" s="586"/>
    </row>
    <row r="18" spans="1:5" ht="25.5" customHeight="1">
      <c r="A18" s="568" t="s">
        <v>104</v>
      </c>
      <c r="B18" s="569" t="s">
        <v>223</v>
      </c>
      <c r="C18" s="570">
        <f>SUM(C19:C23)</f>
        <v>226800000</v>
      </c>
      <c r="D18" s="571" t="s">
        <v>223</v>
      </c>
      <c r="E18" s="572">
        <f>SUM(E19:E25)</f>
        <v>226800000</v>
      </c>
    </row>
    <row r="19" spans="1:5" ht="25.5" customHeight="1">
      <c r="A19" s="573"/>
      <c r="B19" s="574" t="s">
        <v>102</v>
      </c>
      <c r="C19" s="588">
        <f>'다-2.자부담세입'!E8</f>
        <v>134400000</v>
      </c>
      <c r="D19" s="576" t="s">
        <v>96</v>
      </c>
      <c r="E19" s="577">
        <f>'라-2.자부담세출'!F8</f>
        <v>33511060</v>
      </c>
    </row>
    <row r="20" spans="1:5" ht="33" customHeight="1">
      <c r="A20" s="578"/>
      <c r="B20" s="574" t="s">
        <v>337</v>
      </c>
      <c r="C20" s="588">
        <f>'다-2.자부담세입'!E10</f>
        <v>0</v>
      </c>
      <c r="D20" s="595" t="s">
        <v>776</v>
      </c>
      <c r="E20" s="577">
        <f>'라-2.자부담세출'!F33+'라-2.자부담세출'!F38</f>
        <v>55288940</v>
      </c>
    </row>
    <row r="21" spans="1:5" ht="25.5" customHeight="1">
      <c r="A21" s="578"/>
      <c r="B21" s="579" t="s">
        <v>209</v>
      </c>
      <c r="C21" s="575">
        <f>'다-2.자부담세입'!E23</f>
        <v>40000000</v>
      </c>
      <c r="D21" s="580" t="s">
        <v>101</v>
      </c>
      <c r="E21" s="577">
        <f>'라-2.자부담세출'!F45</f>
        <v>5000000</v>
      </c>
    </row>
    <row r="22" spans="1:5" ht="25.5" customHeight="1">
      <c r="A22" s="578"/>
      <c r="B22" s="579" t="s">
        <v>696</v>
      </c>
      <c r="C22" s="575">
        <f>'다-2.자부담세입'!E26</f>
        <v>6300000</v>
      </c>
      <c r="D22" s="580" t="s">
        <v>98</v>
      </c>
      <c r="E22" s="577">
        <f>'라-2.자부담세출'!F50</f>
        <v>133000000</v>
      </c>
    </row>
    <row r="23" spans="1:5" ht="25.5" customHeight="1">
      <c r="A23" s="578"/>
      <c r="B23" s="579" t="s">
        <v>92</v>
      </c>
      <c r="C23" s="575">
        <f>'다-2.자부담세입'!E30</f>
        <v>46100000</v>
      </c>
      <c r="D23" s="580" t="s">
        <v>100</v>
      </c>
      <c r="E23" s="577">
        <f>'라-2.자부담세출'!F85</f>
        <v>0</v>
      </c>
    </row>
    <row r="24" spans="1:5" ht="20.25" hidden="1" customHeight="1">
      <c r="A24" s="578"/>
      <c r="B24" s="579"/>
      <c r="C24" s="575">
        <v>0</v>
      </c>
      <c r="D24" s="580"/>
      <c r="E24" s="577">
        <f>'라-2.자부담세출'!F87</f>
        <v>0</v>
      </c>
    </row>
    <row r="25" spans="1:5" ht="20.25" hidden="1" customHeight="1">
      <c r="A25" s="578"/>
      <c r="B25" s="579"/>
      <c r="C25" s="575">
        <v>0</v>
      </c>
      <c r="D25" s="585"/>
      <c r="E25" s="586">
        <f>'라-2.자부담세출'!F90</f>
        <v>0</v>
      </c>
    </row>
    <row r="26" spans="1:5" ht="25.5" customHeight="1">
      <c r="A26" s="568" t="s">
        <v>328</v>
      </c>
      <c r="B26" s="569" t="s">
        <v>223</v>
      </c>
      <c r="C26" s="570">
        <f>SUM(C27:C31)</f>
        <v>380700000</v>
      </c>
      <c r="D26" s="571" t="s">
        <v>223</v>
      </c>
      <c r="E26" s="572">
        <f>SUM(E27:E34)</f>
        <v>380700000</v>
      </c>
    </row>
    <row r="27" spans="1:5" ht="25.5" customHeight="1">
      <c r="A27" s="573"/>
      <c r="B27" s="574" t="s">
        <v>697</v>
      </c>
      <c r="C27" s="588">
        <f>'다-3.후원금세입'!E18</f>
        <v>14200000</v>
      </c>
      <c r="D27" s="596" t="s">
        <v>777</v>
      </c>
      <c r="E27" s="577">
        <f>'라-3.후원금세출'!F8</f>
        <v>50705030</v>
      </c>
    </row>
    <row r="28" spans="1:5" ht="31.5" customHeight="1">
      <c r="A28" s="578"/>
      <c r="B28" s="579" t="s">
        <v>698</v>
      </c>
      <c r="C28" s="575">
        <f>'다-3.후원금세입'!E19</f>
        <v>350000000</v>
      </c>
      <c r="D28" s="595" t="s">
        <v>776</v>
      </c>
      <c r="E28" s="577">
        <f>'라-3.후원금세출'!F33+'라-3.후원금세출'!F38</f>
        <v>121514970</v>
      </c>
    </row>
    <row r="29" spans="1:5" ht="25.5" customHeight="1">
      <c r="A29" s="578"/>
      <c r="B29" s="597" t="s">
        <v>934</v>
      </c>
      <c r="C29" s="598">
        <v>0</v>
      </c>
      <c r="D29" s="580" t="s">
        <v>101</v>
      </c>
      <c r="E29" s="577">
        <f>'라-3.후원금세출'!F47</f>
        <v>150900000</v>
      </c>
    </row>
    <row r="30" spans="1:5" ht="25.5" customHeight="1">
      <c r="A30" s="578"/>
      <c r="B30" s="579" t="s">
        <v>699</v>
      </c>
      <c r="C30" s="575">
        <f>'다-3.후원금세입'!E30</f>
        <v>15900000</v>
      </c>
      <c r="D30" s="580" t="s">
        <v>98</v>
      </c>
      <c r="E30" s="577">
        <f>'라-3.후원금세출'!F52</f>
        <v>56780000</v>
      </c>
    </row>
    <row r="31" spans="1:5" ht="25.5" customHeight="1" thickBot="1">
      <c r="A31" s="599"/>
      <c r="B31" s="600" t="s">
        <v>92</v>
      </c>
      <c r="C31" s="601">
        <f>'다-3.후원금세입'!E33</f>
        <v>600000</v>
      </c>
      <c r="D31" s="602" t="s">
        <v>914</v>
      </c>
      <c r="E31" s="603">
        <f>'라-3.후원금세출'!F89</f>
        <v>800000</v>
      </c>
    </row>
    <row r="32" spans="1:5" ht="25.5" hidden="1" customHeight="1" thickBot="1">
      <c r="A32" s="599"/>
      <c r="B32" s="604"/>
      <c r="C32" s="605"/>
      <c r="D32" s="606"/>
      <c r="E32" s="607"/>
    </row>
    <row r="33" spans="1:5" ht="20.25" hidden="1" customHeight="1">
      <c r="A33" s="608"/>
      <c r="B33" s="591"/>
      <c r="C33" s="592"/>
      <c r="D33" s="609"/>
      <c r="E33" s="610"/>
    </row>
    <row r="34" spans="1:5" ht="20.25" hidden="1" customHeight="1">
      <c r="A34" s="611"/>
      <c r="B34" s="612"/>
      <c r="C34" s="613"/>
      <c r="D34" s="585"/>
      <c r="E34" s="614"/>
    </row>
    <row r="67" spans="5:5" hidden="1">
      <c r="E67" s="271">
        <v>0</v>
      </c>
    </row>
    <row r="73" spans="5:5" hidden="1"/>
  </sheetData>
  <mergeCells count="5">
    <mergeCell ref="B3:C3"/>
    <mergeCell ref="D3:E3"/>
    <mergeCell ref="B4:C4"/>
    <mergeCell ref="D4:E4"/>
    <mergeCell ref="A1:E1"/>
  </mergeCells>
  <phoneticPr fontId="2" type="noConversion"/>
  <pageMargins left="0.52" right="0.31" top="0.98425196850393704" bottom="0.98425196850393704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workbookViewId="0">
      <selection activeCell="N27" sqref="N27"/>
    </sheetView>
  </sheetViews>
  <sheetFormatPr defaultRowHeight="13.5"/>
  <cols>
    <col min="1" max="1" width="8.33203125" style="557" customWidth="1"/>
    <col min="2" max="3" width="9.77734375" style="557" customWidth="1"/>
    <col min="4" max="4" width="12.77734375" style="409" customWidth="1"/>
    <col min="5" max="5" width="12.77734375" style="561" customWidth="1"/>
    <col min="6" max="6" width="11.77734375" style="561" customWidth="1"/>
    <col min="7" max="7" width="21.88671875" style="561" customWidth="1"/>
    <col min="8" max="8" width="7.88671875" style="557" customWidth="1"/>
    <col min="9" max="10" width="9.77734375" style="557" customWidth="1"/>
    <col min="11" max="11" width="12.77734375" style="409" customWidth="1"/>
    <col min="12" max="12" width="12.77734375" style="561" customWidth="1"/>
    <col min="13" max="13" width="12.77734375" style="562" customWidth="1"/>
    <col min="14" max="14" width="26.88671875" style="561" customWidth="1"/>
    <col min="15" max="15" width="0" style="271" hidden="1" customWidth="1"/>
    <col min="16" max="16" width="9.88671875" style="271" hidden="1" customWidth="1"/>
    <col min="17" max="17" width="8.88671875" style="271"/>
    <col min="18" max="18" width="9.109375" style="271" bestFit="1" customWidth="1"/>
    <col min="19" max="16384" width="8.88671875" style="271"/>
  </cols>
  <sheetData>
    <row r="1" spans="1:16" s="496" customFormat="1" ht="22.5" customHeight="1">
      <c r="A1" s="999" t="s">
        <v>700</v>
      </c>
      <c r="B1" s="1000"/>
      <c r="C1" s="1000"/>
      <c r="D1" s="492"/>
      <c r="E1" s="493"/>
      <c r="F1" s="494"/>
      <c r="G1" s="494"/>
      <c r="H1" s="988"/>
      <c r="I1" s="989"/>
      <c r="J1" s="989"/>
      <c r="K1" s="492"/>
      <c r="L1" s="494"/>
      <c r="M1" s="495"/>
      <c r="N1" s="494"/>
    </row>
    <row r="2" spans="1:16" s="496" customFormat="1" ht="18" customHeight="1" thickBot="1">
      <c r="A2" s="497"/>
      <c r="B2" s="497"/>
      <c r="C2" s="497"/>
      <c r="D2" s="492"/>
      <c r="E2" s="494"/>
      <c r="F2" s="494"/>
      <c r="G2" s="494"/>
      <c r="H2" s="497"/>
      <c r="I2" s="497"/>
      <c r="J2" s="497"/>
      <c r="K2" s="492"/>
      <c r="L2" s="494"/>
      <c r="M2" s="495"/>
      <c r="N2" s="498" t="s">
        <v>226</v>
      </c>
    </row>
    <row r="3" spans="1:16" s="499" customFormat="1" ht="23.25" customHeight="1">
      <c r="A3" s="1202" t="s">
        <v>704</v>
      </c>
      <c r="B3" s="1203"/>
      <c r="C3" s="1203"/>
      <c r="D3" s="1203"/>
      <c r="E3" s="1203"/>
      <c r="F3" s="1203"/>
      <c r="G3" s="1204"/>
      <c r="H3" s="1205" t="s">
        <v>242</v>
      </c>
      <c r="I3" s="1203"/>
      <c r="J3" s="1203"/>
      <c r="K3" s="1203"/>
      <c r="L3" s="1203"/>
      <c r="M3" s="1203"/>
      <c r="N3" s="1204"/>
    </row>
    <row r="4" spans="1:16" s="500" customFormat="1" ht="19.5" customHeight="1">
      <c r="A4" s="1206" t="s">
        <v>4</v>
      </c>
      <c r="B4" s="991"/>
      <c r="C4" s="991"/>
      <c r="D4" s="1207" t="str">
        <f>'라-3.후원금세출'!E4:E5</f>
        <v>전년도예산
( A )</v>
      </c>
      <c r="E4" s="1207" t="str">
        <f>'라-2.자부담세출'!F4:F5</f>
        <v>2020년예산
( B )</v>
      </c>
      <c r="F4" s="1199" t="s">
        <v>701</v>
      </c>
      <c r="G4" s="1209" t="s">
        <v>702</v>
      </c>
      <c r="H4" s="990" t="s">
        <v>4</v>
      </c>
      <c r="I4" s="991"/>
      <c r="J4" s="991"/>
      <c r="K4" s="997" t="str">
        <f>D4</f>
        <v>전년도예산
( A )</v>
      </c>
      <c r="L4" s="995" t="str">
        <f>E4</f>
        <v>2020년예산
( B )</v>
      </c>
      <c r="M4" s="1199" t="s">
        <v>703</v>
      </c>
      <c r="N4" s="1211" t="s">
        <v>702</v>
      </c>
    </row>
    <row r="5" spans="1:16" s="500" customFormat="1" ht="19.5" customHeight="1" thickBot="1">
      <c r="A5" s="501" t="s">
        <v>1</v>
      </c>
      <c r="B5" s="502" t="s">
        <v>2</v>
      </c>
      <c r="C5" s="502" t="s">
        <v>3</v>
      </c>
      <c r="D5" s="1208"/>
      <c r="E5" s="1208"/>
      <c r="F5" s="1200"/>
      <c r="G5" s="1210"/>
      <c r="H5" s="503" t="s">
        <v>1</v>
      </c>
      <c r="I5" s="502" t="s">
        <v>2</v>
      </c>
      <c r="J5" s="502" t="s">
        <v>3</v>
      </c>
      <c r="K5" s="998"/>
      <c r="L5" s="996"/>
      <c r="M5" s="1200"/>
      <c r="N5" s="1212"/>
    </row>
    <row r="6" spans="1:16" s="509" customFormat="1" ht="24.75" customHeight="1" thickTop="1">
      <c r="A6" s="1201" t="s">
        <v>33</v>
      </c>
      <c r="B6" s="1005"/>
      <c r="C6" s="1005"/>
      <c r="D6" s="504">
        <v>3319000000</v>
      </c>
      <c r="E6" s="504">
        <f>E7+E13+E16+E36+E39+E43+E10+E30</f>
        <v>3230720000</v>
      </c>
      <c r="F6" s="505">
        <f>E6-D6</f>
        <v>-88280000</v>
      </c>
      <c r="G6" s="506"/>
      <c r="H6" s="1004" t="s">
        <v>33</v>
      </c>
      <c r="I6" s="1005"/>
      <c r="J6" s="1005"/>
      <c r="K6" s="507">
        <v>3319000000</v>
      </c>
      <c r="L6" s="507">
        <f>SUM(L7,L24,L29,L44,L47,L50)</f>
        <v>3230720000</v>
      </c>
      <c r="M6" s="945">
        <f>L6-K6</f>
        <v>-88280000</v>
      </c>
      <c r="N6" s="508"/>
      <c r="P6" s="510">
        <f>L6-E6</f>
        <v>0</v>
      </c>
    </row>
    <row r="7" spans="1:16" s="516" customFormat="1" ht="24.75" customHeight="1">
      <c r="A7" s="973" t="s">
        <v>1021</v>
      </c>
      <c r="B7" s="914" t="s">
        <v>28</v>
      </c>
      <c r="C7" s="914"/>
      <c r="D7" s="511">
        <v>134400000</v>
      </c>
      <c r="E7" s="511">
        <f t="shared" ref="E7:E8" si="0">E8</f>
        <v>134400000</v>
      </c>
      <c r="F7" s="512">
        <f>E7-D7</f>
        <v>0</v>
      </c>
      <c r="G7" s="513"/>
      <c r="H7" s="514" t="s">
        <v>9</v>
      </c>
      <c r="I7" s="1003" t="s">
        <v>28</v>
      </c>
      <c r="J7" s="1003"/>
      <c r="K7" s="511">
        <v>2640134180</v>
      </c>
      <c r="L7" s="511">
        <f>SUM(L8,L15,L17)</f>
        <v>2628751180</v>
      </c>
      <c r="M7" s="942">
        <f>L7-K7</f>
        <v>-11383000</v>
      </c>
      <c r="N7" s="515"/>
    </row>
    <row r="8" spans="1:16" s="516" customFormat="1" ht="24.75" customHeight="1">
      <c r="A8" s="924"/>
      <c r="B8" s="914" t="s">
        <v>222</v>
      </c>
      <c r="C8" s="914" t="s">
        <v>6</v>
      </c>
      <c r="D8" s="511">
        <v>134400000</v>
      </c>
      <c r="E8" s="511">
        <f t="shared" si="0"/>
        <v>134400000</v>
      </c>
      <c r="F8" s="512">
        <f t="shared" ref="F8:F47" si="1">E8-D8</f>
        <v>0</v>
      </c>
      <c r="G8" s="513"/>
      <c r="H8" s="517"/>
      <c r="I8" s="914" t="s">
        <v>50</v>
      </c>
      <c r="J8" s="914" t="s">
        <v>6</v>
      </c>
      <c r="K8" s="511">
        <v>2393247270</v>
      </c>
      <c r="L8" s="511">
        <f>SUM(L9:L14)</f>
        <v>2393247270</v>
      </c>
      <c r="M8" s="942">
        <f>L8-K8</f>
        <v>0</v>
      </c>
      <c r="N8" s="518"/>
    </row>
    <row r="9" spans="1:16" s="516" customFormat="1" ht="24.75" customHeight="1">
      <c r="A9" s="925"/>
      <c r="B9" s="914"/>
      <c r="C9" s="914" t="s">
        <v>222</v>
      </c>
      <c r="D9" s="511">
        <v>134400000</v>
      </c>
      <c r="E9" s="511">
        <f>'다-2.자부담세입'!E9</f>
        <v>134400000</v>
      </c>
      <c r="F9" s="512">
        <f t="shared" si="1"/>
        <v>0</v>
      </c>
      <c r="G9" s="519"/>
      <c r="H9" s="520"/>
      <c r="I9" s="915"/>
      <c r="J9" s="914" t="s">
        <v>10</v>
      </c>
      <c r="K9" s="511">
        <v>1479465000</v>
      </c>
      <c r="L9" s="511">
        <f>라.국도비세출!F9+'라-3.후원금세출'!F9+'라-1.도시(군)세출'!F8</f>
        <v>1479465000</v>
      </c>
      <c r="M9" s="942">
        <f t="shared" ref="M9:M15" si="2">L9-K9</f>
        <v>0</v>
      </c>
      <c r="N9" s="515"/>
    </row>
    <row r="10" spans="1:16" s="516" customFormat="1" ht="24.75" customHeight="1">
      <c r="A10" s="923" t="s">
        <v>329</v>
      </c>
      <c r="B10" s="914" t="s">
        <v>162</v>
      </c>
      <c r="C10" s="914"/>
      <c r="D10" s="511">
        <v>0</v>
      </c>
      <c r="E10" s="511">
        <f t="shared" ref="E10:E11" si="3">E11</f>
        <v>0</v>
      </c>
      <c r="F10" s="512">
        <f t="shared" si="1"/>
        <v>0</v>
      </c>
      <c r="G10" s="513"/>
      <c r="H10" s="520"/>
      <c r="I10" s="916"/>
      <c r="J10" s="917" t="s">
        <v>13</v>
      </c>
      <c r="K10" s="523">
        <v>509510880</v>
      </c>
      <c r="L10" s="523">
        <f>라.국도비세출!F10+'라-3.후원금세출'!F12+'라-2.자부담세출'!F12+'라-1.도시(군)세출'!F9</f>
        <v>509510880</v>
      </c>
      <c r="M10" s="946">
        <f>L10-K10</f>
        <v>0</v>
      </c>
      <c r="N10" s="518"/>
    </row>
    <row r="11" spans="1:16" s="516" customFormat="1" ht="26.25" customHeight="1">
      <c r="A11" s="924"/>
      <c r="B11" s="914" t="s">
        <v>329</v>
      </c>
      <c r="C11" s="914" t="s">
        <v>6</v>
      </c>
      <c r="D11" s="511">
        <v>0</v>
      </c>
      <c r="E11" s="511">
        <f t="shared" si="3"/>
        <v>0</v>
      </c>
      <c r="F11" s="512">
        <f t="shared" si="1"/>
        <v>0</v>
      </c>
      <c r="G11" s="513"/>
      <c r="H11" s="524"/>
      <c r="I11" s="918"/>
      <c r="J11" s="914" t="s">
        <v>741</v>
      </c>
      <c r="K11" s="511">
        <v>164978100</v>
      </c>
      <c r="L11" s="511">
        <f>라.국도비세출!F15+'라-3.후원금세출'!F26+'라-2.자부담세출'!F26+'라-1.도시(군)세출'!F14</f>
        <v>164978100</v>
      </c>
      <c r="M11" s="942">
        <f>L11-K11</f>
        <v>0</v>
      </c>
      <c r="N11" s="515"/>
    </row>
    <row r="12" spans="1:16" s="516" customFormat="1" ht="26.25" customHeight="1">
      <c r="A12" s="925"/>
      <c r="B12" s="914"/>
      <c r="C12" s="914" t="s">
        <v>330</v>
      </c>
      <c r="D12" s="511">
        <v>0</v>
      </c>
      <c r="E12" s="511">
        <f>'다-2.자부담세입'!E12</f>
        <v>0</v>
      </c>
      <c r="F12" s="512">
        <f t="shared" si="1"/>
        <v>0</v>
      </c>
      <c r="G12" s="513"/>
      <c r="H12" s="520"/>
      <c r="I12" s="916"/>
      <c r="J12" s="914" t="s">
        <v>742</v>
      </c>
      <c r="K12" s="511">
        <v>187693290</v>
      </c>
      <c r="L12" s="511">
        <f>라.국도비세출!F16+'라-3.후원금세출'!F27+'라-2.자부담세출'!F27+'라-1.도시(군)세출'!F15</f>
        <v>187693290</v>
      </c>
      <c r="M12" s="942">
        <f>L12-K12</f>
        <v>0</v>
      </c>
      <c r="N12" s="518"/>
    </row>
    <row r="13" spans="1:16" s="516" customFormat="1" ht="26.25" customHeight="1">
      <c r="A13" s="923" t="s">
        <v>44</v>
      </c>
      <c r="B13" s="914" t="s">
        <v>162</v>
      </c>
      <c r="C13" s="914"/>
      <c r="D13" s="511">
        <v>0</v>
      </c>
      <c r="E13" s="511">
        <f t="shared" ref="E13:E14" si="4">E14</f>
        <v>0</v>
      </c>
      <c r="F13" s="512">
        <f t="shared" si="1"/>
        <v>0</v>
      </c>
      <c r="G13" s="513"/>
      <c r="H13" s="520"/>
      <c r="I13" s="916"/>
      <c r="J13" s="914" t="s">
        <v>243</v>
      </c>
      <c r="K13" s="511">
        <v>9600000</v>
      </c>
      <c r="L13" s="511">
        <f>'라-3.후원금세출'!F11</f>
        <v>9600000</v>
      </c>
      <c r="M13" s="942">
        <f>L13-K13</f>
        <v>0</v>
      </c>
      <c r="N13" s="518"/>
    </row>
    <row r="14" spans="1:16" s="516" customFormat="1" ht="26.25" customHeight="1">
      <c r="A14" s="924"/>
      <c r="B14" s="914" t="s">
        <v>93</v>
      </c>
      <c r="C14" s="914" t="s">
        <v>6</v>
      </c>
      <c r="D14" s="511">
        <v>0</v>
      </c>
      <c r="E14" s="511">
        <f t="shared" si="4"/>
        <v>0</v>
      </c>
      <c r="F14" s="512">
        <f t="shared" si="1"/>
        <v>0</v>
      </c>
      <c r="G14" s="513"/>
      <c r="H14" s="520"/>
      <c r="I14" s="919"/>
      <c r="J14" s="914" t="s">
        <v>109</v>
      </c>
      <c r="K14" s="511">
        <v>42000000</v>
      </c>
      <c r="L14" s="511">
        <f>라.국도비세출!F21+'라-2.자부담세출'!F32+'라-3.후원금세출'!F32</f>
        <v>42000000</v>
      </c>
      <c r="M14" s="942">
        <f t="shared" si="2"/>
        <v>0</v>
      </c>
      <c r="N14" s="527"/>
    </row>
    <row r="15" spans="1:16" s="516" customFormat="1" ht="26.25" customHeight="1">
      <c r="A15" s="925"/>
      <c r="B15" s="914"/>
      <c r="C15" s="914" t="s">
        <v>93</v>
      </c>
      <c r="D15" s="511">
        <v>0</v>
      </c>
      <c r="E15" s="511">
        <f>다.국도시세입!F12+'다-2.자부담세입'!E15</f>
        <v>0</v>
      </c>
      <c r="F15" s="512">
        <f t="shared" si="1"/>
        <v>0</v>
      </c>
      <c r="G15" s="513"/>
      <c r="H15" s="520"/>
      <c r="I15" s="914" t="s">
        <v>51</v>
      </c>
      <c r="J15" s="914" t="s">
        <v>6</v>
      </c>
      <c r="K15" s="511">
        <v>2490000</v>
      </c>
      <c r="L15" s="511">
        <f>'나.세입세출(총괄)'!L15</f>
        <v>2490000</v>
      </c>
      <c r="M15" s="942">
        <f t="shared" si="2"/>
        <v>0</v>
      </c>
      <c r="N15" s="515"/>
    </row>
    <row r="16" spans="1:16" s="516" customFormat="1" ht="26.25" customHeight="1">
      <c r="A16" s="923" t="s">
        <v>42</v>
      </c>
      <c r="B16" s="914" t="s">
        <v>28</v>
      </c>
      <c r="C16" s="914"/>
      <c r="D16" s="528">
        <v>2651468750</v>
      </c>
      <c r="E16" s="528">
        <f>E17+E21+E23+E28</f>
        <v>2591323820</v>
      </c>
      <c r="F16" s="512">
        <f t="shared" si="1"/>
        <v>-60144930</v>
      </c>
      <c r="G16" s="529"/>
      <c r="H16" s="520"/>
      <c r="I16" s="919"/>
      <c r="J16" s="914" t="s">
        <v>112</v>
      </c>
      <c r="K16" s="511">
        <v>2490000</v>
      </c>
      <c r="L16" s="511">
        <f>라.국도비세출!F25+'라-2.자부담세출'!F37+'라-3.후원금세출'!F37</f>
        <v>2490000</v>
      </c>
      <c r="M16" s="942">
        <f t="shared" ref="M16:M41" si="5">L16-K16</f>
        <v>0</v>
      </c>
      <c r="N16" s="527"/>
    </row>
    <row r="17" spans="1:14" s="516" customFormat="1" ht="26.25" customHeight="1">
      <c r="A17" s="924"/>
      <c r="B17" s="914" t="str">
        <f>다.국도시세입!B14</f>
        <v>보조금수입</v>
      </c>
      <c r="C17" s="914" t="s">
        <v>6</v>
      </c>
      <c r="D17" s="528">
        <v>2651468750</v>
      </c>
      <c r="E17" s="528">
        <f>SUM(E18:E20)</f>
        <v>2591323820</v>
      </c>
      <c r="F17" s="512">
        <f t="shared" si="1"/>
        <v>-60144930</v>
      </c>
      <c r="G17" s="513"/>
      <c r="H17" s="520"/>
      <c r="I17" s="914" t="s">
        <v>15</v>
      </c>
      <c r="J17" s="914" t="s">
        <v>6</v>
      </c>
      <c r="K17" s="511">
        <v>244396910</v>
      </c>
      <c r="L17" s="511">
        <f>SUM(L18:L23)</f>
        <v>233013910</v>
      </c>
      <c r="M17" s="942">
        <f t="shared" si="5"/>
        <v>-11383000</v>
      </c>
      <c r="N17" s="515"/>
    </row>
    <row r="18" spans="1:14" s="516" customFormat="1" ht="45" customHeight="1">
      <c r="A18" s="926"/>
      <c r="B18" s="915"/>
      <c r="C18" s="914" t="s">
        <v>987</v>
      </c>
      <c r="D18" s="528">
        <v>1703326015</v>
      </c>
      <c r="E18" s="528">
        <f>'나.세입세출(총괄)'!E18</f>
        <v>1672616764</v>
      </c>
      <c r="F18" s="512">
        <f t="shared" si="1"/>
        <v>-30709251</v>
      </c>
      <c r="G18" s="530" t="s">
        <v>1019</v>
      </c>
      <c r="H18" s="520"/>
      <c r="I18" s="915"/>
      <c r="J18" s="914" t="s">
        <v>16</v>
      </c>
      <c r="K18" s="511">
        <v>5000000</v>
      </c>
      <c r="L18" s="511">
        <f>라.국도비세출!F27+'라-3.후원금세출'!F39</f>
        <v>5000000</v>
      </c>
      <c r="M18" s="942">
        <f t="shared" si="5"/>
        <v>0</v>
      </c>
      <c r="N18" s="518"/>
    </row>
    <row r="19" spans="1:14" s="516" customFormat="1" ht="31.5" customHeight="1">
      <c r="A19" s="926"/>
      <c r="B19" s="916"/>
      <c r="C19" s="914" t="str">
        <f>다.국도시세입!C20</f>
        <v>시도보조금</v>
      </c>
      <c r="D19" s="528">
        <v>941842735</v>
      </c>
      <c r="E19" s="528">
        <f>'나.세입세출(총괄)'!E19</f>
        <v>911987056</v>
      </c>
      <c r="F19" s="512">
        <f>E19-D19</f>
        <v>-29855679</v>
      </c>
      <c r="G19" s="530" t="s">
        <v>1018</v>
      </c>
      <c r="H19" s="520"/>
      <c r="I19" s="916"/>
      <c r="J19" s="922" t="s">
        <v>971</v>
      </c>
      <c r="K19" s="511">
        <v>59771080</v>
      </c>
      <c r="L19" s="511">
        <f>라.국도비세출!F28+'라-2.자부담세출'!F40+'라-3.후원금세출'!F40</f>
        <v>55288080</v>
      </c>
      <c r="M19" s="942">
        <f t="shared" si="5"/>
        <v>-4483000</v>
      </c>
      <c r="N19" s="518" t="s">
        <v>1008</v>
      </c>
    </row>
    <row r="20" spans="1:14" s="516" customFormat="1" ht="50.25" customHeight="1">
      <c r="A20" s="926"/>
      <c r="B20" s="916"/>
      <c r="C20" s="915" t="str">
        <f>다.국도시세입!C26</f>
        <v>기타보조금</v>
      </c>
      <c r="D20" s="546">
        <v>6300000</v>
      </c>
      <c r="E20" s="546">
        <f>'다-1.도시(군)세입'!F20</f>
        <v>6720000</v>
      </c>
      <c r="F20" s="953">
        <f t="shared" si="1"/>
        <v>420000</v>
      </c>
      <c r="G20" s="954" t="s">
        <v>1002</v>
      </c>
      <c r="H20" s="520"/>
      <c r="I20" s="916"/>
      <c r="J20" s="914" t="s">
        <v>17</v>
      </c>
      <c r="K20" s="511">
        <v>126000000</v>
      </c>
      <c r="L20" s="511">
        <f>라.국도비세출!F29+'라-2.자부담세출'!F41+'라-3.후원금세출'!F43</f>
        <v>119100000</v>
      </c>
      <c r="M20" s="942">
        <f t="shared" si="5"/>
        <v>-6900000</v>
      </c>
      <c r="N20" s="518" t="s">
        <v>1008</v>
      </c>
    </row>
    <row r="21" spans="1:14" s="516" customFormat="1" ht="25.5" customHeight="1">
      <c r="A21" s="923"/>
      <c r="B21" s="914"/>
      <c r="C21" s="914"/>
      <c r="D21" s="528">
        <v>0</v>
      </c>
      <c r="E21" s="528">
        <v>0</v>
      </c>
      <c r="F21" s="512">
        <f t="shared" si="1"/>
        <v>0</v>
      </c>
      <c r="G21" s="530"/>
      <c r="H21" s="520"/>
      <c r="I21" s="916"/>
      <c r="J21" s="914" t="s">
        <v>18</v>
      </c>
      <c r="K21" s="511">
        <v>13625830</v>
      </c>
      <c r="L21" s="511">
        <f>라.국도비세출!F30+'라-2.자부담세출'!F42+'라-3.후원금세출'!F44</f>
        <v>13625830</v>
      </c>
      <c r="M21" s="942">
        <f t="shared" si="5"/>
        <v>0</v>
      </c>
      <c r="N21" s="527"/>
    </row>
    <row r="22" spans="1:14" s="516" customFormat="1" ht="25.5" customHeight="1">
      <c r="A22" s="923"/>
      <c r="B22" s="914"/>
      <c r="C22" s="914"/>
      <c r="D22" s="528">
        <v>0</v>
      </c>
      <c r="E22" s="528">
        <v>0</v>
      </c>
      <c r="F22" s="512">
        <f t="shared" si="1"/>
        <v>0</v>
      </c>
      <c r="G22" s="529"/>
      <c r="H22" s="520"/>
      <c r="I22" s="916"/>
      <c r="J22" s="914" t="s">
        <v>19</v>
      </c>
      <c r="K22" s="511">
        <v>26000000</v>
      </c>
      <c r="L22" s="511">
        <f>라.국도비세출!F34+'라-2.자부담세출'!F43+'라-3.후원금세출'!F45</f>
        <v>26000000</v>
      </c>
      <c r="M22" s="942">
        <f t="shared" si="5"/>
        <v>0</v>
      </c>
      <c r="N22" s="527"/>
    </row>
    <row r="23" spans="1:14" s="516" customFormat="1" ht="25.5" customHeight="1">
      <c r="A23" s="923"/>
      <c r="B23" s="914"/>
      <c r="C23" s="914"/>
      <c r="D23" s="528">
        <v>0</v>
      </c>
      <c r="E23" s="528">
        <f>SUM(E24:E27)</f>
        <v>0</v>
      </c>
      <c r="F23" s="512">
        <f t="shared" si="1"/>
        <v>0</v>
      </c>
      <c r="G23" s="529"/>
      <c r="H23" s="532"/>
      <c r="I23" s="919"/>
      <c r="J23" s="914" t="s">
        <v>119</v>
      </c>
      <c r="K23" s="511">
        <v>14000000</v>
      </c>
      <c r="L23" s="511">
        <f>라.국도비세출!F35+'라-2.자부담세출'!F44+'라-3.후원금세출'!F46</f>
        <v>14000000</v>
      </c>
      <c r="M23" s="512">
        <f t="shared" si="5"/>
        <v>0</v>
      </c>
      <c r="N23" s="518"/>
    </row>
    <row r="24" spans="1:14" s="531" customFormat="1" ht="25.5" customHeight="1">
      <c r="A24" s="923"/>
      <c r="B24" s="914"/>
      <c r="C24" s="914"/>
      <c r="D24" s="528">
        <v>0</v>
      </c>
      <c r="E24" s="528">
        <f>다.국도시세입!F28</f>
        <v>0</v>
      </c>
      <c r="F24" s="512">
        <f t="shared" si="1"/>
        <v>0</v>
      </c>
      <c r="G24" s="529"/>
      <c r="H24" s="514" t="s">
        <v>101</v>
      </c>
      <c r="I24" s="914" t="s">
        <v>28</v>
      </c>
      <c r="J24" s="914"/>
      <c r="K24" s="511">
        <v>162000000</v>
      </c>
      <c r="L24" s="511">
        <f>SUM(L25)</f>
        <v>167900000</v>
      </c>
      <c r="M24" s="942">
        <f t="shared" si="5"/>
        <v>5900000</v>
      </c>
      <c r="N24" s="515"/>
    </row>
    <row r="25" spans="1:14" s="531" customFormat="1" ht="25.5" customHeight="1">
      <c r="A25" s="923"/>
      <c r="B25" s="914"/>
      <c r="C25" s="914"/>
      <c r="D25" s="528">
        <v>0</v>
      </c>
      <c r="E25" s="528">
        <f>다.국도시세입!F29</f>
        <v>0</v>
      </c>
      <c r="F25" s="512">
        <f t="shared" si="1"/>
        <v>0</v>
      </c>
      <c r="G25" s="529"/>
      <c r="H25" s="517"/>
      <c r="I25" s="914" t="s">
        <v>21</v>
      </c>
      <c r="J25" s="914" t="s">
        <v>6</v>
      </c>
      <c r="K25" s="511">
        <v>162000000</v>
      </c>
      <c r="L25" s="511">
        <f>SUM(L26:L28)</f>
        <v>167900000</v>
      </c>
      <c r="M25" s="942">
        <f t="shared" si="5"/>
        <v>5900000</v>
      </c>
      <c r="N25" s="515"/>
    </row>
    <row r="26" spans="1:14" s="509" customFormat="1" ht="25.5" customHeight="1">
      <c r="A26" s="924"/>
      <c r="B26" s="915"/>
      <c r="C26" s="915"/>
      <c r="D26" s="546">
        <v>0</v>
      </c>
      <c r="E26" s="546">
        <f>다.국도시세입!F30</f>
        <v>0</v>
      </c>
      <c r="F26" s="953">
        <f t="shared" si="1"/>
        <v>0</v>
      </c>
      <c r="G26" s="962"/>
      <c r="H26" s="520"/>
      <c r="I26" s="915"/>
      <c r="J26" s="915" t="s">
        <v>21</v>
      </c>
      <c r="K26" s="963">
        <v>10000000</v>
      </c>
      <c r="L26" s="963">
        <f>라.국도비세출!F38+'라-2.자부담세출'!F47+'라-3.후원금세출'!F49</f>
        <v>10000000</v>
      </c>
      <c r="M26" s="964">
        <f t="shared" si="5"/>
        <v>0</v>
      </c>
      <c r="N26" s="965"/>
    </row>
    <row r="27" spans="1:14" s="509" customFormat="1" ht="67.5" customHeight="1">
      <c r="A27" s="923"/>
      <c r="B27" s="914"/>
      <c r="C27" s="914"/>
      <c r="D27" s="528">
        <v>0</v>
      </c>
      <c r="E27" s="528">
        <f>다.국도시세입!F31</f>
        <v>0</v>
      </c>
      <c r="F27" s="512">
        <f t="shared" si="1"/>
        <v>0</v>
      </c>
      <c r="G27" s="529"/>
      <c r="H27" s="514"/>
      <c r="I27" s="914"/>
      <c r="J27" s="914" t="s">
        <v>52</v>
      </c>
      <c r="K27" s="511">
        <v>20000000</v>
      </c>
      <c r="L27" s="511">
        <f>라.국도비세출!F39+'라-2.자부담세출'!F48+'라-3.후원금세출'!F50</f>
        <v>65900000</v>
      </c>
      <c r="M27" s="942">
        <f t="shared" si="5"/>
        <v>45900000</v>
      </c>
      <c r="N27" s="967" t="s">
        <v>1010</v>
      </c>
    </row>
    <row r="28" spans="1:14" s="516" customFormat="1" ht="30" customHeight="1">
      <c r="A28" s="957"/>
      <c r="B28" s="920"/>
      <c r="C28" s="920"/>
      <c r="D28" s="534">
        <v>0</v>
      </c>
      <c r="E28" s="534">
        <f>E29</f>
        <v>0</v>
      </c>
      <c r="F28" s="535">
        <f t="shared" si="1"/>
        <v>0</v>
      </c>
      <c r="G28" s="536"/>
      <c r="H28" s="969"/>
      <c r="I28" s="920"/>
      <c r="J28" s="970" t="s">
        <v>970</v>
      </c>
      <c r="K28" s="539">
        <v>132000000</v>
      </c>
      <c r="L28" s="539">
        <f>라.국도비세출!F40+'라-2.자부담세출'!F49+'라-3.후원금세출'!F51</f>
        <v>92000000</v>
      </c>
      <c r="M28" s="943">
        <f t="shared" si="5"/>
        <v>-40000000</v>
      </c>
      <c r="N28" s="971" t="s">
        <v>1007</v>
      </c>
    </row>
    <row r="29" spans="1:14" s="516" customFormat="1" ht="24.75" customHeight="1">
      <c r="A29" s="925"/>
      <c r="B29" s="919"/>
      <c r="C29" s="919"/>
      <c r="D29" s="540">
        <v>0</v>
      </c>
      <c r="E29" s="540">
        <f>'다-3.후원금세입'!E14</f>
        <v>0</v>
      </c>
      <c r="F29" s="541">
        <f t="shared" si="1"/>
        <v>0</v>
      </c>
      <c r="G29" s="542"/>
      <c r="H29" s="532" t="s">
        <v>23</v>
      </c>
      <c r="I29" s="919" t="s">
        <v>28</v>
      </c>
      <c r="J29" s="919"/>
      <c r="K29" s="543">
        <v>462937570</v>
      </c>
      <c r="L29" s="543">
        <f>SUM(L30,L35,L42)</f>
        <v>401372640</v>
      </c>
      <c r="M29" s="944">
        <f t="shared" si="5"/>
        <v>-61564930</v>
      </c>
      <c r="N29" s="968"/>
    </row>
    <row r="30" spans="1:14" s="516" customFormat="1" ht="39" customHeight="1">
      <c r="A30" s="925" t="s">
        <v>335</v>
      </c>
      <c r="B30" s="919" t="s">
        <v>162</v>
      </c>
      <c r="C30" s="919"/>
      <c r="D30" s="540">
        <v>364200000</v>
      </c>
      <c r="E30" s="540">
        <f>E31+E34</f>
        <v>364200000</v>
      </c>
      <c r="F30" s="541">
        <f t="shared" si="1"/>
        <v>0</v>
      </c>
      <c r="G30" s="542"/>
      <c r="H30" s="520"/>
      <c r="I30" s="919" t="s">
        <v>15</v>
      </c>
      <c r="J30" s="919" t="s">
        <v>6</v>
      </c>
      <c r="K30" s="543">
        <v>256466570</v>
      </c>
      <c r="L30" s="543">
        <f>SUM(L31:L34)</f>
        <v>254332640</v>
      </c>
      <c r="M30" s="944">
        <f t="shared" si="5"/>
        <v>-2133930</v>
      </c>
      <c r="N30" s="966"/>
    </row>
    <row r="31" spans="1:14" s="516" customFormat="1" ht="23.25" customHeight="1">
      <c r="A31" s="923"/>
      <c r="B31" s="914" t="s">
        <v>94</v>
      </c>
      <c r="C31" s="914" t="s">
        <v>6</v>
      </c>
      <c r="D31" s="528">
        <v>364200000</v>
      </c>
      <c r="E31" s="528">
        <f>E32+E33</f>
        <v>364200000</v>
      </c>
      <c r="F31" s="512">
        <f t="shared" si="1"/>
        <v>0</v>
      </c>
      <c r="G31" s="529"/>
      <c r="H31" s="520"/>
      <c r="I31" s="915"/>
      <c r="J31" s="914" t="s">
        <v>97</v>
      </c>
      <c r="K31" s="511">
        <v>211496570</v>
      </c>
      <c r="L31" s="511">
        <f>라.국도비세출!F44+라.국도비세출!F45+라.국도비세출!F46+'라-2.자부담세출'!F52+'라-3.후원금세출'!F54</f>
        <v>209362640</v>
      </c>
      <c r="M31" s="942">
        <f t="shared" si="5"/>
        <v>-2133930</v>
      </c>
      <c r="N31" s="518" t="s">
        <v>1020</v>
      </c>
    </row>
    <row r="32" spans="1:14" s="516" customFormat="1" ht="23.25" customHeight="1">
      <c r="A32" s="923"/>
      <c r="B32" s="914"/>
      <c r="C32" s="914" t="s">
        <v>333</v>
      </c>
      <c r="D32" s="528">
        <v>14200000</v>
      </c>
      <c r="E32" s="528">
        <f>'다-3.후원금세입'!E18</f>
        <v>14200000</v>
      </c>
      <c r="F32" s="512">
        <f t="shared" si="1"/>
        <v>0</v>
      </c>
      <c r="G32" s="530"/>
      <c r="H32" s="520"/>
      <c r="I32" s="916"/>
      <c r="J32" s="914" t="s">
        <v>24</v>
      </c>
      <c r="K32" s="511">
        <v>4000000</v>
      </c>
      <c r="L32" s="511">
        <f>'라-2.자부담세출'!F53</f>
        <v>4000000</v>
      </c>
      <c r="M32" s="942">
        <f t="shared" si="5"/>
        <v>0</v>
      </c>
      <c r="N32" s="515"/>
    </row>
    <row r="33" spans="1:23" s="516" customFormat="1" ht="23.25" customHeight="1">
      <c r="A33" s="923"/>
      <c r="B33" s="914"/>
      <c r="C33" s="914" t="s">
        <v>334</v>
      </c>
      <c r="D33" s="528">
        <v>350000000</v>
      </c>
      <c r="E33" s="528">
        <f>'다-3.후원금세입'!E19</f>
        <v>350000000</v>
      </c>
      <c r="F33" s="512">
        <f t="shared" si="1"/>
        <v>0</v>
      </c>
      <c r="G33" s="955"/>
      <c r="H33" s="520"/>
      <c r="I33" s="916"/>
      <c r="J33" s="914" t="str">
        <f>'라-2.자부담세출'!C54</f>
        <v>수용기관경비</v>
      </c>
      <c r="K33" s="511">
        <v>37970000</v>
      </c>
      <c r="L33" s="511">
        <f>라.국도비세출!F47+'라-2.자부담세출'!F54+'라-3.후원금세출'!F55</f>
        <v>37970000</v>
      </c>
      <c r="M33" s="942">
        <f t="shared" si="5"/>
        <v>0</v>
      </c>
      <c r="N33" s="518"/>
    </row>
    <row r="34" spans="1:23" s="516" customFormat="1" ht="23.25" customHeight="1">
      <c r="A34" s="923"/>
      <c r="B34" s="914"/>
      <c r="C34" s="914"/>
      <c r="D34" s="528">
        <v>0</v>
      </c>
      <c r="E34" s="528">
        <f t="shared" ref="E34:E37" si="6">E35</f>
        <v>0</v>
      </c>
      <c r="F34" s="512">
        <f t="shared" si="1"/>
        <v>0</v>
      </c>
      <c r="G34" s="529"/>
      <c r="H34" s="520"/>
      <c r="I34" s="916"/>
      <c r="J34" s="914" t="s">
        <v>25</v>
      </c>
      <c r="K34" s="511">
        <v>3000000</v>
      </c>
      <c r="L34" s="511">
        <f>'라-2.자부담세출'!F57+'라-3.후원금세출'!F59</f>
        <v>3000000</v>
      </c>
      <c r="M34" s="942">
        <f t="shared" si="5"/>
        <v>0</v>
      </c>
      <c r="N34" s="518"/>
    </row>
    <row r="35" spans="1:23" s="516" customFormat="1" ht="23.25" customHeight="1">
      <c r="A35" s="923"/>
      <c r="B35" s="914"/>
      <c r="C35" s="914"/>
      <c r="D35" s="528">
        <v>0</v>
      </c>
      <c r="E35" s="528">
        <f>'다-3.후원금세입'!E20</f>
        <v>0</v>
      </c>
      <c r="F35" s="512">
        <f t="shared" si="1"/>
        <v>0</v>
      </c>
      <c r="G35" s="529"/>
      <c r="H35" s="520"/>
      <c r="I35" s="914" t="s">
        <v>23</v>
      </c>
      <c r="J35" s="914" t="s">
        <v>6</v>
      </c>
      <c r="K35" s="511">
        <v>204971000</v>
      </c>
      <c r="L35" s="511">
        <f>SUM(L36:L41)</f>
        <v>145540000</v>
      </c>
      <c r="M35" s="942">
        <f t="shared" si="5"/>
        <v>-59431000</v>
      </c>
      <c r="N35" s="515"/>
    </row>
    <row r="36" spans="1:23" s="516" customFormat="1" ht="29.25" customHeight="1">
      <c r="A36" s="923" t="s">
        <v>95</v>
      </c>
      <c r="B36" s="914" t="s">
        <v>162</v>
      </c>
      <c r="C36" s="914"/>
      <c r="D36" s="528">
        <v>40000000</v>
      </c>
      <c r="E36" s="528">
        <f t="shared" si="6"/>
        <v>40000000</v>
      </c>
      <c r="F36" s="512">
        <f t="shared" si="1"/>
        <v>0</v>
      </c>
      <c r="G36" s="529"/>
      <c r="H36" s="520"/>
      <c r="I36" s="916"/>
      <c r="J36" s="914" t="s">
        <v>320</v>
      </c>
      <c r="K36" s="511">
        <v>93000000</v>
      </c>
      <c r="L36" s="511">
        <f>라.국도비세출!F51+'라-2.자부담세출'!F75+'라-3.후원금세출'!F78</f>
        <v>89000000</v>
      </c>
      <c r="M36" s="942">
        <f t="shared" si="5"/>
        <v>-4000000</v>
      </c>
      <c r="N36" s="527" t="s">
        <v>1009</v>
      </c>
    </row>
    <row r="37" spans="1:23" s="516" customFormat="1" ht="33" customHeight="1">
      <c r="A37" s="923"/>
      <c r="B37" s="914" t="s">
        <v>95</v>
      </c>
      <c r="C37" s="914" t="s">
        <v>6</v>
      </c>
      <c r="D37" s="528">
        <v>40000000</v>
      </c>
      <c r="E37" s="528">
        <f t="shared" si="6"/>
        <v>40000000</v>
      </c>
      <c r="F37" s="512">
        <f t="shared" si="1"/>
        <v>0</v>
      </c>
      <c r="G37" s="529"/>
      <c r="H37" s="520"/>
      <c r="I37" s="916"/>
      <c r="J37" s="914" t="s">
        <v>988</v>
      </c>
      <c r="K37" s="511">
        <v>5000000</v>
      </c>
      <c r="L37" s="511">
        <f>'라-2.자부담세출'!F77+'라-3.후원금세출'!F80</f>
        <v>5000000</v>
      </c>
      <c r="M37" s="942">
        <f t="shared" si="5"/>
        <v>0</v>
      </c>
      <c r="N37" s="527"/>
    </row>
    <row r="38" spans="1:23" s="516" customFormat="1" ht="25.5" customHeight="1">
      <c r="A38" s="923"/>
      <c r="B38" s="914"/>
      <c r="C38" s="914" t="s">
        <v>209</v>
      </c>
      <c r="D38" s="528">
        <v>40000000</v>
      </c>
      <c r="E38" s="528">
        <f>'다-2.자부담세입'!E25</f>
        <v>40000000</v>
      </c>
      <c r="F38" s="512">
        <f t="shared" si="1"/>
        <v>0</v>
      </c>
      <c r="G38" s="529"/>
      <c r="H38" s="520"/>
      <c r="I38" s="916"/>
      <c r="J38" s="914" t="s">
        <v>964</v>
      </c>
      <c r="K38" s="511">
        <v>32840000</v>
      </c>
      <c r="L38" s="511">
        <f>'라-1.도시(군)세출'!F25</f>
        <v>32840000</v>
      </c>
      <c r="M38" s="942">
        <f t="shared" si="5"/>
        <v>0</v>
      </c>
      <c r="N38" s="527"/>
    </row>
    <row r="39" spans="1:23" s="516" customFormat="1" ht="24.75" customHeight="1">
      <c r="A39" s="923" t="s">
        <v>91</v>
      </c>
      <c r="B39" s="914" t="s">
        <v>162</v>
      </c>
      <c r="C39" s="914"/>
      <c r="D39" s="528">
        <v>81659584</v>
      </c>
      <c r="E39" s="528">
        <f>E40</f>
        <v>53487000</v>
      </c>
      <c r="F39" s="512">
        <f t="shared" si="1"/>
        <v>-28172584</v>
      </c>
      <c r="G39" s="529"/>
      <c r="H39" s="520"/>
      <c r="I39" s="916"/>
      <c r="J39" s="914" t="s">
        <v>739</v>
      </c>
      <c r="K39" s="511">
        <v>6600000</v>
      </c>
      <c r="L39" s="511">
        <f>'라-1.도시(군)세출'!F21</f>
        <v>6600000</v>
      </c>
      <c r="M39" s="942">
        <f t="shared" si="5"/>
        <v>0</v>
      </c>
      <c r="N39" s="527"/>
    </row>
    <row r="40" spans="1:23" s="516" customFormat="1" ht="50.25" customHeight="1">
      <c r="A40" s="923"/>
      <c r="B40" s="914" t="s">
        <v>91</v>
      </c>
      <c r="C40" s="914" t="s">
        <v>6</v>
      </c>
      <c r="D40" s="528">
        <v>81659584</v>
      </c>
      <c r="E40" s="528">
        <f>SUM(E41:E42)</f>
        <v>53487000</v>
      </c>
      <c r="F40" s="512">
        <f t="shared" si="1"/>
        <v>-28172584</v>
      </c>
      <c r="G40" s="530"/>
      <c r="H40" s="958"/>
      <c r="I40" s="916"/>
      <c r="J40" s="914" t="s">
        <v>969</v>
      </c>
      <c r="K40" s="511">
        <v>7000000</v>
      </c>
      <c r="L40" s="511">
        <f>'라-1.도시(군)세출'!F32+'라-3.후원금세출'!F81</f>
        <v>10000000</v>
      </c>
      <c r="M40" s="942">
        <f t="shared" si="5"/>
        <v>3000000</v>
      </c>
      <c r="N40" s="527" t="s">
        <v>1003</v>
      </c>
    </row>
    <row r="41" spans="1:23" s="516" customFormat="1" ht="45" customHeight="1">
      <c r="A41" s="923"/>
      <c r="B41" s="914"/>
      <c r="C41" s="914" t="s">
        <v>212</v>
      </c>
      <c r="D41" s="528">
        <v>81659584</v>
      </c>
      <c r="E41" s="528">
        <f>다.국도시세입!F34+'다-2.자부담세입'!E28+'다-3.후원금세입'!E31+'라-1.도시(군)세출'!F39</f>
        <v>53487000</v>
      </c>
      <c r="F41" s="512">
        <f t="shared" si="1"/>
        <v>-28172584</v>
      </c>
      <c r="G41" s="530"/>
      <c r="H41" s="520"/>
      <c r="I41" s="916"/>
      <c r="J41" s="922" t="s">
        <v>972</v>
      </c>
      <c r="K41" s="511">
        <v>60531000</v>
      </c>
      <c r="L41" s="511">
        <f>라.국도비세출!F52</f>
        <v>2100000</v>
      </c>
      <c r="M41" s="512">
        <f t="shared" si="5"/>
        <v>-58431000</v>
      </c>
      <c r="N41" s="527" t="s">
        <v>1004</v>
      </c>
    </row>
    <row r="42" spans="1:23" s="516" customFormat="1" ht="24" customHeight="1">
      <c r="A42" s="923"/>
      <c r="B42" s="914"/>
      <c r="C42" s="914" t="s">
        <v>211</v>
      </c>
      <c r="D42" s="528">
        <v>0</v>
      </c>
      <c r="E42" s="528">
        <f>다.국도시세입!F35+'다-2.자부담세입'!E29</f>
        <v>0</v>
      </c>
      <c r="F42" s="512">
        <f t="shared" si="1"/>
        <v>0</v>
      </c>
      <c r="G42" s="529"/>
      <c r="H42" s="520"/>
      <c r="I42" s="914" t="s">
        <v>880</v>
      </c>
      <c r="J42" s="914" t="s">
        <v>861</v>
      </c>
      <c r="K42" s="511">
        <v>1500000</v>
      </c>
      <c r="L42" s="511">
        <f>L43</f>
        <v>1500000</v>
      </c>
      <c r="M42" s="512">
        <f>M43</f>
        <v>0</v>
      </c>
      <c r="N42" s="527"/>
    </row>
    <row r="43" spans="1:23" s="516" customFormat="1" ht="29.25" customHeight="1">
      <c r="A43" s="923" t="s">
        <v>92</v>
      </c>
      <c r="B43" s="914" t="s">
        <v>162</v>
      </c>
      <c r="C43" s="914"/>
      <c r="D43" s="528">
        <v>47271666</v>
      </c>
      <c r="E43" s="528">
        <f>E44</f>
        <v>47309180</v>
      </c>
      <c r="F43" s="512">
        <f t="shared" si="1"/>
        <v>37514</v>
      </c>
      <c r="G43" s="529"/>
      <c r="H43" s="520"/>
      <c r="I43" s="914"/>
      <c r="J43" s="914" t="s">
        <v>868</v>
      </c>
      <c r="K43" s="511">
        <v>1500000</v>
      </c>
      <c r="L43" s="511">
        <f>'라-3.후원금세출'!F88</f>
        <v>1500000</v>
      </c>
      <c r="M43" s="512">
        <f t="shared" ref="M43:M54" si="7">L43-K43</f>
        <v>0</v>
      </c>
      <c r="N43" s="518"/>
      <c r="O43" s="544"/>
      <c r="P43" s="544"/>
      <c r="Q43" s="544"/>
      <c r="R43" s="544"/>
      <c r="S43" s="544"/>
      <c r="T43" s="544"/>
      <c r="U43" s="544"/>
      <c r="V43" s="544"/>
      <c r="W43" s="545"/>
    </row>
    <row r="44" spans="1:23" s="516" customFormat="1" ht="30" customHeight="1">
      <c r="A44" s="923"/>
      <c r="B44" s="914" t="s">
        <v>92</v>
      </c>
      <c r="C44" s="914" t="s">
        <v>6</v>
      </c>
      <c r="D44" s="528">
        <v>47271666</v>
      </c>
      <c r="E44" s="528">
        <f>E45+E46+E47</f>
        <v>47309180</v>
      </c>
      <c r="F44" s="512">
        <f t="shared" si="1"/>
        <v>37514</v>
      </c>
      <c r="G44" s="529"/>
      <c r="H44" s="514" t="s">
        <v>99</v>
      </c>
      <c r="I44" s="914" t="s">
        <v>28</v>
      </c>
      <c r="J44" s="914"/>
      <c r="K44" s="511">
        <v>1897000</v>
      </c>
      <c r="L44" s="511">
        <f>SUM(L45)</f>
        <v>800000</v>
      </c>
      <c r="M44" s="512">
        <f t="shared" si="7"/>
        <v>-1097000</v>
      </c>
      <c r="N44" s="515"/>
    </row>
    <row r="45" spans="1:23" s="516" customFormat="1" ht="47.25" customHeight="1">
      <c r="A45" s="923"/>
      <c r="B45" s="914"/>
      <c r="C45" s="914" t="s">
        <v>48</v>
      </c>
      <c r="D45" s="528">
        <v>500000</v>
      </c>
      <c r="E45" s="528">
        <f>다.국도시세입!F38+'다-2.자부담세입'!E32</f>
        <v>500000</v>
      </c>
      <c r="F45" s="512">
        <f t="shared" si="1"/>
        <v>0</v>
      </c>
      <c r="G45" s="529"/>
      <c r="H45" s="517"/>
      <c r="I45" s="914" t="s">
        <v>99</v>
      </c>
      <c r="J45" s="914" t="s">
        <v>6</v>
      </c>
      <c r="K45" s="511">
        <v>1897000</v>
      </c>
      <c r="L45" s="511">
        <f>SUM(L46)</f>
        <v>800000</v>
      </c>
      <c r="M45" s="512">
        <f t="shared" si="7"/>
        <v>-1097000</v>
      </c>
      <c r="N45" s="515"/>
    </row>
    <row r="46" spans="1:23" s="516" customFormat="1" ht="27" customHeight="1">
      <c r="A46" s="923"/>
      <c r="B46" s="914"/>
      <c r="C46" s="914" t="s">
        <v>49</v>
      </c>
      <c r="D46" s="528">
        <v>1721666</v>
      </c>
      <c r="E46" s="528">
        <f>다.국도시세입!F39+'다-2.자부담세입'!E33+'다-3.후원금세입'!E36+'다-1.도시(군)세입'!F28</f>
        <v>1759180</v>
      </c>
      <c r="F46" s="512">
        <f t="shared" si="1"/>
        <v>37514</v>
      </c>
      <c r="G46" s="529"/>
      <c r="H46" s="532"/>
      <c r="I46" s="914"/>
      <c r="J46" s="914" t="s">
        <v>99</v>
      </c>
      <c r="K46" s="511">
        <v>1897000</v>
      </c>
      <c r="L46" s="511">
        <f>'라-3.후원금세출'!F91</f>
        <v>800000</v>
      </c>
      <c r="M46" s="512">
        <f t="shared" si="7"/>
        <v>-1097000</v>
      </c>
      <c r="N46" s="518" t="s">
        <v>1005</v>
      </c>
    </row>
    <row r="47" spans="1:23" s="516" customFormat="1" ht="17.25" customHeight="1">
      <c r="A47" s="923"/>
      <c r="B47" s="914"/>
      <c r="C47" s="914" t="s">
        <v>214</v>
      </c>
      <c r="D47" s="528">
        <v>45050000</v>
      </c>
      <c r="E47" s="528">
        <f>다.국도시세입!F40+'다-2.자부담세입'!E34</f>
        <v>45050000</v>
      </c>
      <c r="F47" s="512">
        <f t="shared" si="1"/>
        <v>0</v>
      </c>
      <c r="G47" s="529"/>
      <c r="H47" s="514" t="s">
        <v>100</v>
      </c>
      <c r="I47" s="914" t="s">
        <v>28</v>
      </c>
      <c r="J47" s="914"/>
      <c r="K47" s="511">
        <v>625462</v>
      </c>
      <c r="L47" s="511">
        <f>SUM(L48)</f>
        <v>609180</v>
      </c>
      <c r="M47" s="512">
        <f t="shared" si="7"/>
        <v>-16282</v>
      </c>
      <c r="N47" s="515"/>
    </row>
    <row r="48" spans="1:23" s="516" customFormat="1" ht="17.25" customHeight="1">
      <c r="A48" s="923"/>
      <c r="B48" s="914"/>
      <c r="C48" s="914"/>
      <c r="D48" s="775"/>
      <c r="E48" s="775"/>
      <c r="F48" s="775"/>
      <c r="G48" s="956"/>
      <c r="H48" s="517"/>
      <c r="I48" s="914" t="s">
        <v>7</v>
      </c>
      <c r="J48" s="914" t="s">
        <v>6</v>
      </c>
      <c r="K48" s="511">
        <v>625462</v>
      </c>
      <c r="L48" s="511">
        <f>SUM(L49)</f>
        <v>609180</v>
      </c>
      <c r="M48" s="512">
        <f t="shared" si="7"/>
        <v>-16282</v>
      </c>
      <c r="N48" s="515"/>
    </row>
    <row r="49" spans="1:14" s="516" customFormat="1" ht="17.25" customHeight="1">
      <c r="A49" s="923"/>
      <c r="B49" s="914"/>
      <c r="C49" s="914"/>
      <c r="D49" s="775"/>
      <c r="E49" s="775"/>
      <c r="F49" s="775"/>
      <c r="G49" s="956"/>
      <c r="H49" s="532"/>
      <c r="I49" s="914"/>
      <c r="J49" s="914" t="s">
        <v>7</v>
      </c>
      <c r="K49" s="511">
        <v>625462</v>
      </c>
      <c r="L49" s="511">
        <f>라.국도비세출!F58+'라-1.도시(군)세출'!F36</f>
        <v>609180</v>
      </c>
      <c r="M49" s="512">
        <f t="shared" si="7"/>
        <v>-16282</v>
      </c>
      <c r="N49" s="515"/>
    </row>
    <row r="50" spans="1:14" s="516" customFormat="1" ht="17.25" customHeight="1">
      <c r="A50" s="923"/>
      <c r="B50" s="914"/>
      <c r="C50" s="914"/>
      <c r="D50" s="775"/>
      <c r="E50" s="775"/>
      <c r="F50" s="775"/>
      <c r="G50" s="956"/>
      <c r="H50" s="532" t="s">
        <v>580</v>
      </c>
      <c r="I50" s="914" t="s">
        <v>28</v>
      </c>
      <c r="J50" s="914"/>
      <c r="K50" s="511">
        <v>51405788</v>
      </c>
      <c r="L50" s="511">
        <f>L51+L53</f>
        <v>31287000</v>
      </c>
      <c r="M50" s="512">
        <f t="shared" si="7"/>
        <v>-20118788</v>
      </c>
      <c r="N50" s="518"/>
    </row>
    <row r="51" spans="1:14" ht="17.25" customHeight="1">
      <c r="A51" s="923"/>
      <c r="B51" s="914"/>
      <c r="C51" s="914"/>
      <c r="D51" s="775"/>
      <c r="E51" s="775"/>
      <c r="F51" s="775"/>
      <c r="G51" s="956"/>
      <c r="H51" s="517"/>
      <c r="I51" s="914" t="str">
        <f>'라-3.후원금세출'!C94</f>
        <v>반환금</v>
      </c>
      <c r="J51" s="914" t="s">
        <v>6</v>
      </c>
      <c r="K51" s="511">
        <v>0</v>
      </c>
      <c r="L51" s="511">
        <f>L52</f>
        <v>0</v>
      </c>
      <c r="M51" s="512">
        <f t="shared" si="7"/>
        <v>0</v>
      </c>
      <c r="N51" s="518"/>
    </row>
    <row r="52" spans="1:14" ht="17.25" hidden="1" customHeight="1">
      <c r="A52" s="923"/>
      <c r="B52" s="914"/>
      <c r="C52" s="914"/>
      <c r="D52" s="775"/>
      <c r="E52" s="775"/>
      <c r="F52" s="775"/>
      <c r="G52" s="956"/>
      <c r="H52" s="532"/>
      <c r="I52" s="914"/>
      <c r="J52" s="914" t="s">
        <v>764</v>
      </c>
      <c r="K52" s="511">
        <v>0</v>
      </c>
      <c r="L52" s="511">
        <f>'라-3.후원금세출'!F95</f>
        <v>0</v>
      </c>
      <c r="M52" s="512">
        <f t="shared" si="7"/>
        <v>0</v>
      </c>
      <c r="N52" s="518"/>
    </row>
    <row r="53" spans="1:14" ht="17.25" customHeight="1">
      <c r="A53" s="923"/>
      <c r="B53" s="914"/>
      <c r="C53" s="914"/>
      <c r="D53" s="775"/>
      <c r="E53" s="775"/>
      <c r="F53" s="775"/>
      <c r="G53" s="956"/>
      <c r="H53" s="517"/>
      <c r="I53" s="914" t="s">
        <v>150</v>
      </c>
      <c r="J53" s="914" t="s">
        <v>6</v>
      </c>
      <c r="K53" s="511">
        <v>51405788</v>
      </c>
      <c r="L53" s="511">
        <f>SUM(L54)</f>
        <v>31287000</v>
      </c>
      <c r="M53" s="512">
        <f t="shared" si="7"/>
        <v>-20118788</v>
      </c>
      <c r="N53" s="515"/>
    </row>
    <row r="54" spans="1:14" ht="21.75" customHeight="1" thickBot="1">
      <c r="A54" s="550"/>
      <c r="B54" s="551"/>
      <c r="C54" s="959"/>
      <c r="D54" s="960"/>
      <c r="E54" s="960"/>
      <c r="F54" s="960"/>
      <c r="G54" s="961"/>
      <c r="H54" s="552"/>
      <c r="I54" s="921"/>
      <c r="J54" s="921" t="s">
        <v>150</v>
      </c>
      <c r="K54" s="553">
        <v>51405788</v>
      </c>
      <c r="L54" s="553">
        <f>라.국도비세출!F61+'라-1.도시(군)세출'!F39</f>
        <v>31287000</v>
      </c>
      <c r="M54" s="554">
        <f t="shared" si="7"/>
        <v>-20118788</v>
      </c>
      <c r="N54" s="555" t="s">
        <v>1006</v>
      </c>
    </row>
    <row r="55" spans="1:14" ht="13.5" customHeight="1">
      <c r="D55" s="558"/>
      <c r="E55" s="558"/>
      <c r="F55" s="558"/>
      <c r="G55" s="558"/>
      <c r="H55" s="556"/>
      <c r="I55" s="556"/>
      <c r="J55" s="556"/>
      <c r="K55" s="557"/>
      <c r="L55" s="558"/>
      <c r="M55" s="559"/>
      <c r="N55" s="558"/>
    </row>
    <row r="56" spans="1:14">
      <c r="D56" s="557"/>
      <c r="E56" s="558"/>
      <c r="F56" s="558"/>
      <c r="G56" s="558"/>
      <c r="H56" s="556"/>
      <c r="I56" s="556"/>
      <c r="J56" s="556"/>
      <c r="K56" s="557"/>
      <c r="L56" s="558"/>
      <c r="M56" s="559"/>
      <c r="N56" s="558"/>
    </row>
    <row r="57" spans="1:14">
      <c r="D57" s="557"/>
      <c r="E57" s="558"/>
      <c r="F57" s="558"/>
      <c r="G57" s="558"/>
      <c r="H57" s="556"/>
      <c r="I57" s="556"/>
      <c r="J57" s="556"/>
      <c r="K57" s="557"/>
      <c r="L57" s="558"/>
      <c r="M57" s="559"/>
      <c r="N57" s="558"/>
    </row>
    <row r="58" spans="1:14">
      <c r="D58" s="557"/>
      <c r="E58" s="558"/>
      <c r="F58" s="558"/>
      <c r="G58" s="558"/>
      <c r="H58" s="556"/>
      <c r="I58" s="556"/>
      <c r="J58" s="556"/>
      <c r="K58" s="557"/>
      <c r="L58" s="558"/>
      <c r="M58" s="559"/>
      <c r="N58" s="558"/>
    </row>
    <row r="59" spans="1:14">
      <c r="D59" s="557"/>
      <c r="E59" s="558"/>
      <c r="F59" s="558"/>
      <c r="G59" s="558"/>
      <c r="K59" s="557"/>
      <c r="L59" s="558"/>
      <c r="M59" s="560"/>
      <c r="N59" s="558"/>
    </row>
    <row r="60" spans="1:14">
      <c r="D60" s="557"/>
      <c r="E60" s="558"/>
      <c r="F60" s="558"/>
      <c r="G60" s="558"/>
      <c r="K60" s="557"/>
      <c r="L60" s="558"/>
      <c r="M60" s="560"/>
      <c r="N60" s="558"/>
    </row>
    <row r="61" spans="1:14" hidden="1">
      <c r="D61" s="557"/>
      <c r="E61" s="558"/>
      <c r="F61" s="558"/>
      <c r="G61" s="558"/>
      <c r="K61" s="557"/>
      <c r="L61" s="558"/>
      <c r="M61" s="560"/>
      <c r="N61" s="558"/>
    </row>
    <row r="62" spans="1:14">
      <c r="D62" s="557"/>
      <c r="E62" s="558"/>
      <c r="F62" s="558"/>
      <c r="G62" s="558"/>
      <c r="K62" s="557"/>
      <c r="L62" s="558"/>
      <c r="M62" s="560"/>
      <c r="N62" s="558"/>
    </row>
    <row r="63" spans="1:14">
      <c r="D63" s="557"/>
      <c r="E63" s="558"/>
      <c r="F63" s="558"/>
      <c r="G63" s="558"/>
      <c r="K63" s="557"/>
      <c r="L63" s="558"/>
      <c r="M63" s="560"/>
      <c r="N63" s="558"/>
    </row>
    <row r="64" spans="1:14">
      <c r="D64" s="557"/>
      <c r="E64" s="558"/>
      <c r="F64" s="558"/>
      <c r="G64" s="558"/>
      <c r="K64" s="557"/>
      <c r="L64" s="558"/>
      <c r="M64" s="560"/>
      <c r="N64" s="558"/>
    </row>
    <row r="65" spans="4:14">
      <c r="D65" s="557"/>
      <c r="E65" s="558"/>
      <c r="F65" s="558"/>
      <c r="G65" s="558"/>
      <c r="K65" s="557"/>
      <c r="L65" s="558"/>
      <c r="M65" s="560"/>
      <c r="N65" s="558"/>
    </row>
    <row r="66" spans="4:14">
      <c r="D66" s="557"/>
      <c r="E66" s="558"/>
      <c r="F66" s="558"/>
      <c r="G66" s="558"/>
      <c r="K66" s="557"/>
      <c r="L66" s="558"/>
      <c r="M66" s="560"/>
      <c r="N66" s="558"/>
    </row>
    <row r="67" spans="4:14">
      <c r="D67" s="557"/>
      <c r="E67" s="558"/>
      <c r="F67" s="558"/>
      <c r="G67" s="558"/>
      <c r="K67" s="557"/>
      <c r="L67" s="558"/>
      <c r="M67" s="560"/>
      <c r="N67" s="558"/>
    </row>
    <row r="68" spans="4:14">
      <c r="D68" s="557"/>
      <c r="E68" s="558"/>
      <c r="F68" s="558"/>
      <c r="G68" s="558"/>
      <c r="K68" s="557"/>
      <c r="L68" s="558"/>
      <c r="M68" s="560"/>
      <c r="N68" s="558"/>
    </row>
    <row r="69" spans="4:14">
      <c r="D69" s="557"/>
      <c r="E69" s="558"/>
      <c r="F69" s="558"/>
      <c r="G69" s="558"/>
      <c r="K69" s="557"/>
      <c r="L69" s="558"/>
      <c r="M69" s="560"/>
      <c r="N69" s="558"/>
    </row>
    <row r="70" spans="4:14">
      <c r="D70" s="557"/>
      <c r="E70" s="558"/>
      <c r="F70" s="558"/>
      <c r="G70" s="558"/>
      <c r="K70" s="557"/>
      <c r="L70" s="558"/>
      <c r="M70" s="560"/>
      <c r="N70" s="558"/>
    </row>
    <row r="71" spans="4:14">
      <c r="D71" s="557"/>
      <c r="E71" s="558"/>
      <c r="F71" s="558"/>
      <c r="G71" s="558"/>
      <c r="K71" s="557"/>
      <c r="L71" s="558"/>
      <c r="M71" s="560"/>
      <c r="N71" s="558"/>
    </row>
    <row r="72" spans="4:14">
      <c r="D72" s="557"/>
      <c r="E72" s="558"/>
      <c r="F72" s="558"/>
      <c r="G72" s="558"/>
      <c r="K72" s="557"/>
      <c r="L72" s="558"/>
      <c r="M72" s="560"/>
      <c r="N72" s="558"/>
    </row>
    <row r="73" spans="4:14">
      <c r="D73" s="557"/>
      <c r="E73" s="558"/>
      <c r="F73" s="558"/>
      <c r="G73" s="558"/>
      <c r="K73" s="557"/>
      <c r="L73" s="558"/>
      <c r="M73" s="560"/>
      <c r="N73" s="558"/>
    </row>
    <row r="74" spans="4:14">
      <c r="D74" s="557"/>
      <c r="E74" s="558"/>
      <c r="F74" s="558"/>
      <c r="G74" s="558"/>
      <c r="K74" s="557"/>
      <c r="L74" s="558"/>
      <c r="M74" s="560"/>
      <c r="N74" s="558"/>
    </row>
    <row r="75" spans="4:14">
      <c r="D75" s="557"/>
      <c r="E75" s="558"/>
      <c r="F75" s="558"/>
      <c r="G75" s="558"/>
      <c r="K75" s="557"/>
      <c r="L75" s="558"/>
      <c r="M75" s="560"/>
      <c r="N75" s="558"/>
    </row>
    <row r="76" spans="4:14">
      <c r="D76" s="557"/>
      <c r="E76" s="558"/>
      <c r="F76" s="558"/>
      <c r="G76" s="558"/>
      <c r="K76" s="557"/>
      <c r="L76" s="558"/>
      <c r="M76" s="560"/>
      <c r="N76" s="558"/>
    </row>
    <row r="77" spans="4:14">
      <c r="D77" s="557"/>
      <c r="E77" s="558"/>
      <c r="F77" s="558"/>
      <c r="G77" s="558"/>
      <c r="K77" s="557"/>
      <c r="L77" s="558"/>
      <c r="M77" s="560"/>
      <c r="N77" s="558"/>
    </row>
    <row r="78" spans="4:14">
      <c r="D78" s="557"/>
      <c r="E78" s="558"/>
      <c r="F78" s="558"/>
      <c r="G78" s="558"/>
      <c r="K78" s="557"/>
      <c r="L78" s="558"/>
      <c r="M78" s="560"/>
      <c r="N78" s="558"/>
    </row>
    <row r="79" spans="4:14">
      <c r="D79" s="557"/>
      <c r="E79" s="558"/>
      <c r="F79" s="558"/>
      <c r="G79" s="558"/>
    </row>
    <row r="80" spans="4:14">
      <c r="D80" s="557"/>
      <c r="E80" s="558"/>
      <c r="F80" s="558"/>
      <c r="G80" s="558"/>
    </row>
  </sheetData>
  <mergeCells count="17">
    <mergeCell ref="N4:N5"/>
    <mergeCell ref="F4:F5"/>
    <mergeCell ref="A6:C6"/>
    <mergeCell ref="H6:J6"/>
    <mergeCell ref="I7:J7"/>
    <mergeCell ref="A1:C1"/>
    <mergeCell ref="H1:J1"/>
    <mergeCell ref="A3:G3"/>
    <mergeCell ref="H3:N3"/>
    <mergeCell ref="A4:C4"/>
    <mergeCell ref="D4:D5"/>
    <mergeCell ref="E4:E5"/>
    <mergeCell ref="G4:G5"/>
    <mergeCell ref="H4:J4"/>
    <mergeCell ref="K4:K5"/>
    <mergeCell ref="L4:L5"/>
    <mergeCell ref="M4:M5"/>
  </mergeCells>
  <phoneticPr fontId="2" type="noConversion"/>
  <printOptions horizontalCentered="1"/>
  <pageMargins left="0.13" right="0" top="0.23622047244094491" bottom="0.19685039370078741" header="0.15748031496062992" footer="0.15748031496062992"/>
  <pageSetup paperSize="9" scale="70" orientation="landscape" horizontalDpi="4294967293" vertic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opLeftCell="A48" workbookViewId="0">
      <selection activeCell="E7" sqref="E7:E27"/>
    </sheetView>
  </sheetViews>
  <sheetFormatPr defaultRowHeight="13.5"/>
  <cols>
    <col min="1" max="1" width="9.33203125" style="5" bestFit="1" customWidth="1"/>
    <col min="2" max="2" width="10.77734375" style="5" bestFit="1" customWidth="1"/>
    <col min="3" max="3" width="13.6640625" style="5" bestFit="1" customWidth="1"/>
    <col min="4" max="5" width="15" style="40" bestFit="1" customWidth="1"/>
    <col min="6" max="6" width="14.33203125" style="40" bestFit="1" customWidth="1"/>
    <col min="7" max="7" width="53.21875" style="24" customWidth="1"/>
    <col min="8" max="8" width="11.5546875" style="6" customWidth="1"/>
    <col min="9" max="9" width="10.21875" style="5" customWidth="1"/>
    <col min="10" max="10" width="5" style="5" customWidth="1"/>
    <col min="11" max="11" width="10.77734375" style="5" customWidth="1"/>
  </cols>
  <sheetData>
    <row r="1" spans="1:7" s="4" customFormat="1" ht="22.5" customHeight="1">
      <c r="A1" s="1224" t="s">
        <v>650</v>
      </c>
      <c r="B1" s="1224"/>
      <c r="C1" s="1224"/>
      <c r="D1" s="1224"/>
      <c r="E1" s="1224"/>
      <c r="F1" s="1224"/>
      <c r="G1" s="1224"/>
    </row>
    <row r="2" spans="1:7" s="4" customFormat="1" ht="22.5" customHeight="1">
      <c r="A2" s="1227"/>
      <c r="B2" s="1227"/>
      <c r="C2" s="1227"/>
      <c r="D2" s="33"/>
      <c r="E2" s="33"/>
      <c r="F2" s="32"/>
      <c r="G2" s="54"/>
    </row>
    <row r="3" spans="1:7" s="4" customFormat="1" ht="18.75" customHeight="1">
      <c r="A3" s="1230" t="s">
        <v>353</v>
      </c>
      <c r="B3" s="1231"/>
      <c r="C3" s="1231"/>
      <c r="D3" s="1231"/>
      <c r="E3" s="1231"/>
      <c r="F3" s="1231"/>
      <c r="G3" s="1232"/>
    </row>
    <row r="4" spans="1:7" s="2" customFormat="1" ht="18.75" customHeight="1">
      <c r="A4" s="1237" t="s">
        <v>4</v>
      </c>
      <c r="B4" s="1238"/>
      <c r="C4" s="1238"/>
      <c r="D4" s="1233" t="s">
        <v>597</v>
      </c>
      <c r="E4" s="1233" t="s">
        <v>598</v>
      </c>
      <c r="F4" s="1228" t="s">
        <v>355</v>
      </c>
      <c r="G4" s="1213" t="s">
        <v>356</v>
      </c>
    </row>
    <row r="5" spans="1:7" s="2" customFormat="1" ht="18.75" customHeight="1" thickBot="1">
      <c r="A5" s="7" t="s">
        <v>1</v>
      </c>
      <c r="B5" s="8" t="s">
        <v>2</v>
      </c>
      <c r="C5" s="8" t="s">
        <v>3</v>
      </c>
      <c r="D5" s="1236"/>
      <c r="E5" s="1236"/>
      <c r="F5" s="1229"/>
      <c r="G5" s="1214"/>
    </row>
    <row r="6" spans="1:7" s="2" customFormat="1" ht="18.75" customHeight="1" thickTop="1" thickBot="1">
      <c r="A6" s="1225" t="s">
        <v>225</v>
      </c>
      <c r="B6" s="1226"/>
      <c r="C6" s="1226"/>
      <c r="D6" s="34">
        <f>SUM(D7:D27)</f>
        <v>3319000000</v>
      </c>
      <c r="E6" s="34">
        <f>SUM(E7:E27)</f>
        <v>3230720000</v>
      </c>
      <c r="F6" s="34">
        <f>SUM(F7:F27)</f>
        <v>-88280000</v>
      </c>
      <c r="G6" s="55"/>
    </row>
    <row r="7" spans="1:7" s="1" customFormat="1" ht="14.25" thickTop="1">
      <c r="A7" s="30" t="s">
        <v>41</v>
      </c>
      <c r="B7" s="31" t="s">
        <v>222</v>
      </c>
      <c r="C7" s="31" t="s">
        <v>222</v>
      </c>
      <c r="D7" s="63">
        <f>'나.세입세출(총괄)'!D7</f>
        <v>134400000</v>
      </c>
      <c r="E7" s="63">
        <f>'나.세입세출(총괄)'!E7</f>
        <v>134400000</v>
      </c>
      <c r="F7" s="35">
        <f>E7-D7</f>
        <v>0</v>
      </c>
      <c r="G7" s="58"/>
    </row>
    <row r="8" spans="1:7" s="1" customFormat="1">
      <c r="A8" s="26" t="s">
        <v>329</v>
      </c>
      <c r="B8" s="17" t="s">
        <v>329</v>
      </c>
      <c r="C8" s="17" t="s">
        <v>330</v>
      </c>
      <c r="D8" s="64">
        <v>0</v>
      </c>
      <c r="E8" s="64">
        <f>'나.세입세출(총괄)'!E10</f>
        <v>0</v>
      </c>
      <c r="F8" s="36">
        <f>E8-D8</f>
        <v>0</v>
      </c>
      <c r="G8" s="57"/>
    </row>
    <row r="9" spans="1:7" s="1" customFormat="1">
      <c r="A9" s="26" t="s">
        <v>44</v>
      </c>
      <c r="B9" s="17" t="s">
        <v>44</v>
      </c>
      <c r="C9" s="17" t="s">
        <v>44</v>
      </c>
      <c r="D9" s="64">
        <v>0</v>
      </c>
      <c r="E9" s="64">
        <f>'나.세입세출(총괄)'!E13</f>
        <v>0</v>
      </c>
      <c r="F9" s="36">
        <f t="shared" ref="F9:F25" si="0">E9-D9</f>
        <v>0</v>
      </c>
      <c r="G9" s="57"/>
    </row>
    <row r="10" spans="1:7" s="1" customFormat="1" ht="15.75" customHeight="1">
      <c r="A10" s="1215" t="s">
        <v>42</v>
      </c>
      <c r="B10" s="1218" t="s">
        <v>89</v>
      </c>
      <c r="C10" s="17" t="s">
        <v>50</v>
      </c>
      <c r="D10" s="64">
        <f>'나.세입세출(총괄)'!D18</f>
        <v>1703326015</v>
      </c>
      <c r="E10" s="64">
        <f>'나.세입세출(총괄)'!E18</f>
        <v>1672616764</v>
      </c>
      <c r="F10" s="36">
        <f t="shared" si="0"/>
        <v>-30709251</v>
      </c>
      <c r="G10" s="73" t="s">
        <v>586</v>
      </c>
    </row>
    <row r="11" spans="1:7" s="1" customFormat="1">
      <c r="A11" s="1216"/>
      <c r="B11" s="1221"/>
      <c r="C11" s="17" t="s">
        <v>15</v>
      </c>
      <c r="D11" s="64">
        <f>'나.세입세출(총괄)'!D19</f>
        <v>941842735</v>
      </c>
      <c r="E11" s="64">
        <f>'나.세입세출(총괄)'!E19</f>
        <v>911987056</v>
      </c>
      <c r="F11" s="36">
        <f t="shared" si="0"/>
        <v>-29855679</v>
      </c>
      <c r="G11" s="74" t="s">
        <v>610</v>
      </c>
    </row>
    <row r="12" spans="1:7" s="1" customFormat="1">
      <c r="A12" s="1216"/>
      <c r="B12" s="1219"/>
      <c r="C12" s="17" t="s">
        <v>97</v>
      </c>
      <c r="D12" s="64">
        <f>'나.세입세출(총괄)'!D20</f>
        <v>6300000</v>
      </c>
      <c r="E12" s="64">
        <f>'나.세입세출(총괄)'!E20</f>
        <v>6720000</v>
      </c>
      <c r="F12" s="36">
        <f t="shared" si="0"/>
        <v>420000</v>
      </c>
      <c r="G12" s="74" t="s">
        <v>585</v>
      </c>
    </row>
    <row r="13" spans="1:7" s="1" customFormat="1">
      <c r="A13" s="1216"/>
      <c r="B13" s="17" t="s">
        <v>90</v>
      </c>
      <c r="C13" s="17" t="s">
        <v>207</v>
      </c>
      <c r="D13" s="64">
        <v>0</v>
      </c>
      <c r="E13" s="64">
        <f>'나.세입세출(총괄)'!E21</f>
        <v>0</v>
      </c>
      <c r="F13" s="36">
        <f t="shared" si="0"/>
        <v>0</v>
      </c>
      <c r="G13" s="57"/>
    </row>
    <row r="14" spans="1:7" s="1" customFormat="1">
      <c r="A14" s="1216"/>
      <c r="B14" s="1218" t="s">
        <v>43</v>
      </c>
      <c r="C14" s="17" t="s">
        <v>155</v>
      </c>
      <c r="D14" s="64">
        <v>0</v>
      </c>
      <c r="E14" s="64">
        <f>'나.세입세출(총괄)'!E24</f>
        <v>0</v>
      </c>
      <c r="F14" s="36">
        <f>E14-D14</f>
        <v>0</v>
      </c>
      <c r="G14" s="57" t="s">
        <v>600</v>
      </c>
    </row>
    <row r="15" spans="1:7" s="1" customFormat="1">
      <c r="A15" s="1216"/>
      <c r="B15" s="1221"/>
      <c r="C15" s="17" t="s">
        <v>351</v>
      </c>
      <c r="D15" s="64">
        <v>0</v>
      </c>
      <c r="E15" s="64">
        <f>'나.세입세출(총괄)'!E25</f>
        <v>0</v>
      </c>
      <c r="F15" s="36">
        <f t="shared" si="0"/>
        <v>0</v>
      </c>
      <c r="G15" s="57"/>
    </row>
    <row r="16" spans="1:7" s="1" customFormat="1" ht="13.5" hidden="1" customHeight="1">
      <c r="A16" s="1216"/>
      <c r="B16" s="1221"/>
      <c r="C16" s="17"/>
      <c r="D16" s="64">
        <v>0</v>
      </c>
      <c r="E16" s="64">
        <f>'나.세입세출(총괄)'!E26</f>
        <v>0</v>
      </c>
      <c r="F16" s="36">
        <f t="shared" si="0"/>
        <v>0</v>
      </c>
      <c r="G16" s="57"/>
    </row>
    <row r="17" spans="1:7" s="1" customFormat="1" ht="13.5" hidden="1" customHeight="1">
      <c r="A17" s="1216"/>
      <c r="B17" s="1219"/>
      <c r="C17" s="17"/>
      <c r="D17" s="64">
        <v>0</v>
      </c>
      <c r="E17" s="64">
        <f>'나.세입세출(총괄)'!E27</f>
        <v>0</v>
      </c>
      <c r="F17" s="36">
        <f t="shared" si="0"/>
        <v>0</v>
      </c>
      <c r="G17" s="56"/>
    </row>
    <row r="18" spans="1:7" s="3" customFormat="1">
      <c r="A18" s="1220"/>
      <c r="B18" s="17" t="s">
        <v>94</v>
      </c>
      <c r="C18" s="17" t="s">
        <v>94</v>
      </c>
      <c r="D18" s="64">
        <v>0</v>
      </c>
      <c r="E18" s="64">
        <f>'나.세입세출(총괄)'!E28</f>
        <v>0</v>
      </c>
      <c r="F18" s="36">
        <f t="shared" si="0"/>
        <v>0</v>
      </c>
      <c r="G18" s="57"/>
    </row>
    <row r="19" spans="1:7" s="2" customFormat="1">
      <c r="A19" s="1215" t="s">
        <v>335</v>
      </c>
      <c r="B19" s="1218" t="s">
        <v>94</v>
      </c>
      <c r="C19" s="17" t="s">
        <v>333</v>
      </c>
      <c r="D19" s="64">
        <f>'나.세입세출(총괄)'!D32</f>
        <v>14200000</v>
      </c>
      <c r="E19" s="64">
        <f>'나.세입세출(총괄)'!E32</f>
        <v>14200000</v>
      </c>
      <c r="F19" s="36">
        <f t="shared" si="0"/>
        <v>0</v>
      </c>
      <c r="G19" s="57" t="s">
        <v>601</v>
      </c>
    </row>
    <row r="20" spans="1:7" s="1" customFormat="1">
      <c r="A20" s="1216"/>
      <c r="B20" s="1219"/>
      <c r="C20" s="17" t="s">
        <v>334</v>
      </c>
      <c r="D20" s="64">
        <f>'나.세입세출(총괄)'!D33</f>
        <v>350000000</v>
      </c>
      <c r="E20" s="64">
        <f>'나.세입세출(총괄)'!E33</f>
        <v>350000000</v>
      </c>
      <c r="F20" s="36">
        <f t="shared" si="0"/>
        <v>0</v>
      </c>
      <c r="G20" s="57"/>
    </row>
    <row r="21" spans="1:7" s="1" customFormat="1">
      <c r="A21" s="1220"/>
      <c r="B21" s="27" t="s">
        <v>358</v>
      </c>
      <c r="C21" s="17" t="s">
        <v>359</v>
      </c>
      <c r="D21" s="64">
        <f>'나.세입세출(총괄)'!D34</f>
        <v>0</v>
      </c>
      <c r="E21" s="64">
        <f>'나.세입세출(총괄)'!E34</f>
        <v>0</v>
      </c>
      <c r="F21" s="36">
        <f t="shared" si="0"/>
        <v>0</v>
      </c>
      <c r="G21" s="57"/>
    </row>
    <row r="22" spans="1:7">
      <c r="A22" s="26" t="s">
        <v>46</v>
      </c>
      <c r="B22" s="17" t="s">
        <v>46</v>
      </c>
      <c r="C22" s="17" t="s">
        <v>47</v>
      </c>
      <c r="D22" s="64">
        <f>'나.세입세출(총괄)'!D36</f>
        <v>40000000</v>
      </c>
      <c r="E22" s="64">
        <f>'나.세입세출(총괄)'!E36</f>
        <v>40000000</v>
      </c>
      <c r="F22" s="36">
        <f>E22-D22</f>
        <v>0</v>
      </c>
      <c r="G22" s="57"/>
    </row>
    <row r="23" spans="1:7">
      <c r="A23" s="1215" t="s">
        <v>91</v>
      </c>
      <c r="B23" s="1218" t="s">
        <v>91</v>
      </c>
      <c r="C23" s="17" t="s">
        <v>212</v>
      </c>
      <c r="D23" s="64">
        <f>'나.세입세출(총괄)'!D41</f>
        <v>81659584</v>
      </c>
      <c r="E23" s="64">
        <f>'나.세입세출(총괄)'!E41</f>
        <v>53487000</v>
      </c>
      <c r="F23" s="36">
        <f t="shared" si="0"/>
        <v>-28172584</v>
      </c>
      <c r="G23" s="57" t="s">
        <v>602</v>
      </c>
    </row>
    <row r="24" spans="1:7">
      <c r="A24" s="1220"/>
      <c r="B24" s="1219"/>
      <c r="C24" s="17" t="s">
        <v>211</v>
      </c>
      <c r="D24" s="64">
        <f>'나.세입세출(총괄)'!D42</f>
        <v>0</v>
      </c>
      <c r="E24" s="64">
        <f>'나.세입세출(총괄)'!E42</f>
        <v>0</v>
      </c>
      <c r="F24" s="36">
        <f t="shared" si="0"/>
        <v>0</v>
      </c>
      <c r="G24" s="57"/>
    </row>
    <row r="25" spans="1:7">
      <c r="A25" s="1215" t="s">
        <v>45</v>
      </c>
      <c r="B25" s="1218" t="s">
        <v>45</v>
      </c>
      <c r="C25" s="17" t="s">
        <v>48</v>
      </c>
      <c r="D25" s="64">
        <f>'나.세입세출(총괄)'!D45</f>
        <v>500000</v>
      </c>
      <c r="E25" s="64">
        <f>'나.세입세출(총괄)'!E45</f>
        <v>500000</v>
      </c>
      <c r="F25" s="36">
        <f t="shared" si="0"/>
        <v>0</v>
      </c>
      <c r="G25" s="57"/>
    </row>
    <row r="26" spans="1:7">
      <c r="A26" s="1216"/>
      <c r="B26" s="1221"/>
      <c r="C26" s="17" t="s">
        <v>49</v>
      </c>
      <c r="D26" s="64">
        <f>'나.세입세출(총괄)'!D46</f>
        <v>1721666</v>
      </c>
      <c r="E26" s="64">
        <f>'나.세입세출(총괄)'!E46</f>
        <v>1759180</v>
      </c>
      <c r="F26" s="36">
        <f>E26-D26</f>
        <v>37514</v>
      </c>
      <c r="G26" s="57" t="s">
        <v>585</v>
      </c>
    </row>
    <row r="27" spans="1:7">
      <c r="A27" s="1217"/>
      <c r="B27" s="1235"/>
      <c r="C27" s="28" t="s">
        <v>214</v>
      </c>
      <c r="D27" s="65">
        <f>'나.세입세출(총괄)'!D47</f>
        <v>45050000</v>
      </c>
      <c r="E27" s="65">
        <f>'나.세입세출(총괄)'!E47</f>
        <v>45050000</v>
      </c>
      <c r="F27" s="38">
        <f>E27-D27</f>
        <v>0</v>
      </c>
      <c r="G27" s="59"/>
    </row>
    <row r="28" spans="1:7">
      <c r="A28" s="9"/>
      <c r="B28" s="9"/>
      <c r="C28" s="9"/>
      <c r="D28" s="39"/>
      <c r="E28" s="39"/>
      <c r="F28" s="39"/>
    </row>
    <row r="29" spans="1:7">
      <c r="A29" s="9"/>
      <c r="B29" s="9"/>
      <c r="C29" s="9"/>
      <c r="D29" s="39"/>
      <c r="E29" s="39"/>
      <c r="F29" s="39"/>
    </row>
    <row r="30" spans="1:7" s="4" customFormat="1" ht="18.75" customHeight="1">
      <c r="A30" s="1230" t="s">
        <v>354</v>
      </c>
      <c r="B30" s="1231"/>
      <c r="C30" s="1231"/>
      <c r="D30" s="1231"/>
      <c r="E30" s="1231"/>
      <c r="F30" s="1231"/>
      <c r="G30" s="1232"/>
    </row>
    <row r="31" spans="1:7" s="2" customFormat="1" ht="18.75" customHeight="1">
      <c r="A31" s="1237" t="s">
        <v>4</v>
      </c>
      <c r="B31" s="1238"/>
      <c r="C31" s="1238"/>
      <c r="D31" s="1233" t="str">
        <f>D4</f>
        <v>2015년도
당초예산
( A )</v>
      </c>
      <c r="E31" s="1233" t="str">
        <f>E4</f>
        <v>2015년도
1차추경
( B )</v>
      </c>
      <c r="F31" s="1228" t="s">
        <v>355</v>
      </c>
      <c r="G31" s="1213" t="s">
        <v>356</v>
      </c>
    </row>
    <row r="32" spans="1:7" s="2" customFormat="1" ht="18.75" customHeight="1" thickBot="1">
      <c r="A32" s="7" t="s">
        <v>1</v>
      </c>
      <c r="B32" s="8" t="s">
        <v>2</v>
      </c>
      <c r="C32" s="8" t="s">
        <v>3</v>
      </c>
      <c r="D32" s="1234"/>
      <c r="E32" s="1234"/>
      <c r="F32" s="1229"/>
      <c r="G32" s="1214"/>
    </row>
    <row r="33" spans="1:7" s="2" customFormat="1" ht="18.75" customHeight="1" thickTop="1" thickBot="1">
      <c r="A33" s="1225" t="s">
        <v>225</v>
      </c>
      <c r="B33" s="1226"/>
      <c r="C33" s="1226"/>
      <c r="D33" s="34" t="e">
        <f>SUM(D34:D79)</f>
        <v>#REF!</v>
      </c>
      <c r="E33" s="34" t="e">
        <f>SUM(E34:E79)</f>
        <v>#REF!</v>
      </c>
      <c r="F33" s="34" t="e">
        <f>SUM(F34:F79)</f>
        <v>#REF!</v>
      </c>
      <c r="G33" s="60"/>
    </row>
    <row r="34" spans="1:7" ht="14.25" thickTop="1">
      <c r="A34" s="1223" t="s">
        <v>9</v>
      </c>
      <c r="B34" s="1222" t="s">
        <v>50</v>
      </c>
      <c r="C34" s="31" t="s">
        <v>10</v>
      </c>
      <c r="D34" s="61">
        <f>'나.세입세출(총괄)'!K9</f>
        <v>1479465000</v>
      </c>
      <c r="E34" s="61">
        <f>'나.세입세출(총괄)'!L9</f>
        <v>1479465000</v>
      </c>
      <c r="F34" s="35">
        <f>E34-D34</f>
        <v>0</v>
      </c>
      <c r="G34" s="73" t="s">
        <v>587</v>
      </c>
    </row>
    <row r="35" spans="1:7">
      <c r="A35" s="1216"/>
      <c r="B35" s="1221"/>
      <c r="C35" s="17" t="s">
        <v>11</v>
      </c>
      <c r="D35" s="62" t="e">
        <f>'나.세입세출(총괄)'!#REF!</f>
        <v>#REF!</v>
      </c>
      <c r="E35" s="62" t="e">
        <f>'나.세입세출(총괄)'!#REF!</f>
        <v>#REF!</v>
      </c>
      <c r="F35" s="37" t="e">
        <f>E35-D35</f>
        <v>#REF!</v>
      </c>
      <c r="G35" s="70"/>
    </row>
    <row r="36" spans="1:7">
      <c r="A36" s="1216"/>
      <c r="B36" s="1221"/>
      <c r="C36" s="17" t="s">
        <v>243</v>
      </c>
      <c r="D36" s="62">
        <f>'나.세입세출(총괄)'!K10</f>
        <v>9600000</v>
      </c>
      <c r="E36" s="62">
        <f>'나.세입세출(총괄)'!L10</f>
        <v>9600000</v>
      </c>
      <c r="F36" s="37">
        <f t="shared" ref="F36:F77" si="1">E36-D36</f>
        <v>0</v>
      </c>
      <c r="G36" s="71"/>
    </row>
    <row r="37" spans="1:7">
      <c r="A37" s="1216"/>
      <c r="B37" s="1221"/>
      <c r="C37" s="17" t="s">
        <v>13</v>
      </c>
      <c r="D37" s="62">
        <f>'나.세입세출(총괄)'!K11</f>
        <v>509510880</v>
      </c>
      <c r="E37" s="62">
        <f>'나.세입세출(총괄)'!L11</f>
        <v>509510880</v>
      </c>
      <c r="F37" s="37">
        <f t="shared" si="1"/>
        <v>0</v>
      </c>
      <c r="G37" s="73" t="s">
        <v>587</v>
      </c>
    </row>
    <row r="38" spans="1:7">
      <c r="A38" s="1216"/>
      <c r="B38" s="1221"/>
      <c r="C38" s="17" t="s">
        <v>244</v>
      </c>
      <c r="D38" s="62">
        <f>'나.세입세출(총괄)'!K12</f>
        <v>164978100</v>
      </c>
      <c r="E38" s="62">
        <f>'나.세입세출(총괄)'!L12</f>
        <v>164978100</v>
      </c>
      <c r="F38" s="37">
        <f t="shared" si="1"/>
        <v>0</v>
      </c>
      <c r="G38" s="73" t="s">
        <v>587</v>
      </c>
    </row>
    <row r="39" spans="1:7">
      <c r="A39" s="1216"/>
      <c r="B39" s="1221"/>
      <c r="C39" s="17" t="s">
        <v>245</v>
      </c>
      <c r="D39" s="62">
        <f>'나.세입세출(총괄)'!K13</f>
        <v>187693290</v>
      </c>
      <c r="E39" s="62">
        <f>'나.세입세출(총괄)'!L13</f>
        <v>187693290</v>
      </c>
      <c r="F39" s="37">
        <f t="shared" si="1"/>
        <v>0</v>
      </c>
      <c r="G39" s="73" t="s">
        <v>587</v>
      </c>
    </row>
    <row r="40" spans="1:7">
      <c r="A40" s="1216"/>
      <c r="B40" s="1219"/>
      <c r="C40" s="17" t="s">
        <v>109</v>
      </c>
      <c r="D40" s="62">
        <f>'나.세입세출(총괄)'!K14</f>
        <v>42000000</v>
      </c>
      <c r="E40" s="62">
        <f>'나.세입세출(총괄)'!L14</f>
        <v>42000000</v>
      </c>
      <c r="F40" s="37">
        <f t="shared" si="1"/>
        <v>0</v>
      </c>
      <c r="G40" s="71" t="s">
        <v>583</v>
      </c>
    </row>
    <row r="41" spans="1:7">
      <c r="A41" s="1216"/>
      <c r="B41" s="1218" t="s">
        <v>51</v>
      </c>
      <c r="C41" s="17" t="s">
        <v>110</v>
      </c>
      <c r="D41" s="62" t="e">
        <f>'나.세입세출(총괄)'!#REF!</f>
        <v>#REF!</v>
      </c>
      <c r="E41" s="62" t="e">
        <f>'나.세입세출(총괄)'!#REF!</f>
        <v>#REF!</v>
      </c>
      <c r="F41" s="37" t="e">
        <f t="shared" si="1"/>
        <v>#REF!</v>
      </c>
      <c r="G41" s="71"/>
    </row>
    <row r="42" spans="1:7">
      <c r="A42" s="1216"/>
      <c r="B42" s="1221"/>
      <c r="C42" s="17" t="s">
        <v>14</v>
      </c>
      <c r="D42" s="62" t="e">
        <f>'나.세입세출(총괄)'!#REF!</f>
        <v>#REF!</v>
      </c>
      <c r="E42" s="62" t="e">
        <f>'나.세입세출(총괄)'!#REF!</f>
        <v>#REF!</v>
      </c>
      <c r="F42" s="37" t="e">
        <f t="shared" si="1"/>
        <v>#REF!</v>
      </c>
      <c r="G42" s="71"/>
    </row>
    <row r="43" spans="1:7">
      <c r="A43" s="1216"/>
      <c r="B43" s="1221"/>
      <c r="C43" s="17" t="s">
        <v>182</v>
      </c>
      <c r="D43" s="62" t="e">
        <f>'나.세입세출(총괄)'!#REF!</f>
        <v>#REF!</v>
      </c>
      <c r="E43" s="62" t="e">
        <f>'나.세입세출(총괄)'!#REF!</f>
        <v>#REF!</v>
      </c>
      <c r="F43" s="37" t="e">
        <f t="shared" si="1"/>
        <v>#REF!</v>
      </c>
      <c r="G43" s="71"/>
    </row>
    <row r="44" spans="1:7">
      <c r="A44" s="1216"/>
      <c r="B44" s="1219"/>
      <c r="C44" s="17" t="s">
        <v>112</v>
      </c>
      <c r="D44" s="62">
        <f>'나.세입세출(총괄)'!K16</f>
        <v>2490000</v>
      </c>
      <c r="E44" s="62">
        <f>'나.세입세출(총괄)'!L16</f>
        <v>2490000</v>
      </c>
      <c r="F44" s="37">
        <f t="shared" si="1"/>
        <v>0</v>
      </c>
      <c r="G44" s="71" t="s">
        <v>583</v>
      </c>
    </row>
    <row r="45" spans="1:7">
      <c r="A45" s="1216"/>
      <c r="B45" s="1218" t="s">
        <v>15</v>
      </c>
      <c r="C45" s="17" t="s">
        <v>16</v>
      </c>
      <c r="D45" s="62">
        <f>'나.세입세출(총괄)'!K18</f>
        <v>5000000</v>
      </c>
      <c r="E45" s="62">
        <f>'나.세입세출(총괄)'!L18</f>
        <v>5000000</v>
      </c>
      <c r="F45" s="37">
        <f t="shared" si="1"/>
        <v>0</v>
      </c>
      <c r="G45" s="71"/>
    </row>
    <row r="46" spans="1:7">
      <c r="A46" s="1216"/>
      <c r="B46" s="1221"/>
      <c r="C46" s="17" t="s">
        <v>115</v>
      </c>
      <c r="D46" s="62">
        <f>'나.세입세출(총괄)'!K19</f>
        <v>59771080</v>
      </c>
      <c r="E46" s="62">
        <f>'나.세입세출(총괄)'!L19</f>
        <v>55288080</v>
      </c>
      <c r="F46" s="37">
        <f t="shared" si="1"/>
        <v>-4483000</v>
      </c>
      <c r="G46" s="71" t="s">
        <v>582</v>
      </c>
    </row>
    <row r="47" spans="1:7">
      <c r="A47" s="1216"/>
      <c r="B47" s="1221"/>
      <c r="C47" s="17" t="s">
        <v>17</v>
      </c>
      <c r="D47" s="62">
        <f>'나.세입세출(총괄)'!K20</f>
        <v>126000000</v>
      </c>
      <c r="E47" s="62">
        <f>'나.세입세출(총괄)'!L20</f>
        <v>119100000</v>
      </c>
      <c r="F47" s="37">
        <f t="shared" si="1"/>
        <v>-6900000</v>
      </c>
      <c r="G47" s="71"/>
    </row>
    <row r="48" spans="1:7">
      <c r="A48" s="1216"/>
      <c r="B48" s="1221"/>
      <c r="C48" s="17" t="s">
        <v>18</v>
      </c>
      <c r="D48" s="62">
        <f>'나.세입세출(총괄)'!K21</f>
        <v>13625830</v>
      </c>
      <c r="E48" s="62">
        <f>'나.세입세출(총괄)'!L21</f>
        <v>13625830</v>
      </c>
      <c r="F48" s="37">
        <f t="shared" si="1"/>
        <v>0</v>
      </c>
      <c r="G48" s="71"/>
    </row>
    <row r="49" spans="1:7">
      <c r="A49" s="1216"/>
      <c r="B49" s="1221"/>
      <c r="C49" s="17" t="s">
        <v>19</v>
      </c>
      <c r="D49" s="62">
        <f>'나.세입세출(총괄)'!K22</f>
        <v>26000000</v>
      </c>
      <c r="E49" s="62">
        <f>'나.세입세출(총괄)'!L22</f>
        <v>26000000</v>
      </c>
      <c r="F49" s="37">
        <f t="shared" si="1"/>
        <v>0</v>
      </c>
      <c r="G49" s="71" t="s">
        <v>594</v>
      </c>
    </row>
    <row r="50" spans="1:7">
      <c r="A50" s="1220"/>
      <c r="B50" s="1219"/>
      <c r="C50" s="17" t="s">
        <v>119</v>
      </c>
      <c r="D50" s="62">
        <f>'나.세입세출(총괄)'!K23</f>
        <v>14000000</v>
      </c>
      <c r="E50" s="62">
        <f>'나.세입세출(총괄)'!L23</f>
        <v>14000000</v>
      </c>
      <c r="F50" s="37">
        <f t="shared" si="1"/>
        <v>0</v>
      </c>
      <c r="G50" s="71"/>
    </row>
    <row r="51" spans="1:7">
      <c r="A51" s="1215" t="s">
        <v>22</v>
      </c>
      <c r="B51" s="1218" t="s">
        <v>21</v>
      </c>
      <c r="C51" s="17" t="s">
        <v>21</v>
      </c>
      <c r="D51" s="62">
        <f>'나.세입세출(총괄)'!K26</f>
        <v>10000000</v>
      </c>
      <c r="E51" s="62">
        <f>'나.세입세출(총괄)'!L26</f>
        <v>10000000</v>
      </c>
      <c r="F51" s="37">
        <f t="shared" si="1"/>
        <v>0</v>
      </c>
      <c r="G51" s="71" t="s">
        <v>583</v>
      </c>
    </row>
    <row r="52" spans="1:7">
      <c r="A52" s="1216"/>
      <c r="B52" s="1221"/>
      <c r="C52" s="17" t="s">
        <v>52</v>
      </c>
      <c r="D52" s="62">
        <f>'나.세입세출(총괄)'!K27</f>
        <v>20000000</v>
      </c>
      <c r="E52" s="62">
        <f>'나.세입세출(총괄)'!L27</f>
        <v>65900000</v>
      </c>
      <c r="F52" s="37">
        <f t="shared" si="1"/>
        <v>45900000</v>
      </c>
      <c r="G52" s="71" t="s">
        <v>583</v>
      </c>
    </row>
    <row r="53" spans="1:7">
      <c r="A53" s="1220"/>
      <c r="B53" s="1219"/>
      <c r="C53" s="17" t="s">
        <v>122</v>
      </c>
      <c r="D53" s="62">
        <f>'나.세입세출(총괄)'!K28</f>
        <v>132000000</v>
      </c>
      <c r="E53" s="62">
        <f>'나.세입세출(총괄)'!L28</f>
        <v>92000000</v>
      </c>
      <c r="F53" s="37">
        <f t="shared" si="1"/>
        <v>-40000000</v>
      </c>
      <c r="G53" s="71" t="s">
        <v>582</v>
      </c>
    </row>
    <row r="54" spans="1:7">
      <c r="A54" s="1215" t="s">
        <v>23</v>
      </c>
      <c r="B54" s="1218" t="s">
        <v>15</v>
      </c>
      <c r="C54" s="17" t="s">
        <v>97</v>
      </c>
      <c r="D54" s="62">
        <f>'나.세입세출(총괄)'!K31</f>
        <v>211496570</v>
      </c>
      <c r="E54" s="62">
        <f>'나.세입세출(총괄)'!L31</f>
        <v>209362640</v>
      </c>
      <c r="F54" s="37">
        <f t="shared" si="1"/>
        <v>-2133930</v>
      </c>
      <c r="G54" s="71" t="s">
        <v>603</v>
      </c>
    </row>
    <row r="55" spans="1:7">
      <c r="A55" s="1216"/>
      <c r="B55" s="1221"/>
      <c r="C55" s="25" t="s">
        <v>24</v>
      </c>
      <c r="D55" s="29">
        <f>'나.세입세출(총괄)'!K32</f>
        <v>4000000</v>
      </c>
      <c r="E55" s="29">
        <f>'나.세입세출(총괄)'!L32</f>
        <v>4000000</v>
      </c>
      <c r="F55" s="37">
        <f t="shared" si="1"/>
        <v>0</v>
      </c>
      <c r="G55" s="71"/>
    </row>
    <row r="56" spans="1:7">
      <c r="A56" s="1216"/>
      <c r="B56" s="1221"/>
      <c r="C56" s="17" t="s">
        <v>129</v>
      </c>
      <c r="D56" s="29">
        <f>'나.세입세출(총괄)'!K33</f>
        <v>37970000</v>
      </c>
      <c r="E56" s="29">
        <f>'나.세입세출(총괄)'!L33</f>
        <v>37970000</v>
      </c>
      <c r="F56" s="37">
        <f t="shared" si="1"/>
        <v>0</v>
      </c>
      <c r="G56" s="71" t="s">
        <v>582</v>
      </c>
    </row>
    <row r="57" spans="1:7">
      <c r="A57" s="1216"/>
      <c r="B57" s="1221"/>
      <c r="C57" s="17" t="s">
        <v>25</v>
      </c>
      <c r="D57" s="29">
        <f>'나.세입세출(총괄)'!K34</f>
        <v>3000000</v>
      </c>
      <c r="E57" s="29">
        <f>'나.세입세출(총괄)'!L34</f>
        <v>3000000</v>
      </c>
      <c r="F57" s="37">
        <f t="shared" si="1"/>
        <v>0</v>
      </c>
      <c r="G57" s="71"/>
    </row>
    <row r="58" spans="1:7" ht="13.5" customHeight="1">
      <c r="A58" s="1216"/>
      <c r="B58" s="1221"/>
      <c r="C58" s="17" t="s">
        <v>20</v>
      </c>
      <c r="D58" s="29">
        <f>'나.세입세출(총괄)'!K35</f>
        <v>0</v>
      </c>
      <c r="E58" s="29">
        <f>'나.세입세출(총괄)'!L35</f>
        <v>0</v>
      </c>
      <c r="F58" s="37">
        <f t="shared" si="1"/>
        <v>0</v>
      </c>
      <c r="G58" s="71"/>
    </row>
    <row r="59" spans="1:7" ht="13.5" hidden="1" customHeight="1">
      <c r="A59" s="1216"/>
      <c r="B59" s="1221"/>
      <c r="C59" s="17" t="s">
        <v>26</v>
      </c>
      <c r="D59" s="29" t="e">
        <f>'나.세입세출(총괄)'!#REF!</f>
        <v>#REF!</v>
      </c>
      <c r="E59" s="29" t="e">
        <f>'나.세입세출(총괄)'!#REF!</f>
        <v>#REF!</v>
      </c>
      <c r="F59" s="37" t="e">
        <f t="shared" si="1"/>
        <v>#REF!</v>
      </c>
      <c r="G59" s="71"/>
    </row>
    <row r="60" spans="1:7" ht="13.5" hidden="1" customHeight="1">
      <c r="A60" s="1216"/>
      <c r="B60" s="1221"/>
      <c r="C60" s="17" t="s">
        <v>131</v>
      </c>
      <c r="D60" s="29"/>
      <c r="E60" s="29"/>
      <c r="F60" s="37">
        <f t="shared" si="1"/>
        <v>0</v>
      </c>
      <c r="G60" s="71"/>
    </row>
    <row r="61" spans="1:7" ht="13.5" hidden="1" customHeight="1">
      <c r="A61" s="1216"/>
      <c r="B61" s="1221"/>
      <c r="C61" s="17" t="s">
        <v>132</v>
      </c>
      <c r="D61" s="29" t="e">
        <f>'나.세입세출(총괄)'!#REF!</f>
        <v>#REF!</v>
      </c>
      <c r="E61" s="29" t="e">
        <f>'나.세입세출(총괄)'!#REF!</f>
        <v>#REF!</v>
      </c>
      <c r="F61" s="37" t="e">
        <f t="shared" si="1"/>
        <v>#REF!</v>
      </c>
      <c r="G61" s="71"/>
    </row>
    <row r="62" spans="1:7" ht="13.5" hidden="1" customHeight="1">
      <c r="A62" s="1216"/>
      <c r="B62" s="1219"/>
      <c r="C62" s="17" t="s">
        <v>20</v>
      </c>
      <c r="D62" s="62"/>
      <c r="E62" s="62"/>
      <c r="F62" s="37">
        <f t="shared" si="1"/>
        <v>0</v>
      </c>
      <c r="G62" s="71"/>
    </row>
    <row r="63" spans="1:7" ht="13.5" hidden="1" customHeight="1">
      <c r="A63" s="1216"/>
      <c r="B63" s="17" t="s">
        <v>133</v>
      </c>
      <c r="C63" s="17" t="s">
        <v>381</v>
      </c>
      <c r="D63" s="62" t="e">
        <f>'나.세입세출(총괄)'!#REF!</f>
        <v>#REF!</v>
      </c>
      <c r="E63" s="62" t="e">
        <f>'나.세입세출(총괄)'!#REF!</f>
        <v>#REF!</v>
      </c>
      <c r="F63" s="37" t="e">
        <f t="shared" si="1"/>
        <v>#REF!</v>
      </c>
      <c r="G63" s="71"/>
    </row>
    <row r="64" spans="1:7" ht="13.5" customHeight="1">
      <c r="A64" s="1216"/>
      <c r="B64" s="1218" t="s">
        <v>23</v>
      </c>
      <c r="C64" s="17" t="s">
        <v>144</v>
      </c>
      <c r="D64" s="62" t="e">
        <f>'나.세입세출(총괄)'!#REF!</f>
        <v>#REF!</v>
      </c>
      <c r="E64" s="62" t="e">
        <f>'나.세입세출(총괄)'!#REF!</f>
        <v>#REF!</v>
      </c>
      <c r="F64" s="37" t="e">
        <f t="shared" si="1"/>
        <v>#REF!</v>
      </c>
      <c r="G64" s="71"/>
    </row>
    <row r="65" spans="1:7">
      <c r="A65" s="1216"/>
      <c r="B65" s="1221"/>
      <c r="C65" s="17" t="s">
        <v>258</v>
      </c>
      <c r="D65" s="62">
        <f>'나.세입세출(총괄)'!K37</f>
        <v>93000000</v>
      </c>
      <c r="E65" s="62">
        <f>'나.세입세출(총괄)'!L37</f>
        <v>89000000</v>
      </c>
      <c r="F65" s="37">
        <f t="shared" si="1"/>
        <v>-4000000</v>
      </c>
      <c r="G65" s="71"/>
    </row>
    <row r="66" spans="1:7" ht="13.5" hidden="1" customHeight="1">
      <c r="A66" s="1216"/>
      <c r="B66" s="1221"/>
      <c r="C66" s="17" t="s">
        <v>145</v>
      </c>
      <c r="D66" s="62">
        <f>'나.세입세출(총괄)'!K38</f>
        <v>5000000</v>
      </c>
      <c r="E66" s="62">
        <f>'나.세입세출(총괄)'!L38</f>
        <v>5000000</v>
      </c>
      <c r="F66" s="37">
        <f t="shared" si="1"/>
        <v>0</v>
      </c>
      <c r="G66" s="71"/>
    </row>
    <row r="67" spans="1:7" ht="13.5" hidden="1" customHeight="1">
      <c r="A67" s="1216"/>
      <c r="B67" s="1221"/>
      <c r="C67" s="17"/>
      <c r="D67" s="62">
        <v>0</v>
      </c>
      <c r="E67" s="62">
        <v>0</v>
      </c>
      <c r="F67" s="37">
        <f t="shared" si="1"/>
        <v>0</v>
      </c>
      <c r="G67" s="71"/>
    </row>
    <row r="68" spans="1:7">
      <c r="A68" s="1216"/>
      <c r="B68" s="1221"/>
      <c r="C68" s="17" t="s">
        <v>146</v>
      </c>
      <c r="D68" s="62">
        <f>'나.세입세출(총괄)'!K39</f>
        <v>32840000</v>
      </c>
      <c r="E68" s="62">
        <f>'나.세입세출(총괄)'!L39</f>
        <v>32840000</v>
      </c>
      <c r="F68" s="37">
        <f t="shared" si="1"/>
        <v>0</v>
      </c>
      <c r="G68" s="71"/>
    </row>
    <row r="69" spans="1:7">
      <c r="A69" s="1216"/>
      <c r="B69" s="1221"/>
      <c r="C69" s="17" t="s">
        <v>152</v>
      </c>
      <c r="D69" s="62">
        <f>'나.세입세출(총괄)'!K40</f>
        <v>6600000</v>
      </c>
      <c r="E69" s="62">
        <f>'나.세입세출(총괄)'!L40</f>
        <v>6600000</v>
      </c>
      <c r="F69" s="37">
        <f t="shared" si="1"/>
        <v>0</v>
      </c>
      <c r="G69" s="71"/>
    </row>
    <row r="70" spans="1:7">
      <c r="A70" s="1216"/>
      <c r="B70" s="1221"/>
      <c r="C70" s="17" t="s">
        <v>259</v>
      </c>
      <c r="D70" s="62" t="e">
        <f>'나.세입세출(총괄)'!#REF!</f>
        <v>#REF!</v>
      </c>
      <c r="E70" s="62" t="e">
        <f>'나.세입세출(총괄)'!#REF!</f>
        <v>#REF!</v>
      </c>
      <c r="F70" s="37" t="e">
        <f t="shared" si="1"/>
        <v>#REF!</v>
      </c>
      <c r="G70" s="71" t="s">
        <v>604</v>
      </c>
    </row>
    <row r="71" spans="1:7">
      <c r="A71" s="1216"/>
      <c r="B71" s="1221"/>
      <c r="C71" s="17" t="str">
        <f>'나.세입세출(총괄)'!J41</f>
        <v>재활프로그램사업비</v>
      </c>
      <c r="D71" s="62">
        <f>'나.세입세출(총괄)'!K41</f>
        <v>7000000</v>
      </c>
      <c r="E71" s="62">
        <f>'나.세입세출(총괄)'!L41</f>
        <v>10000000</v>
      </c>
      <c r="F71" s="37">
        <f t="shared" si="1"/>
        <v>3000000</v>
      </c>
      <c r="G71" s="71"/>
    </row>
    <row r="72" spans="1:7">
      <c r="A72" s="1216"/>
      <c r="B72" s="1221"/>
      <c r="C72" s="17" t="s">
        <v>155</v>
      </c>
      <c r="D72" s="62">
        <f>'나.세입세출(총괄)'!K42</f>
        <v>60531000</v>
      </c>
      <c r="E72" s="62">
        <f>'나.세입세출(총괄)'!L42</f>
        <v>2100000</v>
      </c>
      <c r="F72" s="37">
        <f t="shared" si="1"/>
        <v>-58431000</v>
      </c>
      <c r="G72" s="71" t="s">
        <v>605</v>
      </c>
    </row>
    <row r="73" spans="1:7" ht="13.5" hidden="1" customHeight="1">
      <c r="A73" s="1216"/>
      <c r="B73" s="1221"/>
      <c r="C73" s="17"/>
      <c r="D73" s="62" t="e">
        <f>'나.세입세출(총괄)'!#REF!</f>
        <v>#REF!</v>
      </c>
      <c r="E73" s="62" t="e">
        <f>'나.세입세출(총괄)'!#REF!</f>
        <v>#REF!</v>
      </c>
      <c r="F73" s="37" t="e">
        <f t="shared" si="1"/>
        <v>#REF!</v>
      </c>
      <c r="G73" s="57"/>
    </row>
    <row r="74" spans="1:7" ht="13.5" customHeight="1">
      <c r="A74" s="1220"/>
      <c r="B74" s="1219"/>
      <c r="C74" s="17" t="s">
        <v>351</v>
      </c>
      <c r="D74" s="62" t="e">
        <f>'나.세입세출(총괄)'!#REF!</f>
        <v>#REF!</v>
      </c>
      <c r="E74" s="62" t="e">
        <f>'나.세입세출(총괄)'!#REF!</f>
        <v>#REF!</v>
      </c>
      <c r="F74" s="37" t="e">
        <f t="shared" si="1"/>
        <v>#REF!</v>
      </c>
      <c r="G74" s="72" t="s">
        <v>606</v>
      </c>
    </row>
    <row r="75" spans="1:7">
      <c r="A75" s="26" t="s">
        <v>359</v>
      </c>
      <c r="B75" s="17" t="s">
        <v>359</v>
      </c>
      <c r="C75" s="17" t="s">
        <v>360</v>
      </c>
      <c r="D75" s="62" t="e">
        <f>'나.세입세출(총괄)'!#REF!</f>
        <v>#REF!</v>
      </c>
      <c r="E75" s="62" t="e">
        <f>'나.세입세출(총괄)'!#REF!</f>
        <v>#REF!</v>
      </c>
      <c r="F75" s="37" t="e">
        <f t="shared" si="1"/>
        <v>#REF!</v>
      </c>
      <c r="G75" s="72"/>
    </row>
    <row r="76" spans="1:7">
      <c r="A76" s="26" t="s">
        <v>99</v>
      </c>
      <c r="B76" s="17" t="s">
        <v>99</v>
      </c>
      <c r="C76" s="17" t="s">
        <v>99</v>
      </c>
      <c r="D76" s="62">
        <f>'나.세입세출(총괄)'!K45</f>
        <v>1897000</v>
      </c>
      <c r="E76" s="62">
        <f>'나.세입세출(총괄)'!L45</f>
        <v>800000</v>
      </c>
      <c r="F76" s="37">
        <f t="shared" si="1"/>
        <v>-1097000</v>
      </c>
      <c r="G76" s="71"/>
    </row>
    <row r="77" spans="1:7">
      <c r="A77" s="26" t="s">
        <v>7</v>
      </c>
      <c r="B77" s="17" t="s">
        <v>7</v>
      </c>
      <c r="C77" s="17" t="s">
        <v>7</v>
      </c>
      <c r="D77" s="62">
        <f>'나.세입세출(총괄)'!K48</f>
        <v>625462</v>
      </c>
      <c r="E77" s="62">
        <f>'나.세입세출(총괄)'!L48</f>
        <v>609180</v>
      </c>
      <c r="F77" s="37">
        <f t="shared" si="1"/>
        <v>-16282</v>
      </c>
      <c r="G77" s="71" t="s">
        <v>584</v>
      </c>
    </row>
    <row r="78" spans="1:7">
      <c r="A78" s="1215" t="s">
        <v>27</v>
      </c>
      <c r="B78" s="17" t="s">
        <v>27</v>
      </c>
      <c r="C78" s="17" t="s">
        <v>27</v>
      </c>
      <c r="D78" s="62" t="e">
        <f>'나.세입세출(총괄)'!#REF!</f>
        <v>#REF!</v>
      </c>
      <c r="E78" s="62" t="e">
        <f>'나.세입세출(총괄)'!#REF!</f>
        <v>#REF!</v>
      </c>
      <c r="F78" s="37" t="e">
        <f>E78-D78</f>
        <v>#REF!</v>
      </c>
      <c r="G78" s="71"/>
    </row>
    <row r="79" spans="1:7">
      <c r="A79" s="1217"/>
      <c r="B79" s="52" t="s">
        <v>150</v>
      </c>
      <c r="C79" s="52" t="s">
        <v>150</v>
      </c>
      <c r="D79" s="66">
        <f>'나.세입세출(총괄)'!K51</f>
        <v>51405788</v>
      </c>
      <c r="E79" s="66">
        <f>'나.세입세출(총괄)'!L51</f>
        <v>31287000</v>
      </c>
      <c r="F79" s="53">
        <f>E79-D79</f>
        <v>-20118788</v>
      </c>
      <c r="G79" s="76" t="s">
        <v>592</v>
      </c>
    </row>
    <row r="80" spans="1:7">
      <c r="D80" s="77"/>
    </row>
    <row r="81" spans="4:4">
      <c r="D81" s="77"/>
    </row>
    <row r="82" spans="4:4">
      <c r="D82" s="77"/>
    </row>
    <row r="83" spans="4:4">
      <c r="D83" s="77"/>
    </row>
    <row r="84" spans="4:4">
      <c r="D84" s="77"/>
    </row>
    <row r="85" spans="4:4">
      <c r="D85" s="77"/>
    </row>
    <row r="86" spans="4:4">
      <c r="D86" s="77"/>
    </row>
    <row r="87" spans="4:4">
      <c r="D87" s="77"/>
    </row>
  </sheetData>
  <mergeCells count="35">
    <mergeCell ref="A78:A79"/>
    <mergeCell ref="F31:F32"/>
    <mergeCell ref="A3:G3"/>
    <mergeCell ref="A30:G30"/>
    <mergeCell ref="A23:A24"/>
    <mergeCell ref="D31:D32"/>
    <mergeCell ref="F4:F5"/>
    <mergeCell ref="A10:A18"/>
    <mergeCell ref="B25:B27"/>
    <mergeCell ref="D4:D5"/>
    <mergeCell ref="G4:G5"/>
    <mergeCell ref="E4:E5"/>
    <mergeCell ref="A4:C4"/>
    <mergeCell ref="A33:C33"/>
    <mergeCell ref="E31:E32"/>
    <mergeCell ref="A31:C31"/>
    <mergeCell ref="A1:G1"/>
    <mergeCell ref="B19:B20"/>
    <mergeCell ref="B10:B12"/>
    <mergeCell ref="B14:B17"/>
    <mergeCell ref="A6:C6"/>
    <mergeCell ref="A2:C2"/>
    <mergeCell ref="A19:A21"/>
    <mergeCell ref="G31:G32"/>
    <mergeCell ref="A25:A27"/>
    <mergeCell ref="B23:B24"/>
    <mergeCell ref="A54:A74"/>
    <mergeCell ref="B54:B62"/>
    <mergeCell ref="B64:B74"/>
    <mergeCell ref="B34:B40"/>
    <mergeCell ref="B41:B44"/>
    <mergeCell ref="B45:B50"/>
    <mergeCell ref="A34:A50"/>
    <mergeCell ref="A51:A53"/>
    <mergeCell ref="B51:B53"/>
  </mergeCells>
  <phoneticPr fontId="2" type="noConversion"/>
  <printOptions horizontalCentered="1"/>
  <pageMargins left="0.34" right="0.43307086614173229" top="0.82677165354330717" bottom="0.55118110236220474" header="0.55118110236220474" footer="0.27559055118110237"/>
  <pageSetup paperSize="9" scale="6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C716"/>
  <sheetViews>
    <sheetView zoomScale="110" zoomScaleNormal="110" workbookViewId="0">
      <pane xSplit="4" ySplit="5" topLeftCell="E58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3" sqref="A3:B3"/>
    </sheetView>
  </sheetViews>
  <sheetFormatPr defaultRowHeight="13.5"/>
  <cols>
    <col min="1" max="1" width="4.5546875" style="271" customWidth="1"/>
    <col min="2" max="2" width="10.109375" style="271" customWidth="1"/>
    <col min="3" max="3" width="6.33203125" style="271" customWidth="1"/>
    <col min="4" max="4" width="3" style="271" hidden="1" customWidth="1"/>
    <col min="5" max="5" width="8.21875" style="271" customWidth="1"/>
    <col min="6" max="6" width="15.77734375" style="271" customWidth="1"/>
    <col min="7" max="10" width="11.33203125" style="271" hidden="1" customWidth="1"/>
    <col min="11" max="11" width="12" style="271" hidden="1" customWidth="1"/>
    <col min="12" max="12" width="11.33203125" style="271" hidden="1" customWidth="1"/>
    <col min="13" max="13" width="14.21875" style="271" customWidth="1"/>
    <col min="14" max="14" width="15.77734375" style="271" hidden="1" customWidth="1"/>
    <col min="15" max="15" width="11.88671875" style="271" customWidth="1"/>
    <col min="16" max="16" width="14.33203125" style="271" hidden="1" customWidth="1"/>
    <col min="17" max="17" width="10.109375" style="271" customWidth="1"/>
    <col min="18" max="19" width="15.77734375" style="271" customWidth="1"/>
    <col min="20" max="20" width="15.77734375" style="271" hidden="1" customWidth="1"/>
    <col min="21" max="21" width="15.77734375" style="271" customWidth="1"/>
    <col min="22" max="22" width="9.33203125" style="304" customWidth="1"/>
    <col min="23" max="29" width="13.44140625" style="271" customWidth="1"/>
    <col min="30" max="16384" width="8.88671875" style="271"/>
  </cols>
  <sheetData>
    <row r="1" spans="1:29" s="187" customFormat="1" ht="27.75" customHeight="1">
      <c r="A1" s="1239" t="s">
        <v>1015</v>
      </c>
      <c r="B1" s="1239"/>
      <c r="C1" s="1239"/>
      <c r="D1" s="1239"/>
      <c r="E1" s="1239"/>
      <c r="F1" s="1239"/>
      <c r="G1" s="1239"/>
      <c r="H1" s="1239"/>
      <c r="I1" s="1239"/>
      <c r="J1" s="1239"/>
      <c r="K1" s="1239"/>
      <c r="L1" s="1239"/>
      <c r="M1" s="1239"/>
      <c r="N1" s="185"/>
      <c r="O1" s="185"/>
      <c r="P1" s="185"/>
      <c r="Q1" s="185"/>
      <c r="R1" s="185"/>
      <c r="S1" s="185"/>
      <c r="T1" s="185"/>
      <c r="U1" s="305"/>
      <c r="V1" s="186"/>
      <c r="W1" s="185"/>
      <c r="X1" s="185"/>
      <c r="Y1" s="185"/>
      <c r="Z1" s="185"/>
      <c r="AA1" s="185"/>
      <c r="AB1" s="185"/>
      <c r="AC1" s="185"/>
    </row>
    <row r="2" spans="1:29" s="187" customFormat="1" ht="6" hidden="1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6"/>
      <c r="W2" s="185"/>
      <c r="X2" s="185"/>
      <c r="Y2" s="185"/>
      <c r="Z2" s="185"/>
      <c r="AA2" s="185"/>
      <c r="AB2" s="185"/>
      <c r="AC2" s="185"/>
    </row>
    <row r="3" spans="1:29" s="187" customFormat="1" ht="19.5" customHeight="1">
      <c r="A3" s="1241" t="s">
        <v>608</v>
      </c>
      <c r="B3" s="1241"/>
      <c r="C3" s="204"/>
      <c r="D3" s="204"/>
      <c r="E3" s="204"/>
      <c r="F3" s="188"/>
      <c r="G3" s="188"/>
      <c r="H3" s="188"/>
      <c r="I3" s="188"/>
      <c r="J3" s="188"/>
      <c r="K3" s="189"/>
      <c r="L3" s="189"/>
      <c r="M3" s="189"/>
      <c r="N3" s="190"/>
      <c r="O3" s="191"/>
      <c r="P3" s="191"/>
      <c r="Q3" s="191"/>
      <c r="R3" s="191"/>
      <c r="S3" s="191"/>
      <c r="T3" s="188"/>
      <c r="U3" s="188"/>
      <c r="V3" s="192"/>
      <c r="W3" s="188"/>
      <c r="X3" s="188"/>
      <c r="Y3" s="188"/>
      <c r="Z3" s="188"/>
      <c r="AA3" s="188"/>
      <c r="AB3" s="191"/>
      <c r="AC3" s="193" t="s">
        <v>409</v>
      </c>
    </row>
    <row r="4" spans="1:29" s="204" customFormat="1" ht="39" customHeight="1" thickBot="1">
      <c r="A4" s="306" t="s">
        <v>410</v>
      </c>
      <c r="B4" s="281" t="s">
        <v>411</v>
      </c>
      <c r="C4" s="281" t="s">
        <v>412</v>
      </c>
      <c r="D4" s="281" t="s">
        <v>413</v>
      </c>
      <c r="E4" s="281" t="s">
        <v>414</v>
      </c>
      <c r="F4" s="282" t="s">
        <v>415</v>
      </c>
      <c r="G4" s="283" t="s">
        <v>416</v>
      </c>
      <c r="H4" s="283" t="s">
        <v>417</v>
      </c>
      <c r="I4" s="283" t="s">
        <v>843</v>
      </c>
      <c r="J4" s="283" t="s">
        <v>844</v>
      </c>
      <c r="K4" s="283" t="s">
        <v>844</v>
      </c>
      <c r="L4" s="283" t="s">
        <v>844</v>
      </c>
      <c r="M4" s="283" t="s">
        <v>521</v>
      </c>
      <c r="N4" s="307"/>
      <c r="O4" s="283" t="s">
        <v>888</v>
      </c>
      <c r="P4" s="283" t="s">
        <v>858</v>
      </c>
      <c r="Q4" s="283" t="s">
        <v>419</v>
      </c>
      <c r="R4" s="283" t="s">
        <v>596</v>
      </c>
      <c r="S4" s="283" t="s">
        <v>612</v>
      </c>
      <c r="T4" s="283" t="s">
        <v>420</v>
      </c>
      <c r="U4" s="288" t="s">
        <v>421</v>
      </c>
      <c r="V4" s="284" t="s">
        <v>422</v>
      </c>
      <c r="W4" s="286" t="s">
        <v>423</v>
      </c>
      <c r="X4" s="288" t="s">
        <v>424</v>
      </c>
      <c r="Y4" s="288" t="s">
        <v>425</v>
      </c>
      <c r="Z4" s="287" t="s">
        <v>426</v>
      </c>
      <c r="AA4" s="288" t="s">
        <v>427</v>
      </c>
      <c r="AB4" s="287" t="s">
        <v>428</v>
      </c>
      <c r="AC4" s="289" t="s">
        <v>595</v>
      </c>
    </row>
    <row r="5" spans="1:29" s="210" customFormat="1" ht="21" customHeight="1" thickTop="1">
      <c r="A5" s="1242" t="s">
        <v>85</v>
      </c>
      <c r="B5" s="1243"/>
      <c r="C5" s="1243"/>
      <c r="D5" s="1243"/>
      <c r="E5" s="1243"/>
      <c r="F5" s="205">
        <f t="shared" ref="F5:U5" si="0">F6+F19+F32+F45+F58+F71+F84+F97+F110+F123+F136+F149+F162+F175+F188+F201+F214+F227+F240+F253+F266+F279+F292+F305+F318+F331+F344+F357+F370+F383+F396+F409+F422+F435+F448+F461+F474+F487+F500+F513+F526+F539+F552+F565+F591+F604+F617+F630+F643+F578</f>
        <v>1391304000</v>
      </c>
      <c r="G5" s="205">
        <f t="shared" si="0"/>
        <v>0</v>
      </c>
      <c r="H5" s="205">
        <f t="shared" si="0"/>
        <v>0</v>
      </c>
      <c r="I5" s="205">
        <f t="shared" si="0"/>
        <v>0</v>
      </c>
      <c r="J5" s="205">
        <f t="shared" si="0"/>
        <v>0</v>
      </c>
      <c r="K5" s="205">
        <f t="shared" si="0"/>
        <v>0</v>
      </c>
      <c r="L5" s="205">
        <f t="shared" si="0"/>
        <v>0</v>
      </c>
      <c r="M5" s="205">
        <f t="shared" si="0"/>
        <v>134188200</v>
      </c>
      <c r="N5" s="205">
        <f t="shared" si="0"/>
        <v>0</v>
      </c>
      <c r="O5" s="205">
        <f t="shared" si="0"/>
        <v>21320000</v>
      </c>
      <c r="P5" s="205">
        <f t="shared" si="0"/>
        <v>0</v>
      </c>
      <c r="Q5" s="205">
        <f t="shared" si="0"/>
        <v>0</v>
      </c>
      <c r="R5" s="205">
        <f t="shared" si="0"/>
        <v>277853080</v>
      </c>
      <c r="S5" s="205">
        <f t="shared" si="0"/>
        <v>25341800</v>
      </c>
      <c r="T5" s="205">
        <f t="shared" si="0"/>
        <v>0</v>
      </c>
      <c r="U5" s="205">
        <f t="shared" si="0"/>
        <v>1850007080</v>
      </c>
      <c r="V5" s="308"/>
      <c r="W5" s="205">
        <f>W6+W19+W32+W45+W58+W71+W84+W97+W110+W123+W136+W149+W162+W175+W188+W201+W214+W227+W240+W253+W266+W279+W292+W305+W318+W331+W344+W357+W370+W383+W396+W409+W422+W435+W448+W461+W474+W487+W500+W513+W526+W539+W552+W565+W591+W604+W617+W630+W643+W578</f>
        <v>153616310</v>
      </c>
      <c r="X5" s="205">
        <f t="shared" ref="X5:AB5" si="1">X6+X19+X32+X45+X58+X71+X84+X97+X110+X123+X136+X149+X162+X175+X188+X201+X214+X227+X240+X253+X266+X279+X292+X305+X318+X331+X344+X357+X370+X383+X396+X409+X422+X435+X448+X461+X474+X487+X500+X513+X526+X539+X552+X565+X591+X604+X617+X630+X643+X578</f>
        <v>81880850</v>
      </c>
      <c r="Y5" s="205">
        <f t="shared" si="1"/>
        <v>58775270</v>
      </c>
      <c r="Z5" s="205">
        <f t="shared" si="1"/>
        <v>5004850</v>
      </c>
      <c r="AA5" s="205">
        <f t="shared" si="1"/>
        <v>15873640</v>
      </c>
      <c r="AB5" s="205">
        <f t="shared" si="1"/>
        <v>14109850</v>
      </c>
      <c r="AC5" s="205">
        <f>AC6+AC19+AC32+AC45+AC58+AC71+AC84+AC97+AC110+AC123+AC136+AC149+AC162+AC175+AC188+AC201+AC214+AC227+AC240+AC253+AC266+AC279+AC292+AC305+AC318+AC331+AC344+AC357+AC370+AC383+AC396+AC409+AC422+AC435+AC448+AC461+AC474+AC487+AC500+AC513+AC526+AC539+AC552+AC565+AC591+AC604+AC617+AC630+AC643+AC578</f>
        <v>329260770</v>
      </c>
    </row>
    <row r="6" spans="1:29" s="210" customFormat="1" ht="16.5" customHeight="1">
      <c r="A6" s="1240">
        <v>1</v>
      </c>
      <c r="B6" s="211" t="s">
        <v>784</v>
      </c>
      <c r="C6" s="309" t="s">
        <v>714</v>
      </c>
      <c r="D6" s="212">
        <v>1</v>
      </c>
      <c r="E6" s="213" t="s">
        <v>429</v>
      </c>
      <c r="F6" s="214">
        <f>SUM(F7:F18)</f>
        <v>43751000</v>
      </c>
      <c r="G6" s="214">
        <f t="shared" ref="G6:AB6" si="2">SUM(G7:G18)</f>
        <v>0</v>
      </c>
      <c r="H6" s="214">
        <f t="shared" si="2"/>
        <v>0</v>
      </c>
      <c r="I6" s="214">
        <f t="shared" si="2"/>
        <v>0</v>
      </c>
      <c r="J6" s="214">
        <f t="shared" si="2"/>
        <v>0</v>
      </c>
      <c r="K6" s="214">
        <f t="shared" si="2"/>
        <v>0</v>
      </c>
      <c r="L6" s="214">
        <f t="shared" si="2"/>
        <v>0</v>
      </c>
      <c r="M6" s="214">
        <f>SUM(M7:M18)</f>
        <v>4366200</v>
      </c>
      <c r="N6" s="214">
        <f t="shared" si="2"/>
        <v>0</v>
      </c>
      <c r="O6" s="214">
        <f t="shared" si="2"/>
        <v>0</v>
      </c>
      <c r="P6" s="214">
        <f t="shared" si="2"/>
        <v>0</v>
      </c>
      <c r="Q6" s="214"/>
      <c r="R6" s="214">
        <f>SUM(R7:R18)</f>
        <v>6279200</v>
      </c>
      <c r="S6" s="214">
        <f t="shared" si="2"/>
        <v>1437650</v>
      </c>
      <c r="T6" s="214">
        <f t="shared" si="2"/>
        <v>0</v>
      </c>
      <c r="U6" s="214">
        <f>SUM(U7:U18)</f>
        <v>55834050</v>
      </c>
      <c r="V6" s="250"/>
      <c r="W6" s="217">
        <f t="shared" si="2"/>
        <v>4652850</v>
      </c>
      <c r="X6" s="214">
        <f t="shared" si="2"/>
        <v>2512530</v>
      </c>
      <c r="Y6" s="214">
        <f t="shared" si="2"/>
        <v>1803510</v>
      </c>
      <c r="Z6" s="214">
        <f t="shared" si="2"/>
        <v>153560</v>
      </c>
      <c r="AA6" s="214">
        <f t="shared" si="2"/>
        <v>0</v>
      </c>
      <c r="AB6" s="214">
        <f t="shared" si="2"/>
        <v>0</v>
      </c>
      <c r="AC6" s="266">
        <f>SUM(AC7:AC18)</f>
        <v>9122450</v>
      </c>
    </row>
    <row r="7" spans="1:29" s="204" customFormat="1" ht="16.5" hidden="1" customHeight="1">
      <c r="A7" s="1240"/>
      <c r="B7" s="211" t="s">
        <v>786</v>
      </c>
      <c r="C7" s="310">
        <v>12</v>
      </c>
      <c r="D7" s="310"/>
      <c r="E7" s="311" t="s">
        <v>787</v>
      </c>
      <c r="F7" s="312">
        <v>3594000</v>
      </c>
      <c r="G7" s="221"/>
      <c r="H7" s="220"/>
      <c r="I7" s="222"/>
      <c r="J7" s="221"/>
      <c r="K7" s="221"/>
      <c r="L7" s="221"/>
      <c r="M7" s="221" t="s">
        <v>890</v>
      </c>
      <c r="N7" s="221"/>
      <c r="O7" s="221" t="s">
        <v>788</v>
      </c>
      <c r="P7" s="221"/>
      <c r="Q7" s="221"/>
      <c r="R7" s="221"/>
      <c r="S7" s="221"/>
      <c r="T7" s="222"/>
      <c r="U7" s="214">
        <f>SUM(F7,M7,O7,R7,T7,S7)</f>
        <v>3594000</v>
      </c>
      <c r="V7" s="250"/>
      <c r="W7" s="224">
        <f>ROUNDUP(U7*1/12,-1)</f>
        <v>299500</v>
      </c>
      <c r="X7" s="225">
        <f>ROUND(U7*4.5%,-1)</f>
        <v>161730</v>
      </c>
      <c r="Y7" s="225">
        <f>ROUNDUP((U7-L7)*3.23%,-1)</f>
        <v>116090</v>
      </c>
      <c r="Z7" s="225">
        <f>ROUNDUP(Y7*8.51%,-1)</f>
        <v>9880</v>
      </c>
      <c r="AA7" s="225">
        <v>0</v>
      </c>
      <c r="AB7" s="225">
        <v>0</v>
      </c>
      <c r="AC7" s="252">
        <f t="shared" ref="AC7:AC18" si="3">SUM(W7:AB7)</f>
        <v>587200</v>
      </c>
    </row>
    <row r="8" spans="1:29" s="204" customFormat="1" ht="16.5" hidden="1" customHeight="1">
      <c r="A8" s="1240"/>
      <c r="B8" s="211"/>
      <c r="C8" s="212"/>
      <c r="D8" s="212"/>
      <c r="E8" s="219" t="s">
        <v>789</v>
      </c>
      <c r="F8" s="221">
        <f>F7</f>
        <v>3594000</v>
      </c>
      <c r="G8" s="221"/>
      <c r="H8" s="221"/>
      <c r="I8" s="222"/>
      <c r="J8" s="221"/>
      <c r="K8" s="221"/>
      <c r="L8" s="221"/>
      <c r="M8" s="221">
        <f>F8*60%</f>
        <v>2156400</v>
      </c>
      <c r="N8" s="221"/>
      <c r="O8" s="221" t="s">
        <v>788</v>
      </c>
      <c r="P8" s="221"/>
      <c r="Q8" s="221">
        <f>ROUND((F7+T7)*1/209*1.5,-1)</f>
        <v>25790</v>
      </c>
      <c r="R8" s="221">
        <f>Q8*20</f>
        <v>515800</v>
      </c>
      <c r="S8" s="221">
        <f>Q8*5</f>
        <v>128950</v>
      </c>
      <c r="T8" s="222"/>
      <c r="U8" s="214">
        <f t="shared" ref="U8:U18" si="4">SUM(F8,M8,O8,R8,T8,S8)</f>
        <v>6395150</v>
      </c>
      <c r="V8" s="250"/>
      <c r="W8" s="224">
        <f>ROUNDUP((T8+U8)*1/12,-1)</f>
        <v>532930</v>
      </c>
      <c r="X8" s="225">
        <f>ROUND(U8*4.5%,-1)</f>
        <v>287780</v>
      </c>
      <c r="Y8" s="225">
        <f t="shared" ref="Y8:Y18" si="5">ROUNDUP((U8-L8)*3.23%,-1)</f>
        <v>206570</v>
      </c>
      <c r="Z8" s="225">
        <f t="shared" ref="Z8:Z18" si="6">ROUNDUP(Y8*8.51%,-1)</f>
        <v>17580</v>
      </c>
      <c r="AA8" s="225">
        <v>0</v>
      </c>
      <c r="AB8" s="225">
        <v>0</v>
      </c>
      <c r="AC8" s="252">
        <f t="shared" si="3"/>
        <v>1044860</v>
      </c>
    </row>
    <row r="9" spans="1:29" s="204" customFormat="1" ht="16.5" hidden="1" customHeight="1">
      <c r="A9" s="1240"/>
      <c r="B9" s="211"/>
      <c r="C9" s="212"/>
      <c r="D9" s="212"/>
      <c r="E9" s="219" t="s">
        <v>275</v>
      </c>
      <c r="F9" s="221">
        <f>F7</f>
        <v>3594000</v>
      </c>
      <c r="G9" s="221"/>
      <c r="H9" s="221"/>
      <c r="I9" s="222"/>
      <c r="J9" s="221"/>
      <c r="K9" s="221"/>
      <c r="L9" s="221"/>
      <c r="M9" s="221"/>
      <c r="N9" s="221"/>
      <c r="O9" s="221" t="s">
        <v>60</v>
      </c>
      <c r="P9" s="221"/>
      <c r="Q9" s="221">
        <f t="shared" ref="Q9:Q18" si="7">ROUND((F8+T8)*1/209*1.5,-1)</f>
        <v>25790</v>
      </c>
      <c r="R9" s="221">
        <f t="shared" ref="R9:R17" si="8">Q9*20</f>
        <v>515800</v>
      </c>
      <c r="S9" s="221">
        <f t="shared" ref="S9:S18" si="9">Q9*5</f>
        <v>128950</v>
      </c>
      <c r="T9" s="222"/>
      <c r="U9" s="214">
        <f>SUM(F9,M9,O9,R9,T9,S9)</f>
        <v>4238750</v>
      </c>
      <c r="V9" s="250"/>
      <c r="W9" s="224">
        <f t="shared" ref="W9:W18" si="10">ROUNDUP(U9*1/12,-1)</f>
        <v>353230</v>
      </c>
      <c r="X9" s="225">
        <f t="shared" ref="X9:X18" si="11">ROUND(U9*4.5%,-1)</f>
        <v>190740</v>
      </c>
      <c r="Y9" s="225">
        <f t="shared" si="5"/>
        <v>136920</v>
      </c>
      <c r="Z9" s="225">
        <f t="shared" si="6"/>
        <v>11660</v>
      </c>
      <c r="AA9" s="225">
        <v>0</v>
      </c>
      <c r="AB9" s="225">
        <v>0</v>
      </c>
      <c r="AC9" s="252">
        <f t="shared" si="3"/>
        <v>692550</v>
      </c>
    </row>
    <row r="10" spans="1:29" s="204" customFormat="1" ht="16.5" hidden="1" customHeight="1">
      <c r="A10" s="1240"/>
      <c r="B10" s="211"/>
      <c r="C10" s="212"/>
      <c r="D10" s="212"/>
      <c r="E10" s="219" t="s">
        <v>441</v>
      </c>
      <c r="F10" s="221">
        <f>F8</f>
        <v>3594000</v>
      </c>
      <c r="G10" s="221"/>
      <c r="H10" s="221"/>
      <c r="I10" s="222"/>
      <c r="J10" s="221"/>
      <c r="K10" s="221"/>
      <c r="L10" s="221"/>
      <c r="M10" s="221"/>
      <c r="N10" s="221"/>
      <c r="O10" s="221" t="s">
        <v>60</v>
      </c>
      <c r="P10" s="221"/>
      <c r="Q10" s="221">
        <f t="shared" si="7"/>
        <v>25790</v>
      </c>
      <c r="R10" s="221">
        <f t="shared" si="8"/>
        <v>515800</v>
      </c>
      <c r="S10" s="221">
        <f t="shared" si="9"/>
        <v>128950</v>
      </c>
      <c r="T10" s="222"/>
      <c r="U10" s="214">
        <f t="shared" si="4"/>
        <v>4238750</v>
      </c>
      <c r="V10" s="250"/>
      <c r="W10" s="224">
        <f>ROUNDUP(U10*1/12,-1)</f>
        <v>353230</v>
      </c>
      <c r="X10" s="225">
        <f t="shared" si="11"/>
        <v>190740</v>
      </c>
      <c r="Y10" s="225">
        <f t="shared" si="5"/>
        <v>136920</v>
      </c>
      <c r="Z10" s="225">
        <f t="shared" si="6"/>
        <v>11660</v>
      </c>
      <c r="AA10" s="225">
        <v>0</v>
      </c>
      <c r="AB10" s="225">
        <v>0</v>
      </c>
      <c r="AC10" s="252">
        <f t="shared" si="3"/>
        <v>692550</v>
      </c>
    </row>
    <row r="11" spans="1:29" s="204" customFormat="1" ht="16.5" hidden="1" customHeight="1">
      <c r="A11" s="1240"/>
      <c r="B11" s="211"/>
      <c r="C11" s="212"/>
      <c r="D11" s="212"/>
      <c r="E11" s="219" t="s">
        <v>790</v>
      </c>
      <c r="F11" s="221">
        <f>F9</f>
        <v>3594000</v>
      </c>
      <c r="G11" s="221"/>
      <c r="H11" s="221"/>
      <c r="I11" s="222"/>
      <c r="J11" s="221"/>
      <c r="K11" s="221"/>
      <c r="L11" s="221"/>
      <c r="M11" s="221"/>
      <c r="N11" s="221"/>
      <c r="O11" s="221" t="s">
        <v>60</v>
      </c>
      <c r="P11" s="221"/>
      <c r="Q11" s="221">
        <f t="shared" si="7"/>
        <v>25790</v>
      </c>
      <c r="R11" s="221">
        <f t="shared" si="8"/>
        <v>515800</v>
      </c>
      <c r="S11" s="221">
        <f t="shared" si="9"/>
        <v>128950</v>
      </c>
      <c r="T11" s="222"/>
      <c r="U11" s="214">
        <f t="shared" si="4"/>
        <v>4238750</v>
      </c>
      <c r="V11" s="250"/>
      <c r="W11" s="224">
        <f t="shared" si="10"/>
        <v>353230</v>
      </c>
      <c r="X11" s="225">
        <f t="shared" si="11"/>
        <v>190740</v>
      </c>
      <c r="Y11" s="225">
        <f t="shared" si="5"/>
        <v>136920</v>
      </c>
      <c r="Z11" s="225">
        <f t="shared" si="6"/>
        <v>11660</v>
      </c>
      <c r="AA11" s="225">
        <v>0</v>
      </c>
      <c r="AB11" s="225">
        <v>0</v>
      </c>
      <c r="AC11" s="252">
        <f t="shared" si="3"/>
        <v>692550</v>
      </c>
    </row>
    <row r="12" spans="1:29" s="204" customFormat="1" ht="16.5" hidden="1" customHeight="1">
      <c r="A12" s="1240"/>
      <c r="B12" s="211"/>
      <c r="C12" s="310">
        <f>C7+1</f>
        <v>13</v>
      </c>
      <c r="D12" s="310"/>
      <c r="E12" s="311" t="s">
        <v>278</v>
      </c>
      <c r="F12" s="312">
        <v>3683000</v>
      </c>
      <c r="G12" s="221"/>
      <c r="H12" s="221"/>
      <c r="I12" s="222"/>
      <c r="J12" s="221"/>
      <c r="K12" s="221"/>
      <c r="L12" s="221"/>
      <c r="M12" s="221"/>
      <c r="N12" s="221"/>
      <c r="O12" s="221" t="s">
        <v>788</v>
      </c>
      <c r="P12" s="221"/>
      <c r="Q12" s="221">
        <f t="shared" si="7"/>
        <v>25790</v>
      </c>
      <c r="R12" s="221">
        <f t="shared" si="8"/>
        <v>515800</v>
      </c>
      <c r="S12" s="221">
        <f t="shared" si="9"/>
        <v>128950</v>
      </c>
      <c r="T12" s="222"/>
      <c r="U12" s="214">
        <f t="shared" si="4"/>
        <v>4327750</v>
      </c>
      <c r="V12" s="250"/>
      <c r="W12" s="224">
        <f t="shared" si="10"/>
        <v>360650</v>
      </c>
      <c r="X12" s="225">
        <f t="shared" si="11"/>
        <v>194750</v>
      </c>
      <c r="Y12" s="225">
        <f t="shared" si="5"/>
        <v>139790</v>
      </c>
      <c r="Z12" s="225">
        <f t="shared" si="6"/>
        <v>11900</v>
      </c>
      <c r="AA12" s="225">
        <v>0</v>
      </c>
      <c r="AB12" s="225">
        <v>0</v>
      </c>
      <c r="AC12" s="252">
        <f t="shared" si="3"/>
        <v>707090</v>
      </c>
    </row>
    <row r="13" spans="1:29" s="204" customFormat="1" ht="16.5" hidden="1" customHeight="1">
      <c r="A13" s="1240"/>
      <c r="B13" s="211"/>
      <c r="C13" s="212"/>
      <c r="D13" s="212"/>
      <c r="E13" s="219" t="s">
        <v>279</v>
      </c>
      <c r="F13" s="225">
        <f>F12</f>
        <v>3683000</v>
      </c>
      <c r="G13" s="221"/>
      <c r="H13" s="220"/>
      <c r="I13" s="222"/>
      <c r="J13" s="221"/>
      <c r="K13" s="221"/>
      <c r="L13" s="221"/>
      <c r="M13" s="221"/>
      <c r="N13" s="221"/>
      <c r="O13" s="221" t="s">
        <v>60</v>
      </c>
      <c r="P13" s="221"/>
      <c r="Q13" s="221">
        <f t="shared" si="7"/>
        <v>26430</v>
      </c>
      <c r="R13" s="221">
        <f t="shared" si="8"/>
        <v>528600</v>
      </c>
      <c r="S13" s="221">
        <f t="shared" si="9"/>
        <v>132150</v>
      </c>
      <c r="T13" s="222"/>
      <c r="U13" s="214">
        <f t="shared" si="4"/>
        <v>4343750</v>
      </c>
      <c r="V13" s="250"/>
      <c r="W13" s="224">
        <f t="shared" si="10"/>
        <v>361980</v>
      </c>
      <c r="X13" s="225">
        <f t="shared" si="11"/>
        <v>195470</v>
      </c>
      <c r="Y13" s="225">
        <f t="shared" si="5"/>
        <v>140310</v>
      </c>
      <c r="Z13" s="225">
        <f t="shared" si="6"/>
        <v>11950</v>
      </c>
      <c r="AA13" s="225">
        <v>0</v>
      </c>
      <c r="AB13" s="225">
        <v>0</v>
      </c>
      <c r="AC13" s="252">
        <f t="shared" si="3"/>
        <v>709710</v>
      </c>
    </row>
    <row r="14" spans="1:29" s="204" customFormat="1" ht="16.5" hidden="1" customHeight="1">
      <c r="A14" s="1240"/>
      <c r="B14" s="211"/>
      <c r="C14" s="212"/>
      <c r="D14" s="212"/>
      <c r="E14" s="219" t="s">
        <v>280</v>
      </c>
      <c r="F14" s="221">
        <f>F13</f>
        <v>3683000</v>
      </c>
      <c r="G14" s="221"/>
      <c r="H14" s="221"/>
      <c r="I14" s="222"/>
      <c r="J14" s="221"/>
      <c r="K14" s="221"/>
      <c r="L14" s="221"/>
      <c r="M14" s="221"/>
      <c r="N14" s="221"/>
      <c r="O14" s="221" t="s">
        <v>60</v>
      </c>
      <c r="P14" s="221"/>
      <c r="Q14" s="221">
        <f t="shared" si="7"/>
        <v>26430</v>
      </c>
      <c r="R14" s="221">
        <f t="shared" si="8"/>
        <v>528600</v>
      </c>
      <c r="S14" s="221">
        <f t="shared" si="9"/>
        <v>132150</v>
      </c>
      <c r="T14" s="222"/>
      <c r="U14" s="214">
        <f t="shared" si="4"/>
        <v>4343750</v>
      </c>
      <c r="V14" s="250"/>
      <c r="W14" s="224">
        <f t="shared" si="10"/>
        <v>361980</v>
      </c>
      <c r="X14" s="225">
        <f t="shared" si="11"/>
        <v>195470</v>
      </c>
      <c r="Y14" s="225">
        <f t="shared" si="5"/>
        <v>140310</v>
      </c>
      <c r="Z14" s="225">
        <f t="shared" si="6"/>
        <v>11950</v>
      </c>
      <c r="AA14" s="225">
        <v>0</v>
      </c>
      <c r="AB14" s="225">
        <v>0</v>
      </c>
      <c r="AC14" s="252">
        <f t="shared" si="3"/>
        <v>709710</v>
      </c>
    </row>
    <row r="15" spans="1:29" s="204" customFormat="1" ht="16.5" hidden="1" customHeight="1">
      <c r="A15" s="1240"/>
      <c r="B15" s="211"/>
      <c r="C15" s="212"/>
      <c r="D15" s="212"/>
      <c r="E15" s="219" t="s">
        <v>54</v>
      </c>
      <c r="F15" s="221">
        <f>F13</f>
        <v>3683000</v>
      </c>
      <c r="G15" s="221"/>
      <c r="H15" s="221"/>
      <c r="I15" s="222"/>
      <c r="J15" s="221"/>
      <c r="K15" s="221"/>
      <c r="L15" s="221"/>
      <c r="M15" s="221">
        <f>F15*60%</f>
        <v>2209800</v>
      </c>
      <c r="N15" s="221"/>
      <c r="O15" s="221" t="s">
        <v>791</v>
      </c>
      <c r="P15" s="221"/>
      <c r="Q15" s="221">
        <f t="shared" si="7"/>
        <v>26430</v>
      </c>
      <c r="R15" s="221">
        <f t="shared" si="8"/>
        <v>528600</v>
      </c>
      <c r="S15" s="221">
        <f t="shared" si="9"/>
        <v>132150</v>
      </c>
      <c r="T15" s="222"/>
      <c r="U15" s="214">
        <f t="shared" si="4"/>
        <v>6553550</v>
      </c>
      <c r="V15" s="250"/>
      <c r="W15" s="224">
        <f t="shared" si="10"/>
        <v>546130</v>
      </c>
      <c r="X15" s="225">
        <f t="shared" si="11"/>
        <v>294910</v>
      </c>
      <c r="Y15" s="225">
        <f t="shared" si="5"/>
        <v>211680</v>
      </c>
      <c r="Z15" s="225">
        <f t="shared" si="6"/>
        <v>18020</v>
      </c>
      <c r="AA15" s="225">
        <v>0</v>
      </c>
      <c r="AB15" s="225">
        <v>0</v>
      </c>
      <c r="AC15" s="252">
        <f t="shared" si="3"/>
        <v>1070740</v>
      </c>
    </row>
    <row r="16" spans="1:29" s="204" customFormat="1" ht="16.5" hidden="1" customHeight="1">
      <c r="A16" s="1240"/>
      <c r="B16" s="211"/>
      <c r="C16" s="212"/>
      <c r="D16" s="212"/>
      <c r="E16" s="219" t="s">
        <v>55</v>
      </c>
      <c r="F16" s="221">
        <f>F13</f>
        <v>3683000</v>
      </c>
      <c r="G16" s="221"/>
      <c r="H16" s="221"/>
      <c r="I16" s="222"/>
      <c r="J16" s="221"/>
      <c r="K16" s="221"/>
      <c r="L16" s="221"/>
      <c r="M16" s="221"/>
      <c r="N16" s="221"/>
      <c r="O16" s="221" t="s">
        <v>792</v>
      </c>
      <c r="P16" s="221"/>
      <c r="Q16" s="221">
        <f t="shared" si="7"/>
        <v>26430</v>
      </c>
      <c r="R16" s="221">
        <f t="shared" si="8"/>
        <v>528600</v>
      </c>
      <c r="S16" s="221">
        <f t="shared" si="9"/>
        <v>132150</v>
      </c>
      <c r="T16" s="222"/>
      <c r="U16" s="214">
        <f t="shared" si="4"/>
        <v>4343750</v>
      </c>
      <c r="V16" s="250"/>
      <c r="W16" s="224">
        <f t="shared" si="10"/>
        <v>361980</v>
      </c>
      <c r="X16" s="225">
        <f t="shared" si="11"/>
        <v>195470</v>
      </c>
      <c r="Y16" s="225">
        <f t="shared" si="5"/>
        <v>140310</v>
      </c>
      <c r="Z16" s="225">
        <f t="shared" si="6"/>
        <v>11950</v>
      </c>
      <c r="AA16" s="225">
        <v>0</v>
      </c>
      <c r="AB16" s="225">
        <v>0</v>
      </c>
      <c r="AC16" s="252">
        <f t="shared" si="3"/>
        <v>709710</v>
      </c>
    </row>
    <row r="17" spans="1:29" s="204" customFormat="1" ht="16.5" hidden="1" customHeight="1">
      <c r="A17" s="1240"/>
      <c r="B17" s="211"/>
      <c r="C17" s="212"/>
      <c r="D17" s="212"/>
      <c r="E17" s="219" t="s">
        <v>56</v>
      </c>
      <c r="F17" s="221">
        <f>F13</f>
        <v>3683000</v>
      </c>
      <c r="G17" s="221"/>
      <c r="H17" s="221"/>
      <c r="I17" s="222"/>
      <c r="J17" s="221"/>
      <c r="K17" s="221"/>
      <c r="L17" s="221"/>
      <c r="M17" s="221"/>
      <c r="N17" s="221"/>
      <c r="O17" s="221" t="s">
        <v>60</v>
      </c>
      <c r="P17" s="221"/>
      <c r="Q17" s="221">
        <f t="shared" si="7"/>
        <v>26430</v>
      </c>
      <c r="R17" s="221">
        <f t="shared" si="8"/>
        <v>528600</v>
      </c>
      <c r="S17" s="221">
        <f t="shared" si="9"/>
        <v>132150</v>
      </c>
      <c r="T17" s="222"/>
      <c r="U17" s="214">
        <f t="shared" si="4"/>
        <v>4343750</v>
      </c>
      <c r="V17" s="250"/>
      <c r="W17" s="224">
        <f t="shared" si="10"/>
        <v>361980</v>
      </c>
      <c r="X17" s="225">
        <f t="shared" si="11"/>
        <v>195470</v>
      </c>
      <c r="Y17" s="225">
        <f t="shared" si="5"/>
        <v>140310</v>
      </c>
      <c r="Z17" s="225">
        <f t="shared" si="6"/>
        <v>11950</v>
      </c>
      <c r="AA17" s="225">
        <v>0</v>
      </c>
      <c r="AB17" s="225">
        <v>0</v>
      </c>
      <c r="AC17" s="252">
        <f t="shared" si="3"/>
        <v>709710</v>
      </c>
    </row>
    <row r="18" spans="1:29" s="204" customFormat="1" ht="16.5" hidden="1" customHeight="1">
      <c r="A18" s="1240"/>
      <c r="B18" s="211"/>
      <c r="C18" s="212"/>
      <c r="D18" s="212"/>
      <c r="E18" s="219" t="s">
        <v>281</v>
      </c>
      <c r="F18" s="221">
        <f>F13</f>
        <v>3683000</v>
      </c>
      <c r="G18" s="221"/>
      <c r="H18" s="221"/>
      <c r="I18" s="222"/>
      <c r="J18" s="221"/>
      <c r="K18" s="221"/>
      <c r="L18" s="221"/>
      <c r="M18" s="221"/>
      <c r="N18" s="221"/>
      <c r="O18" s="221" t="s">
        <v>793</v>
      </c>
      <c r="P18" s="221"/>
      <c r="Q18" s="221">
        <f t="shared" si="7"/>
        <v>26430</v>
      </c>
      <c r="R18" s="221">
        <f>Q18*20*2</f>
        <v>1057200</v>
      </c>
      <c r="S18" s="221">
        <f t="shared" si="9"/>
        <v>132150</v>
      </c>
      <c r="T18" s="222"/>
      <c r="U18" s="214">
        <f t="shared" si="4"/>
        <v>4872350</v>
      </c>
      <c r="V18" s="250"/>
      <c r="W18" s="224">
        <f t="shared" si="10"/>
        <v>406030</v>
      </c>
      <c r="X18" s="225">
        <f t="shared" si="11"/>
        <v>219260</v>
      </c>
      <c r="Y18" s="225">
        <f t="shared" si="5"/>
        <v>157380</v>
      </c>
      <c r="Z18" s="225">
        <f t="shared" si="6"/>
        <v>13400</v>
      </c>
      <c r="AA18" s="225">
        <v>0</v>
      </c>
      <c r="AB18" s="225">
        <v>0</v>
      </c>
      <c r="AC18" s="252">
        <f t="shared" si="3"/>
        <v>796070</v>
      </c>
    </row>
    <row r="19" spans="1:29" s="210" customFormat="1" ht="16.5" customHeight="1">
      <c r="A19" s="1240">
        <v>2</v>
      </c>
      <c r="B19" s="211" t="s">
        <v>794</v>
      </c>
      <c r="C19" s="212" t="s">
        <v>896</v>
      </c>
      <c r="D19" s="313">
        <v>1</v>
      </c>
      <c r="E19" s="213" t="s">
        <v>429</v>
      </c>
      <c r="F19" s="214">
        <f>SUM(F20:F31)</f>
        <v>44016000</v>
      </c>
      <c r="G19" s="214">
        <f t="shared" ref="G19:U19" si="12">SUM(G20:G31)</f>
        <v>0</v>
      </c>
      <c r="H19" s="214">
        <f t="shared" si="12"/>
        <v>0</v>
      </c>
      <c r="I19" s="214">
        <f t="shared" si="12"/>
        <v>0</v>
      </c>
      <c r="J19" s="214">
        <f t="shared" si="12"/>
        <v>0</v>
      </c>
      <c r="K19" s="214">
        <f t="shared" si="12"/>
        <v>0</v>
      </c>
      <c r="L19" s="214">
        <f t="shared" si="12"/>
        <v>0</v>
      </c>
      <c r="M19" s="214">
        <f t="shared" ref="M19" si="13">SUM(M20:M31)</f>
        <v>4389000</v>
      </c>
      <c r="N19" s="214">
        <f t="shared" ref="N19" si="14">SUM(N20:N31)</f>
        <v>0</v>
      </c>
      <c r="O19" s="214">
        <f t="shared" si="12"/>
        <v>1440000</v>
      </c>
      <c r="P19" s="214">
        <f t="shared" si="12"/>
        <v>0</v>
      </c>
      <c r="Q19" s="214"/>
      <c r="R19" s="214">
        <f t="shared" ref="R19" si="15">SUM(R20:R31)</f>
        <v>5054720</v>
      </c>
      <c r="S19" s="214">
        <f t="shared" si="12"/>
        <v>1447200</v>
      </c>
      <c r="T19" s="214">
        <f t="shared" si="12"/>
        <v>0</v>
      </c>
      <c r="U19" s="214">
        <f t="shared" si="12"/>
        <v>56346920</v>
      </c>
      <c r="V19" s="314"/>
      <c r="W19" s="217">
        <f t="shared" ref="W19:AC19" si="16">SUM(W20:W31)</f>
        <v>4695640</v>
      </c>
      <c r="X19" s="214">
        <f t="shared" si="16"/>
        <v>2535610</v>
      </c>
      <c r="Y19" s="214">
        <f t="shared" si="16"/>
        <v>1820080</v>
      </c>
      <c r="Z19" s="214">
        <f t="shared" ref="Z19" si="17">SUM(Z20:Z31)</f>
        <v>154920</v>
      </c>
      <c r="AA19" s="214">
        <f t="shared" si="16"/>
        <v>507140</v>
      </c>
      <c r="AB19" s="214">
        <f t="shared" si="16"/>
        <v>450770</v>
      </c>
      <c r="AC19" s="266">
        <f t="shared" si="16"/>
        <v>10164160</v>
      </c>
    </row>
    <row r="20" spans="1:29" s="210" customFormat="1" ht="15" hidden="1" customHeight="1">
      <c r="A20" s="1240"/>
      <c r="B20" s="211" t="s">
        <v>796</v>
      </c>
      <c r="C20" s="310">
        <v>17</v>
      </c>
      <c r="D20" s="315"/>
      <c r="E20" s="311" t="s">
        <v>538</v>
      </c>
      <c r="F20" s="312">
        <v>3626000</v>
      </c>
      <c r="G20" s="221"/>
      <c r="H20" s="220"/>
      <c r="I20" s="222"/>
      <c r="J20" s="221"/>
      <c r="K20" s="221"/>
      <c r="L20" s="221"/>
      <c r="M20" s="221" t="s">
        <v>890</v>
      </c>
      <c r="N20" s="221"/>
      <c r="O20" s="221">
        <f>40000+20000+60000</f>
        <v>120000</v>
      </c>
      <c r="P20" s="221"/>
      <c r="Q20" s="221"/>
      <c r="R20" s="221"/>
      <c r="S20" s="221"/>
      <c r="T20" s="222"/>
      <c r="U20" s="214">
        <f t="shared" ref="U20:U57" si="18">SUM(F20,M20,O20,R20,T20,S20)</f>
        <v>3746000</v>
      </c>
      <c r="V20" s="314"/>
      <c r="W20" s="224">
        <f>ROUNDUP(U20*1/12,-1)</f>
        <v>312170</v>
      </c>
      <c r="X20" s="225">
        <f>ROUND(U20*4.5%,-1)</f>
        <v>168570</v>
      </c>
      <c r="Y20" s="225">
        <f t="shared" ref="Y20:Y83" si="19">ROUNDUP((U20-L20)*3.23%,-1)</f>
        <v>121000</v>
      </c>
      <c r="Z20" s="225">
        <f t="shared" ref="Z20:Z83" si="20">ROUNDUP(Y20*8.51%,-1)</f>
        <v>10300</v>
      </c>
      <c r="AA20" s="225">
        <f>ROUND(U20*0.9%,-1)</f>
        <v>33710</v>
      </c>
      <c r="AB20" s="225">
        <f>ROUND(U20*0.8%,-1)</f>
        <v>29970</v>
      </c>
      <c r="AC20" s="252">
        <f t="shared" ref="AC20:AC31" si="21">SUM(W20:AB20)</f>
        <v>675720</v>
      </c>
    </row>
    <row r="21" spans="1:29" s="210" customFormat="1" ht="15" hidden="1" customHeight="1">
      <c r="A21" s="1240"/>
      <c r="B21" s="211"/>
      <c r="C21" s="212"/>
      <c r="D21" s="313"/>
      <c r="E21" s="219" t="s">
        <v>274</v>
      </c>
      <c r="F21" s="221">
        <f>F20</f>
        <v>3626000</v>
      </c>
      <c r="G21" s="221"/>
      <c r="H21" s="221"/>
      <c r="I21" s="222"/>
      <c r="J21" s="221"/>
      <c r="K21" s="221"/>
      <c r="L21" s="221"/>
      <c r="M21" s="221">
        <f>F21*60%</f>
        <v>2175600</v>
      </c>
      <c r="N21" s="221"/>
      <c r="O21" s="221">
        <f>O20</f>
        <v>120000</v>
      </c>
      <c r="P21" s="221"/>
      <c r="Q21" s="221">
        <f t="shared" ref="Q21:Q57" si="22">ROUND((F20+T20)*1/209*1.5,-1)</f>
        <v>26020</v>
      </c>
      <c r="R21" s="221">
        <f>Q21*16</f>
        <v>416320</v>
      </c>
      <c r="S21" s="221">
        <f>Q21*5</f>
        <v>130100</v>
      </c>
      <c r="T21" s="222"/>
      <c r="U21" s="214">
        <f t="shared" si="18"/>
        <v>6468020</v>
      </c>
      <c r="V21" s="314"/>
      <c r="W21" s="224">
        <f>ROUNDUP((T21+U21)*1/12,-1)</f>
        <v>539010</v>
      </c>
      <c r="X21" s="225">
        <f>ROUND(U21*4.5%,-1)</f>
        <v>291060</v>
      </c>
      <c r="Y21" s="225">
        <f t="shared" si="19"/>
        <v>208920</v>
      </c>
      <c r="Z21" s="225">
        <f t="shared" si="20"/>
        <v>17780</v>
      </c>
      <c r="AA21" s="225">
        <f t="shared" ref="AA21:AA31" si="23">ROUND(U21*0.9%,-1)</f>
        <v>58210</v>
      </c>
      <c r="AB21" s="225">
        <f t="shared" ref="AB21:AB31" si="24">ROUND(U21*0.8%,-1)</f>
        <v>51740</v>
      </c>
      <c r="AC21" s="252">
        <f t="shared" si="21"/>
        <v>1166720</v>
      </c>
    </row>
    <row r="22" spans="1:29" s="210" customFormat="1" ht="15" hidden="1" customHeight="1">
      <c r="A22" s="1240"/>
      <c r="B22" s="211"/>
      <c r="C22" s="212"/>
      <c r="D22" s="313"/>
      <c r="E22" s="219" t="s">
        <v>797</v>
      </c>
      <c r="F22" s="221">
        <f>F20</f>
        <v>3626000</v>
      </c>
      <c r="G22" s="221"/>
      <c r="H22" s="221"/>
      <c r="I22" s="222"/>
      <c r="J22" s="221"/>
      <c r="K22" s="221"/>
      <c r="L22" s="221"/>
      <c r="M22" s="221"/>
      <c r="N22" s="221"/>
      <c r="O22" s="221">
        <f t="shared" ref="O22:O31" si="25">O21</f>
        <v>120000</v>
      </c>
      <c r="P22" s="221"/>
      <c r="Q22" s="221">
        <f t="shared" si="22"/>
        <v>26020</v>
      </c>
      <c r="R22" s="221">
        <f t="shared" ref="R22:R30" si="26">Q22*16</f>
        <v>416320</v>
      </c>
      <c r="S22" s="221">
        <f t="shared" ref="S22:S31" si="27">Q22*5</f>
        <v>130100</v>
      </c>
      <c r="T22" s="222"/>
      <c r="U22" s="214">
        <f t="shared" si="18"/>
        <v>4292420</v>
      </c>
      <c r="V22" s="314"/>
      <c r="W22" s="224">
        <f t="shared" ref="W22:W31" si="28">ROUNDUP(U22*1/12,-1)</f>
        <v>357710</v>
      </c>
      <c r="X22" s="225">
        <f t="shared" ref="X22:X31" si="29">ROUND(U22*4.5%,-1)</f>
        <v>193160</v>
      </c>
      <c r="Y22" s="225">
        <f t="shared" si="19"/>
        <v>138650</v>
      </c>
      <c r="Z22" s="225">
        <f t="shared" si="20"/>
        <v>11800</v>
      </c>
      <c r="AA22" s="225">
        <f t="shared" si="23"/>
        <v>38630</v>
      </c>
      <c r="AB22" s="225">
        <f t="shared" si="24"/>
        <v>34340</v>
      </c>
      <c r="AC22" s="252">
        <f t="shared" si="21"/>
        <v>774290</v>
      </c>
    </row>
    <row r="23" spans="1:29" s="210" customFormat="1" ht="15" hidden="1" customHeight="1">
      <c r="A23" s="1240"/>
      <c r="B23" s="211"/>
      <c r="C23" s="212"/>
      <c r="D23" s="313"/>
      <c r="E23" s="219" t="s">
        <v>441</v>
      </c>
      <c r="F23" s="221">
        <f>F20</f>
        <v>3626000</v>
      </c>
      <c r="G23" s="221"/>
      <c r="H23" s="221"/>
      <c r="I23" s="222"/>
      <c r="J23" s="221"/>
      <c r="K23" s="221"/>
      <c r="L23" s="221"/>
      <c r="M23" s="221"/>
      <c r="N23" s="221"/>
      <c r="O23" s="221">
        <f t="shared" si="25"/>
        <v>120000</v>
      </c>
      <c r="P23" s="221"/>
      <c r="Q23" s="221">
        <f t="shared" si="22"/>
        <v>26020</v>
      </c>
      <c r="R23" s="221">
        <f t="shared" si="26"/>
        <v>416320</v>
      </c>
      <c r="S23" s="221">
        <f t="shared" si="27"/>
        <v>130100</v>
      </c>
      <c r="T23" s="222"/>
      <c r="U23" s="214">
        <f t="shared" si="18"/>
        <v>4292420</v>
      </c>
      <c r="V23" s="314"/>
      <c r="W23" s="224">
        <f t="shared" si="28"/>
        <v>357710</v>
      </c>
      <c r="X23" s="225">
        <f t="shared" si="29"/>
        <v>193160</v>
      </c>
      <c r="Y23" s="225">
        <f t="shared" si="19"/>
        <v>138650</v>
      </c>
      <c r="Z23" s="225">
        <f t="shared" si="20"/>
        <v>11800</v>
      </c>
      <c r="AA23" s="225">
        <f t="shared" si="23"/>
        <v>38630</v>
      </c>
      <c r="AB23" s="225">
        <f t="shared" si="24"/>
        <v>34340</v>
      </c>
      <c r="AC23" s="252">
        <f t="shared" si="21"/>
        <v>774290</v>
      </c>
    </row>
    <row r="24" spans="1:29" s="210" customFormat="1" ht="15" hidden="1" customHeight="1">
      <c r="A24" s="1240"/>
      <c r="B24" s="211"/>
      <c r="C24" s="310">
        <f>C20+1</f>
        <v>18</v>
      </c>
      <c r="D24" s="315"/>
      <c r="E24" s="311" t="s">
        <v>277</v>
      </c>
      <c r="F24" s="312">
        <v>3689000</v>
      </c>
      <c r="G24" s="221"/>
      <c r="H24" s="221"/>
      <c r="I24" s="222"/>
      <c r="J24" s="221"/>
      <c r="K24" s="221"/>
      <c r="L24" s="221"/>
      <c r="M24" s="221"/>
      <c r="N24" s="221"/>
      <c r="O24" s="221">
        <f t="shared" si="25"/>
        <v>120000</v>
      </c>
      <c r="P24" s="221"/>
      <c r="Q24" s="221">
        <f t="shared" si="22"/>
        <v>26020</v>
      </c>
      <c r="R24" s="221">
        <f t="shared" si="26"/>
        <v>416320</v>
      </c>
      <c r="S24" s="221">
        <f t="shared" si="27"/>
        <v>130100</v>
      </c>
      <c r="T24" s="222"/>
      <c r="U24" s="214">
        <f t="shared" si="18"/>
        <v>4355420</v>
      </c>
      <c r="V24" s="314"/>
      <c r="W24" s="224">
        <f t="shared" si="28"/>
        <v>362960</v>
      </c>
      <c r="X24" s="225">
        <f t="shared" si="29"/>
        <v>195990</v>
      </c>
      <c r="Y24" s="225">
        <f t="shared" si="19"/>
        <v>140690</v>
      </c>
      <c r="Z24" s="225">
        <f t="shared" si="20"/>
        <v>11980</v>
      </c>
      <c r="AA24" s="225">
        <f t="shared" si="23"/>
        <v>39200</v>
      </c>
      <c r="AB24" s="225">
        <f t="shared" si="24"/>
        <v>34840</v>
      </c>
      <c r="AC24" s="252">
        <f t="shared" si="21"/>
        <v>785660</v>
      </c>
    </row>
    <row r="25" spans="1:29" s="210" customFormat="1" ht="15" hidden="1" customHeight="1">
      <c r="A25" s="1240"/>
      <c r="B25" s="211"/>
      <c r="C25" s="212"/>
      <c r="D25" s="313"/>
      <c r="E25" s="219" t="s">
        <v>798</v>
      </c>
      <c r="F25" s="221">
        <f>F24</f>
        <v>3689000</v>
      </c>
      <c r="G25" s="221"/>
      <c r="H25" s="221"/>
      <c r="I25" s="222"/>
      <c r="J25" s="221"/>
      <c r="K25" s="221"/>
      <c r="L25" s="221"/>
      <c r="M25" s="221"/>
      <c r="N25" s="221"/>
      <c r="O25" s="221">
        <f t="shared" si="25"/>
        <v>120000</v>
      </c>
      <c r="P25" s="221"/>
      <c r="Q25" s="221">
        <f t="shared" si="22"/>
        <v>26480</v>
      </c>
      <c r="R25" s="221">
        <f t="shared" si="26"/>
        <v>423680</v>
      </c>
      <c r="S25" s="221">
        <f t="shared" si="27"/>
        <v>132400</v>
      </c>
      <c r="T25" s="222"/>
      <c r="U25" s="214">
        <f t="shared" si="18"/>
        <v>4365080</v>
      </c>
      <c r="V25" s="314"/>
      <c r="W25" s="224">
        <f t="shared" si="28"/>
        <v>363760</v>
      </c>
      <c r="X25" s="225">
        <f t="shared" si="29"/>
        <v>196430</v>
      </c>
      <c r="Y25" s="225">
        <f t="shared" si="19"/>
        <v>141000</v>
      </c>
      <c r="Z25" s="225">
        <f t="shared" si="20"/>
        <v>12000</v>
      </c>
      <c r="AA25" s="225">
        <f t="shared" si="23"/>
        <v>39290</v>
      </c>
      <c r="AB25" s="225">
        <f t="shared" si="24"/>
        <v>34920</v>
      </c>
      <c r="AC25" s="252">
        <f t="shared" si="21"/>
        <v>787400</v>
      </c>
    </row>
    <row r="26" spans="1:29" s="210" customFormat="1" ht="15" hidden="1" customHeight="1">
      <c r="A26" s="1240"/>
      <c r="B26" s="211"/>
      <c r="C26" s="212"/>
      <c r="D26" s="313"/>
      <c r="E26" s="219" t="s">
        <v>279</v>
      </c>
      <c r="F26" s="225">
        <f>F25</f>
        <v>3689000</v>
      </c>
      <c r="G26" s="221"/>
      <c r="H26" s="220"/>
      <c r="I26" s="222"/>
      <c r="J26" s="221"/>
      <c r="K26" s="221"/>
      <c r="L26" s="221"/>
      <c r="M26" s="221"/>
      <c r="N26" s="221"/>
      <c r="O26" s="221">
        <f t="shared" si="25"/>
        <v>120000</v>
      </c>
      <c r="P26" s="221"/>
      <c r="Q26" s="221">
        <f t="shared" si="22"/>
        <v>26480</v>
      </c>
      <c r="R26" s="221">
        <f t="shared" si="26"/>
        <v>423680</v>
      </c>
      <c r="S26" s="221">
        <f t="shared" si="27"/>
        <v>132400</v>
      </c>
      <c r="T26" s="222"/>
      <c r="U26" s="214">
        <f t="shared" si="18"/>
        <v>4365080</v>
      </c>
      <c r="V26" s="314"/>
      <c r="W26" s="224">
        <f t="shared" si="28"/>
        <v>363760</v>
      </c>
      <c r="X26" s="225">
        <f t="shared" si="29"/>
        <v>196430</v>
      </c>
      <c r="Y26" s="225">
        <f t="shared" si="19"/>
        <v>141000</v>
      </c>
      <c r="Z26" s="225">
        <f t="shared" si="20"/>
        <v>12000</v>
      </c>
      <c r="AA26" s="225">
        <f t="shared" si="23"/>
        <v>39290</v>
      </c>
      <c r="AB26" s="225">
        <f t="shared" si="24"/>
        <v>34920</v>
      </c>
      <c r="AC26" s="252">
        <f t="shared" si="21"/>
        <v>787400</v>
      </c>
    </row>
    <row r="27" spans="1:29" s="210" customFormat="1" ht="15" hidden="1" customHeight="1">
      <c r="A27" s="1240"/>
      <c r="B27" s="211"/>
      <c r="C27" s="212"/>
      <c r="D27" s="313"/>
      <c r="E27" s="219" t="s">
        <v>280</v>
      </c>
      <c r="F27" s="225">
        <f>F26</f>
        <v>3689000</v>
      </c>
      <c r="G27" s="221"/>
      <c r="H27" s="221"/>
      <c r="I27" s="222"/>
      <c r="J27" s="221"/>
      <c r="K27" s="221"/>
      <c r="L27" s="221"/>
      <c r="M27" s="221"/>
      <c r="N27" s="221"/>
      <c r="O27" s="221">
        <f t="shared" si="25"/>
        <v>120000</v>
      </c>
      <c r="P27" s="221"/>
      <c r="Q27" s="221">
        <f t="shared" si="22"/>
        <v>26480</v>
      </c>
      <c r="R27" s="221">
        <f t="shared" si="26"/>
        <v>423680</v>
      </c>
      <c r="S27" s="221">
        <f t="shared" si="27"/>
        <v>132400</v>
      </c>
      <c r="T27" s="222"/>
      <c r="U27" s="214">
        <f t="shared" si="18"/>
        <v>4365080</v>
      </c>
      <c r="V27" s="314"/>
      <c r="W27" s="224">
        <f t="shared" si="28"/>
        <v>363760</v>
      </c>
      <c r="X27" s="225">
        <f t="shared" si="29"/>
        <v>196430</v>
      </c>
      <c r="Y27" s="225">
        <f t="shared" si="19"/>
        <v>141000</v>
      </c>
      <c r="Z27" s="225">
        <f t="shared" si="20"/>
        <v>12000</v>
      </c>
      <c r="AA27" s="225">
        <f t="shared" si="23"/>
        <v>39290</v>
      </c>
      <c r="AB27" s="225">
        <f t="shared" si="24"/>
        <v>34920</v>
      </c>
      <c r="AC27" s="252">
        <f t="shared" si="21"/>
        <v>787400</v>
      </c>
    </row>
    <row r="28" spans="1:29" s="210" customFormat="1" ht="15" hidden="1" customHeight="1">
      <c r="A28" s="1240"/>
      <c r="B28" s="211"/>
      <c r="C28" s="212"/>
      <c r="D28" s="313"/>
      <c r="E28" s="219" t="s">
        <v>54</v>
      </c>
      <c r="F28" s="221">
        <f>F27</f>
        <v>3689000</v>
      </c>
      <c r="G28" s="221"/>
      <c r="H28" s="221"/>
      <c r="I28" s="222"/>
      <c r="J28" s="221"/>
      <c r="K28" s="221"/>
      <c r="L28" s="221"/>
      <c r="M28" s="221">
        <f t="shared" ref="M28" si="30">F28*60%</f>
        <v>2213400</v>
      </c>
      <c r="N28" s="221"/>
      <c r="O28" s="221">
        <f t="shared" si="25"/>
        <v>120000</v>
      </c>
      <c r="P28" s="221"/>
      <c r="Q28" s="221">
        <f t="shared" si="22"/>
        <v>26480</v>
      </c>
      <c r="R28" s="221">
        <f t="shared" si="26"/>
        <v>423680</v>
      </c>
      <c r="S28" s="221">
        <f t="shared" si="27"/>
        <v>132400</v>
      </c>
      <c r="T28" s="222"/>
      <c r="U28" s="214">
        <f t="shared" si="18"/>
        <v>6578480</v>
      </c>
      <c r="V28" s="314"/>
      <c r="W28" s="224">
        <f t="shared" si="28"/>
        <v>548210</v>
      </c>
      <c r="X28" s="225">
        <f t="shared" si="29"/>
        <v>296030</v>
      </c>
      <c r="Y28" s="225">
        <f t="shared" si="19"/>
        <v>212490</v>
      </c>
      <c r="Z28" s="225">
        <f t="shared" si="20"/>
        <v>18090</v>
      </c>
      <c r="AA28" s="225">
        <f t="shared" si="23"/>
        <v>59210</v>
      </c>
      <c r="AB28" s="225">
        <f t="shared" si="24"/>
        <v>52630</v>
      </c>
      <c r="AC28" s="252">
        <f t="shared" si="21"/>
        <v>1186660</v>
      </c>
    </row>
    <row r="29" spans="1:29" s="210" customFormat="1" ht="15" hidden="1" customHeight="1">
      <c r="A29" s="1240"/>
      <c r="B29" s="211"/>
      <c r="C29" s="212"/>
      <c r="D29" s="313"/>
      <c r="E29" s="219" t="s">
        <v>55</v>
      </c>
      <c r="F29" s="221">
        <f>F27</f>
        <v>3689000</v>
      </c>
      <c r="G29" s="221"/>
      <c r="H29" s="221"/>
      <c r="I29" s="222"/>
      <c r="J29" s="221"/>
      <c r="K29" s="221"/>
      <c r="L29" s="221"/>
      <c r="M29" s="221"/>
      <c r="N29" s="221"/>
      <c r="O29" s="221">
        <f t="shared" si="25"/>
        <v>120000</v>
      </c>
      <c r="P29" s="221"/>
      <c r="Q29" s="221">
        <f t="shared" si="22"/>
        <v>26480</v>
      </c>
      <c r="R29" s="221">
        <f t="shared" si="26"/>
        <v>423680</v>
      </c>
      <c r="S29" s="221">
        <f t="shared" si="27"/>
        <v>132400</v>
      </c>
      <c r="T29" s="222"/>
      <c r="U29" s="214">
        <f t="shared" si="18"/>
        <v>4365080</v>
      </c>
      <c r="V29" s="314"/>
      <c r="W29" s="224">
        <f t="shared" si="28"/>
        <v>363760</v>
      </c>
      <c r="X29" s="225">
        <f t="shared" si="29"/>
        <v>196430</v>
      </c>
      <c r="Y29" s="225">
        <f t="shared" si="19"/>
        <v>141000</v>
      </c>
      <c r="Z29" s="225">
        <f t="shared" si="20"/>
        <v>12000</v>
      </c>
      <c r="AA29" s="225">
        <f t="shared" si="23"/>
        <v>39290</v>
      </c>
      <c r="AB29" s="225">
        <f t="shared" si="24"/>
        <v>34920</v>
      </c>
      <c r="AC29" s="252">
        <f t="shared" si="21"/>
        <v>787400</v>
      </c>
    </row>
    <row r="30" spans="1:29" s="210" customFormat="1" ht="15" hidden="1" customHeight="1">
      <c r="A30" s="1240"/>
      <c r="B30" s="211"/>
      <c r="C30" s="212"/>
      <c r="D30" s="313"/>
      <c r="E30" s="219" t="s">
        <v>56</v>
      </c>
      <c r="F30" s="221">
        <f>F29</f>
        <v>3689000</v>
      </c>
      <c r="G30" s="221"/>
      <c r="H30" s="221"/>
      <c r="I30" s="222"/>
      <c r="J30" s="221"/>
      <c r="K30" s="221"/>
      <c r="L30" s="221"/>
      <c r="M30" s="221"/>
      <c r="N30" s="221"/>
      <c r="O30" s="221">
        <f t="shared" si="25"/>
        <v>120000</v>
      </c>
      <c r="P30" s="221"/>
      <c r="Q30" s="221">
        <f t="shared" si="22"/>
        <v>26480</v>
      </c>
      <c r="R30" s="221">
        <f t="shared" si="26"/>
        <v>423680</v>
      </c>
      <c r="S30" s="221">
        <f t="shared" si="27"/>
        <v>132400</v>
      </c>
      <c r="T30" s="222"/>
      <c r="U30" s="214">
        <f t="shared" si="18"/>
        <v>4365080</v>
      </c>
      <c r="V30" s="314"/>
      <c r="W30" s="224">
        <f t="shared" si="28"/>
        <v>363760</v>
      </c>
      <c r="X30" s="225">
        <f t="shared" si="29"/>
        <v>196430</v>
      </c>
      <c r="Y30" s="225">
        <f t="shared" si="19"/>
        <v>141000</v>
      </c>
      <c r="Z30" s="225">
        <f t="shared" si="20"/>
        <v>12000</v>
      </c>
      <c r="AA30" s="225">
        <f t="shared" si="23"/>
        <v>39290</v>
      </c>
      <c r="AB30" s="225">
        <f t="shared" si="24"/>
        <v>34920</v>
      </c>
      <c r="AC30" s="252">
        <f t="shared" si="21"/>
        <v>787400</v>
      </c>
    </row>
    <row r="31" spans="1:29" s="210" customFormat="1" ht="15" hidden="1" customHeight="1">
      <c r="A31" s="1240"/>
      <c r="B31" s="211"/>
      <c r="C31" s="212"/>
      <c r="D31" s="313"/>
      <c r="E31" s="219" t="s">
        <v>281</v>
      </c>
      <c r="F31" s="221">
        <f>F30</f>
        <v>3689000</v>
      </c>
      <c r="G31" s="221"/>
      <c r="H31" s="221"/>
      <c r="I31" s="222"/>
      <c r="J31" s="221"/>
      <c r="K31" s="221"/>
      <c r="L31" s="221"/>
      <c r="M31" s="221"/>
      <c r="N31" s="221"/>
      <c r="O31" s="221">
        <f t="shared" si="25"/>
        <v>120000</v>
      </c>
      <c r="P31" s="221"/>
      <c r="Q31" s="221">
        <f t="shared" si="22"/>
        <v>26480</v>
      </c>
      <c r="R31" s="221">
        <f>Q31*16*2</f>
        <v>847360</v>
      </c>
      <c r="S31" s="221">
        <f t="shared" si="27"/>
        <v>132400</v>
      </c>
      <c r="T31" s="222"/>
      <c r="U31" s="214">
        <f t="shared" si="18"/>
        <v>4788760</v>
      </c>
      <c r="V31" s="314"/>
      <c r="W31" s="224">
        <f t="shared" si="28"/>
        <v>399070</v>
      </c>
      <c r="X31" s="225">
        <f t="shared" si="29"/>
        <v>215490</v>
      </c>
      <c r="Y31" s="225">
        <f t="shared" si="19"/>
        <v>154680</v>
      </c>
      <c r="Z31" s="225">
        <f t="shared" si="20"/>
        <v>13170</v>
      </c>
      <c r="AA31" s="225">
        <f t="shared" si="23"/>
        <v>43100</v>
      </c>
      <c r="AB31" s="225">
        <f t="shared" si="24"/>
        <v>38310</v>
      </c>
      <c r="AC31" s="252">
        <f t="shared" si="21"/>
        <v>863820</v>
      </c>
    </row>
    <row r="32" spans="1:29" s="210" customFormat="1" ht="12.75" customHeight="1">
      <c r="A32" s="1240">
        <v>3</v>
      </c>
      <c r="B32" s="211" t="s">
        <v>919</v>
      </c>
      <c r="C32" s="212" t="s">
        <v>897</v>
      </c>
      <c r="D32" s="313">
        <v>1</v>
      </c>
      <c r="E32" s="213" t="s">
        <v>801</v>
      </c>
      <c r="F32" s="214">
        <f t="shared" ref="F32:U32" si="31">SUM(F33:F44)</f>
        <v>38346000</v>
      </c>
      <c r="G32" s="214">
        <f t="shared" si="31"/>
        <v>0</v>
      </c>
      <c r="H32" s="214">
        <f t="shared" si="31"/>
        <v>0</v>
      </c>
      <c r="I32" s="214">
        <f t="shared" ref="I32:L32" si="32">SUM(I33:I44)</f>
        <v>0</v>
      </c>
      <c r="J32" s="214">
        <f t="shared" si="32"/>
        <v>0</v>
      </c>
      <c r="K32" s="214">
        <f t="shared" si="32"/>
        <v>0</v>
      </c>
      <c r="L32" s="214">
        <f t="shared" si="32"/>
        <v>0</v>
      </c>
      <c r="M32" s="214">
        <f t="shared" ref="M32" si="33">SUM(M33:M44)</f>
        <v>3834600</v>
      </c>
      <c r="N32" s="214">
        <f t="shared" ref="N32" si="34">SUM(N33:N44)</f>
        <v>0</v>
      </c>
      <c r="O32" s="214">
        <f t="shared" si="31"/>
        <v>480000</v>
      </c>
      <c r="P32" s="214">
        <f t="shared" si="31"/>
        <v>0</v>
      </c>
      <c r="Q32" s="214"/>
      <c r="R32" s="214">
        <f t="shared" ref="R32" si="35">SUM(R33:R44)</f>
        <v>5504400</v>
      </c>
      <c r="S32" s="214">
        <f t="shared" si="31"/>
        <v>1260250</v>
      </c>
      <c r="T32" s="214">
        <f t="shared" si="31"/>
        <v>0</v>
      </c>
      <c r="U32" s="214">
        <f t="shared" si="31"/>
        <v>49425250</v>
      </c>
      <c r="V32" s="314"/>
      <c r="W32" s="217">
        <f t="shared" ref="W32:AB32" si="36">SUM(W33:W44)</f>
        <v>4118820</v>
      </c>
      <c r="X32" s="214">
        <f t="shared" si="36"/>
        <v>2224140</v>
      </c>
      <c r="Y32" s="214">
        <f t="shared" ref="Y32" si="37">SUM(Y33:Y44)</f>
        <v>1596480</v>
      </c>
      <c r="Z32" s="214">
        <f t="shared" si="36"/>
        <v>135920</v>
      </c>
      <c r="AA32" s="214">
        <f t="shared" si="36"/>
        <v>444830</v>
      </c>
      <c r="AB32" s="214">
        <f t="shared" si="36"/>
        <v>395390</v>
      </c>
      <c r="AC32" s="266">
        <f>SUM(AC33:AC44)</f>
        <v>8915580</v>
      </c>
    </row>
    <row r="33" spans="1:29" s="204" customFormat="1" ht="12.75" hidden="1" customHeight="1">
      <c r="A33" s="1240"/>
      <c r="B33" s="211" t="s">
        <v>802</v>
      </c>
      <c r="C33" s="310">
        <v>15</v>
      </c>
      <c r="D33" s="310"/>
      <c r="E33" s="311" t="s">
        <v>787</v>
      </c>
      <c r="F33" s="312">
        <v>3163000</v>
      </c>
      <c r="G33" s="221"/>
      <c r="H33" s="220"/>
      <c r="I33" s="222"/>
      <c r="J33" s="221"/>
      <c r="K33" s="221"/>
      <c r="L33" s="221"/>
      <c r="M33" s="221" t="s">
        <v>890</v>
      </c>
      <c r="N33" s="221"/>
      <c r="O33" s="221">
        <v>40000</v>
      </c>
      <c r="P33" s="221"/>
      <c r="Q33" s="221"/>
      <c r="R33" s="221"/>
      <c r="S33" s="221"/>
      <c r="T33" s="222"/>
      <c r="U33" s="214">
        <f t="shared" ref="U33" si="38">SUM(F33,M33,O33,R33,T33,S33)</f>
        <v>3203000</v>
      </c>
      <c r="V33" s="250"/>
      <c r="W33" s="224">
        <f>ROUNDUP(U33*1/12,-1)</f>
        <v>266920</v>
      </c>
      <c r="X33" s="225">
        <f t="shared" ref="X33:X44" si="39">ROUND(U33*4.5%,-1)</f>
        <v>144140</v>
      </c>
      <c r="Y33" s="225">
        <f t="shared" ref="Y33" si="40">ROUNDUP((U33-L33)*3.23%,-1)</f>
        <v>103460</v>
      </c>
      <c r="Z33" s="225">
        <f t="shared" ref="Z33" si="41">ROUNDUP(Y33*8.51%,-1)</f>
        <v>8810</v>
      </c>
      <c r="AA33" s="225">
        <f t="shared" ref="AA33:AA44" si="42">ROUND(U33*0.9%,-1)</f>
        <v>28830</v>
      </c>
      <c r="AB33" s="225">
        <f t="shared" ref="AB33:AB44" si="43">ROUND(U33*0.8%,-1)</f>
        <v>25620</v>
      </c>
      <c r="AC33" s="252">
        <f t="shared" ref="AC33:AC44" si="44">SUM(W33:AB33)</f>
        <v>577780</v>
      </c>
    </row>
    <row r="34" spans="1:29" s="204" customFormat="1" ht="12.75" hidden="1" customHeight="1">
      <c r="A34" s="1240"/>
      <c r="B34" s="211"/>
      <c r="C34" s="212"/>
      <c r="D34" s="212"/>
      <c r="E34" s="219" t="s">
        <v>274</v>
      </c>
      <c r="F34" s="221">
        <f>F33</f>
        <v>3163000</v>
      </c>
      <c r="G34" s="221"/>
      <c r="H34" s="221"/>
      <c r="I34" s="222"/>
      <c r="J34" s="221"/>
      <c r="K34" s="221"/>
      <c r="L34" s="221"/>
      <c r="M34" s="221">
        <f>F34*60%</f>
        <v>1897800</v>
      </c>
      <c r="N34" s="221"/>
      <c r="O34" s="221">
        <f>O33</f>
        <v>40000</v>
      </c>
      <c r="P34" s="221"/>
      <c r="Q34" s="221">
        <f t="shared" ref="Q34" si="45">ROUND((F33+T33)*1/209*1.5,-1)</f>
        <v>22700</v>
      </c>
      <c r="R34" s="221">
        <f>Q34*20</f>
        <v>454000</v>
      </c>
      <c r="S34" s="221">
        <f>Q34*5</f>
        <v>113500</v>
      </c>
      <c r="T34" s="222"/>
      <c r="U34" s="214">
        <f t="shared" si="18"/>
        <v>5668300</v>
      </c>
      <c r="V34" s="250"/>
      <c r="W34" s="224">
        <f>ROUNDUP((T34+U34)*1/12,-1)</f>
        <v>472360</v>
      </c>
      <c r="X34" s="225">
        <f t="shared" si="39"/>
        <v>255070</v>
      </c>
      <c r="Y34" s="225">
        <f t="shared" si="19"/>
        <v>183090</v>
      </c>
      <c r="Z34" s="225">
        <f t="shared" si="20"/>
        <v>15590</v>
      </c>
      <c r="AA34" s="225">
        <f t="shared" si="42"/>
        <v>51010</v>
      </c>
      <c r="AB34" s="225">
        <f t="shared" si="43"/>
        <v>45350</v>
      </c>
      <c r="AC34" s="252">
        <f t="shared" si="44"/>
        <v>1022470</v>
      </c>
    </row>
    <row r="35" spans="1:29" s="204" customFormat="1" ht="12.75" hidden="1" customHeight="1">
      <c r="A35" s="1240"/>
      <c r="B35" s="211"/>
      <c r="C35" s="212"/>
      <c r="D35" s="212"/>
      <c r="E35" s="219" t="s">
        <v>275</v>
      </c>
      <c r="F35" s="221">
        <f>F33</f>
        <v>3163000</v>
      </c>
      <c r="G35" s="221"/>
      <c r="H35" s="221"/>
      <c r="I35" s="222"/>
      <c r="J35" s="221"/>
      <c r="K35" s="221"/>
      <c r="L35" s="221"/>
      <c r="M35" s="221"/>
      <c r="N35" s="221"/>
      <c r="O35" s="221">
        <f>O33</f>
        <v>40000</v>
      </c>
      <c r="P35" s="221"/>
      <c r="Q35" s="221">
        <f t="shared" si="22"/>
        <v>22700</v>
      </c>
      <c r="R35" s="221">
        <f t="shared" ref="R35:R43" si="46">Q35*20</f>
        <v>454000</v>
      </c>
      <c r="S35" s="221">
        <f>Q35*5</f>
        <v>113500</v>
      </c>
      <c r="T35" s="222"/>
      <c r="U35" s="214">
        <f t="shared" si="18"/>
        <v>3770500</v>
      </c>
      <c r="V35" s="250"/>
      <c r="W35" s="224">
        <f t="shared" ref="W35:W44" si="47">ROUNDUP(U35*1/12,-1)</f>
        <v>314210</v>
      </c>
      <c r="X35" s="225">
        <f t="shared" si="39"/>
        <v>169670</v>
      </c>
      <c r="Y35" s="225">
        <f t="shared" si="19"/>
        <v>121790</v>
      </c>
      <c r="Z35" s="225">
        <f t="shared" si="20"/>
        <v>10370</v>
      </c>
      <c r="AA35" s="225">
        <f t="shared" si="42"/>
        <v>33930</v>
      </c>
      <c r="AB35" s="225">
        <f t="shared" si="43"/>
        <v>30160</v>
      </c>
      <c r="AC35" s="252">
        <f t="shared" si="44"/>
        <v>680130</v>
      </c>
    </row>
    <row r="36" spans="1:29" s="204" customFormat="1" ht="12.75" hidden="1" customHeight="1">
      <c r="A36" s="1240"/>
      <c r="B36" s="211"/>
      <c r="C36" s="212"/>
      <c r="D36" s="212"/>
      <c r="E36" s="219" t="s">
        <v>803</v>
      </c>
      <c r="F36" s="221">
        <f>F33</f>
        <v>3163000</v>
      </c>
      <c r="G36" s="221"/>
      <c r="H36" s="221"/>
      <c r="I36" s="222"/>
      <c r="J36" s="221"/>
      <c r="K36" s="221"/>
      <c r="L36" s="221"/>
      <c r="M36" s="221"/>
      <c r="N36" s="221"/>
      <c r="O36" s="221">
        <f>O33</f>
        <v>40000</v>
      </c>
      <c r="P36" s="221"/>
      <c r="Q36" s="221">
        <f t="shared" si="22"/>
        <v>22700</v>
      </c>
      <c r="R36" s="221">
        <f t="shared" si="46"/>
        <v>454000</v>
      </c>
      <c r="S36" s="221">
        <f t="shared" ref="S36:S44" si="48">Q36*5</f>
        <v>113500</v>
      </c>
      <c r="T36" s="222"/>
      <c r="U36" s="214">
        <f t="shared" si="18"/>
        <v>3770500</v>
      </c>
      <c r="V36" s="250"/>
      <c r="W36" s="224">
        <f t="shared" si="47"/>
        <v>314210</v>
      </c>
      <c r="X36" s="225">
        <f t="shared" si="39"/>
        <v>169670</v>
      </c>
      <c r="Y36" s="225">
        <f t="shared" si="19"/>
        <v>121790</v>
      </c>
      <c r="Z36" s="225">
        <f t="shared" si="20"/>
        <v>10370</v>
      </c>
      <c r="AA36" s="225">
        <f t="shared" si="42"/>
        <v>33930</v>
      </c>
      <c r="AB36" s="225">
        <f t="shared" si="43"/>
        <v>30160</v>
      </c>
      <c r="AC36" s="252">
        <f t="shared" si="44"/>
        <v>680130</v>
      </c>
    </row>
    <row r="37" spans="1:29" s="204" customFormat="1" ht="12.75" hidden="1" customHeight="1">
      <c r="A37" s="1240"/>
      <c r="B37" s="211"/>
      <c r="C37" s="212"/>
      <c r="D37" s="212"/>
      <c r="E37" s="219" t="s">
        <v>430</v>
      </c>
      <c r="F37" s="221">
        <f>F33</f>
        <v>3163000</v>
      </c>
      <c r="G37" s="221"/>
      <c r="H37" s="221"/>
      <c r="I37" s="222"/>
      <c r="J37" s="221"/>
      <c r="K37" s="221"/>
      <c r="L37" s="221"/>
      <c r="M37" s="221"/>
      <c r="N37" s="221"/>
      <c r="O37" s="221">
        <f>O33</f>
        <v>40000</v>
      </c>
      <c r="P37" s="221"/>
      <c r="Q37" s="221">
        <f t="shared" si="22"/>
        <v>22700</v>
      </c>
      <c r="R37" s="221">
        <f t="shared" si="46"/>
        <v>454000</v>
      </c>
      <c r="S37" s="221">
        <f t="shared" si="48"/>
        <v>113500</v>
      </c>
      <c r="T37" s="222"/>
      <c r="U37" s="214">
        <f t="shared" si="18"/>
        <v>3770500</v>
      </c>
      <c r="V37" s="250"/>
      <c r="W37" s="224">
        <f t="shared" si="47"/>
        <v>314210</v>
      </c>
      <c r="X37" s="225">
        <f t="shared" si="39"/>
        <v>169670</v>
      </c>
      <c r="Y37" s="225">
        <f t="shared" si="19"/>
        <v>121790</v>
      </c>
      <c r="Z37" s="225">
        <f t="shared" si="20"/>
        <v>10370</v>
      </c>
      <c r="AA37" s="225">
        <f t="shared" si="42"/>
        <v>33930</v>
      </c>
      <c r="AB37" s="225">
        <f t="shared" si="43"/>
        <v>30160</v>
      </c>
      <c r="AC37" s="252">
        <f t="shared" si="44"/>
        <v>680130</v>
      </c>
    </row>
    <row r="38" spans="1:29" s="204" customFormat="1" ht="12.75" hidden="1" customHeight="1">
      <c r="A38" s="1240"/>
      <c r="B38" s="211"/>
      <c r="C38" s="212"/>
      <c r="D38" s="212"/>
      <c r="E38" s="219" t="s">
        <v>278</v>
      </c>
      <c r="F38" s="316">
        <f>F37</f>
        <v>3163000</v>
      </c>
      <c r="G38" s="221"/>
      <c r="H38" s="221"/>
      <c r="I38" s="222"/>
      <c r="J38" s="221"/>
      <c r="K38" s="221"/>
      <c r="L38" s="221"/>
      <c r="M38" s="221"/>
      <c r="N38" s="221"/>
      <c r="O38" s="221">
        <f>O33</f>
        <v>40000</v>
      </c>
      <c r="P38" s="221"/>
      <c r="Q38" s="221">
        <f t="shared" si="22"/>
        <v>22700</v>
      </c>
      <c r="R38" s="221">
        <f t="shared" si="46"/>
        <v>454000</v>
      </c>
      <c r="S38" s="221">
        <f t="shared" si="48"/>
        <v>113500</v>
      </c>
      <c r="T38" s="222"/>
      <c r="U38" s="214">
        <f t="shared" si="18"/>
        <v>3770500</v>
      </c>
      <c r="V38" s="250"/>
      <c r="W38" s="224">
        <f t="shared" si="47"/>
        <v>314210</v>
      </c>
      <c r="X38" s="225">
        <f t="shared" si="39"/>
        <v>169670</v>
      </c>
      <c r="Y38" s="225">
        <f t="shared" si="19"/>
        <v>121790</v>
      </c>
      <c r="Z38" s="225">
        <f t="shared" si="20"/>
        <v>10370</v>
      </c>
      <c r="AA38" s="225">
        <f t="shared" si="42"/>
        <v>33930</v>
      </c>
      <c r="AB38" s="225">
        <f t="shared" si="43"/>
        <v>30160</v>
      </c>
      <c r="AC38" s="252">
        <f t="shared" si="44"/>
        <v>680130</v>
      </c>
    </row>
    <row r="39" spans="1:29" s="204" customFormat="1" ht="12.75" hidden="1" customHeight="1">
      <c r="A39" s="1240"/>
      <c r="B39" s="211"/>
      <c r="C39" s="310">
        <f>C33+1</f>
        <v>16</v>
      </c>
      <c r="D39" s="310"/>
      <c r="E39" s="311" t="s">
        <v>279</v>
      </c>
      <c r="F39" s="312">
        <v>3228000</v>
      </c>
      <c r="G39" s="221"/>
      <c r="H39" s="220"/>
      <c r="I39" s="222"/>
      <c r="J39" s="221"/>
      <c r="K39" s="221"/>
      <c r="L39" s="221"/>
      <c r="M39" s="221"/>
      <c r="N39" s="221"/>
      <c r="O39" s="221">
        <f>O38</f>
        <v>40000</v>
      </c>
      <c r="P39" s="221"/>
      <c r="Q39" s="221">
        <f t="shared" si="22"/>
        <v>22700</v>
      </c>
      <c r="R39" s="221">
        <f t="shared" si="46"/>
        <v>454000</v>
      </c>
      <c r="S39" s="221">
        <f t="shared" si="48"/>
        <v>113500</v>
      </c>
      <c r="T39" s="222"/>
      <c r="U39" s="214">
        <f t="shared" si="18"/>
        <v>3835500</v>
      </c>
      <c r="V39" s="250"/>
      <c r="W39" s="224">
        <f t="shared" si="47"/>
        <v>319630</v>
      </c>
      <c r="X39" s="225">
        <f t="shared" si="39"/>
        <v>172600</v>
      </c>
      <c r="Y39" s="225">
        <f t="shared" si="19"/>
        <v>123890</v>
      </c>
      <c r="Z39" s="225">
        <f t="shared" si="20"/>
        <v>10550</v>
      </c>
      <c r="AA39" s="225">
        <f t="shared" si="42"/>
        <v>34520</v>
      </c>
      <c r="AB39" s="225">
        <f t="shared" si="43"/>
        <v>30680</v>
      </c>
      <c r="AC39" s="252">
        <f t="shared" si="44"/>
        <v>691870</v>
      </c>
    </row>
    <row r="40" spans="1:29" s="204" customFormat="1" ht="12.75" hidden="1" customHeight="1">
      <c r="A40" s="1240"/>
      <c r="B40" s="211"/>
      <c r="C40" s="212"/>
      <c r="D40" s="212"/>
      <c r="E40" s="219" t="s">
        <v>280</v>
      </c>
      <c r="F40" s="221">
        <f>F39</f>
        <v>3228000</v>
      </c>
      <c r="G40" s="221"/>
      <c r="H40" s="221"/>
      <c r="I40" s="222"/>
      <c r="J40" s="221"/>
      <c r="K40" s="221"/>
      <c r="L40" s="221"/>
      <c r="M40" s="221"/>
      <c r="N40" s="221"/>
      <c r="O40" s="221">
        <f>O39</f>
        <v>40000</v>
      </c>
      <c r="P40" s="221"/>
      <c r="Q40" s="221">
        <f t="shared" si="22"/>
        <v>23170</v>
      </c>
      <c r="R40" s="221">
        <f t="shared" si="46"/>
        <v>463400</v>
      </c>
      <c r="S40" s="221">
        <f t="shared" si="48"/>
        <v>115850</v>
      </c>
      <c r="T40" s="222"/>
      <c r="U40" s="214">
        <f t="shared" si="18"/>
        <v>3847250</v>
      </c>
      <c r="V40" s="250"/>
      <c r="W40" s="224">
        <f t="shared" si="47"/>
        <v>320610</v>
      </c>
      <c r="X40" s="225">
        <f t="shared" si="39"/>
        <v>173130</v>
      </c>
      <c r="Y40" s="225">
        <f t="shared" si="19"/>
        <v>124270</v>
      </c>
      <c r="Z40" s="225">
        <f t="shared" si="20"/>
        <v>10580</v>
      </c>
      <c r="AA40" s="225">
        <f t="shared" si="42"/>
        <v>34630</v>
      </c>
      <c r="AB40" s="225">
        <f t="shared" si="43"/>
        <v>30780</v>
      </c>
      <c r="AC40" s="252">
        <f t="shared" si="44"/>
        <v>694000</v>
      </c>
    </row>
    <row r="41" spans="1:29" s="204" customFormat="1" ht="12.75" hidden="1" customHeight="1">
      <c r="A41" s="1240"/>
      <c r="B41" s="211"/>
      <c r="C41" s="212"/>
      <c r="D41" s="212"/>
      <c r="E41" s="219" t="s">
        <v>54</v>
      </c>
      <c r="F41" s="221">
        <f>F39</f>
        <v>3228000</v>
      </c>
      <c r="G41" s="221"/>
      <c r="H41" s="221"/>
      <c r="I41" s="222"/>
      <c r="J41" s="221"/>
      <c r="K41" s="221"/>
      <c r="L41" s="221"/>
      <c r="M41" s="221">
        <f t="shared" ref="M41" si="49">F41*60%</f>
        <v>1936800</v>
      </c>
      <c r="N41" s="221"/>
      <c r="O41" s="221">
        <f>O39</f>
        <v>40000</v>
      </c>
      <c r="P41" s="221"/>
      <c r="Q41" s="221">
        <f t="shared" si="22"/>
        <v>23170</v>
      </c>
      <c r="R41" s="221">
        <f t="shared" si="46"/>
        <v>463400</v>
      </c>
      <c r="S41" s="221">
        <f t="shared" si="48"/>
        <v>115850</v>
      </c>
      <c r="T41" s="222"/>
      <c r="U41" s="214">
        <f t="shared" si="18"/>
        <v>5784050</v>
      </c>
      <c r="V41" s="250"/>
      <c r="W41" s="224">
        <f t="shared" si="47"/>
        <v>482010</v>
      </c>
      <c r="X41" s="225">
        <f t="shared" si="39"/>
        <v>260280</v>
      </c>
      <c r="Y41" s="225">
        <f t="shared" si="19"/>
        <v>186830</v>
      </c>
      <c r="Z41" s="225">
        <f t="shared" si="20"/>
        <v>15900</v>
      </c>
      <c r="AA41" s="225">
        <f t="shared" si="42"/>
        <v>52060</v>
      </c>
      <c r="AB41" s="225">
        <f t="shared" si="43"/>
        <v>46270</v>
      </c>
      <c r="AC41" s="252">
        <f t="shared" si="44"/>
        <v>1043350</v>
      </c>
    </row>
    <row r="42" spans="1:29" s="204" customFormat="1" ht="12.75" hidden="1" customHeight="1">
      <c r="A42" s="1240"/>
      <c r="B42" s="211"/>
      <c r="C42" s="212"/>
      <c r="D42" s="212"/>
      <c r="E42" s="219" t="s">
        <v>55</v>
      </c>
      <c r="F42" s="221">
        <f>F40</f>
        <v>3228000</v>
      </c>
      <c r="G42" s="221"/>
      <c r="H42" s="221"/>
      <c r="I42" s="222"/>
      <c r="J42" s="221"/>
      <c r="K42" s="221"/>
      <c r="L42" s="221"/>
      <c r="M42" s="221"/>
      <c r="N42" s="221"/>
      <c r="O42" s="221">
        <f>O39</f>
        <v>40000</v>
      </c>
      <c r="P42" s="221"/>
      <c r="Q42" s="221">
        <f t="shared" si="22"/>
        <v>23170</v>
      </c>
      <c r="R42" s="221">
        <f t="shared" si="46"/>
        <v>463400</v>
      </c>
      <c r="S42" s="221">
        <f t="shared" si="48"/>
        <v>115850</v>
      </c>
      <c r="T42" s="222"/>
      <c r="U42" s="214">
        <f t="shared" si="18"/>
        <v>3847250</v>
      </c>
      <c r="V42" s="250"/>
      <c r="W42" s="224">
        <f t="shared" si="47"/>
        <v>320610</v>
      </c>
      <c r="X42" s="225">
        <f t="shared" si="39"/>
        <v>173130</v>
      </c>
      <c r="Y42" s="225">
        <f t="shared" si="19"/>
        <v>124270</v>
      </c>
      <c r="Z42" s="225">
        <f t="shared" si="20"/>
        <v>10580</v>
      </c>
      <c r="AA42" s="225">
        <f t="shared" si="42"/>
        <v>34630</v>
      </c>
      <c r="AB42" s="225">
        <f t="shared" si="43"/>
        <v>30780</v>
      </c>
      <c r="AC42" s="252">
        <f t="shared" si="44"/>
        <v>694000</v>
      </c>
    </row>
    <row r="43" spans="1:29" s="204" customFormat="1" ht="14.25" hidden="1" customHeight="1">
      <c r="A43" s="1240"/>
      <c r="B43" s="211"/>
      <c r="C43" s="212"/>
      <c r="D43" s="212"/>
      <c r="E43" s="219" t="s">
        <v>56</v>
      </c>
      <c r="F43" s="221">
        <f>F42</f>
        <v>3228000</v>
      </c>
      <c r="G43" s="221"/>
      <c r="H43" s="221"/>
      <c r="I43" s="222"/>
      <c r="J43" s="221"/>
      <c r="K43" s="221"/>
      <c r="L43" s="221"/>
      <c r="M43" s="221"/>
      <c r="N43" s="221"/>
      <c r="O43" s="221">
        <f>O39</f>
        <v>40000</v>
      </c>
      <c r="P43" s="221"/>
      <c r="Q43" s="221">
        <f t="shared" si="22"/>
        <v>23170</v>
      </c>
      <c r="R43" s="221">
        <f t="shared" si="46"/>
        <v>463400</v>
      </c>
      <c r="S43" s="221">
        <f t="shared" si="48"/>
        <v>115850</v>
      </c>
      <c r="T43" s="222"/>
      <c r="U43" s="214">
        <f t="shared" si="18"/>
        <v>3847250</v>
      </c>
      <c r="V43" s="250"/>
      <c r="W43" s="224">
        <f t="shared" si="47"/>
        <v>320610</v>
      </c>
      <c r="X43" s="225">
        <f t="shared" si="39"/>
        <v>173130</v>
      </c>
      <c r="Y43" s="225">
        <f t="shared" si="19"/>
        <v>124270</v>
      </c>
      <c r="Z43" s="225">
        <f t="shared" si="20"/>
        <v>10580</v>
      </c>
      <c r="AA43" s="225">
        <f t="shared" si="42"/>
        <v>34630</v>
      </c>
      <c r="AB43" s="225">
        <f t="shared" si="43"/>
        <v>30780</v>
      </c>
      <c r="AC43" s="252">
        <f t="shared" si="44"/>
        <v>694000</v>
      </c>
    </row>
    <row r="44" spans="1:29" s="204" customFormat="1" ht="14.25" hidden="1" customHeight="1">
      <c r="A44" s="1240"/>
      <c r="B44" s="211"/>
      <c r="C44" s="212"/>
      <c r="D44" s="212"/>
      <c r="E44" s="219" t="s">
        <v>281</v>
      </c>
      <c r="F44" s="221">
        <f>F43</f>
        <v>3228000</v>
      </c>
      <c r="G44" s="221"/>
      <c r="H44" s="221"/>
      <c r="I44" s="222"/>
      <c r="J44" s="221"/>
      <c r="K44" s="221"/>
      <c r="L44" s="221"/>
      <c r="M44" s="221"/>
      <c r="N44" s="221"/>
      <c r="O44" s="221">
        <f>O39</f>
        <v>40000</v>
      </c>
      <c r="P44" s="221"/>
      <c r="Q44" s="221">
        <f t="shared" si="22"/>
        <v>23170</v>
      </c>
      <c r="R44" s="221">
        <f>Q44*20*2</f>
        <v>926800</v>
      </c>
      <c r="S44" s="221">
        <f t="shared" si="48"/>
        <v>115850</v>
      </c>
      <c r="T44" s="222"/>
      <c r="U44" s="214">
        <f t="shared" si="18"/>
        <v>4310650</v>
      </c>
      <c r="V44" s="250"/>
      <c r="W44" s="224">
        <f t="shared" si="47"/>
        <v>359230</v>
      </c>
      <c r="X44" s="225">
        <f t="shared" si="39"/>
        <v>193980</v>
      </c>
      <c r="Y44" s="225">
        <f t="shared" si="19"/>
        <v>139240</v>
      </c>
      <c r="Z44" s="225">
        <f t="shared" si="20"/>
        <v>11850</v>
      </c>
      <c r="AA44" s="225">
        <f t="shared" si="42"/>
        <v>38800</v>
      </c>
      <c r="AB44" s="225">
        <f t="shared" si="43"/>
        <v>34490</v>
      </c>
      <c r="AC44" s="252">
        <f t="shared" si="44"/>
        <v>777590</v>
      </c>
    </row>
    <row r="45" spans="1:29" s="210" customFormat="1" ht="16.5" customHeight="1">
      <c r="A45" s="1240">
        <v>4</v>
      </c>
      <c r="B45" s="211" t="s">
        <v>431</v>
      </c>
      <c r="C45" s="212" t="s">
        <v>898</v>
      </c>
      <c r="D45" s="212">
        <v>1</v>
      </c>
      <c r="E45" s="213" t="s">
        <v>429</v>
      </c>
      <c r="F45" s="214">
        <f t="shared" ref="F45:U45" si="50">SUM(F46:F57)</f>
        <v>43143000</v>
      </c>
      <c r="G45" s="214">
        <f t="shared" si="50"/>
        <v>0</v>
      </c>
      <c r="H45" s="214">
        <f t="shared" si="50"/>
        <v>0</v>
      </c>
      <c r="I45" s="214">
        <f t="shared" si="50"/>
        <v>0</v>
      </c>
      <c r="J45" s="214">
        <f t="shared" si="50"/>
        <v>0</v>
      </c>
      <c r="K45" s="214">
        <f t="shared" si="50"/>
        <v>0</v>
      </c>
      <c r="L45" s="214">
        <f t="shared" si="50"/>
        <v>0</v>
      </c>
      <c r="M45" s="214">
        <f t="shared" si="50"/>
        <v>4300200</v>
      </c>
      <c r="N45" s="214">
        <f t="shared" si="50"/>
        <v>0</v>
      </c>
      <c r="O45" s="214">
        <f t="shared" si="50"/>
        <v>480000</v>
      </c>
      <c r="P45" s="214">
        <f t="shared" si="50"/>
        <v>0</v>
      </c>
      <c r="Q45" s="214"/>
      <c r="R45" s="214">
        <f t="shared" ref="R45" si="51">SUM(R46:R57)</f>
        <v>6193200</v>
      </c>
      <c r="S45" s="214">
        <f t="shared" si="50"/>
        <v>1418850</v>
      </c>
      <c r="T45" s="214">
        <f t="shared" si="50"/>
        <v>0</v>
      </c>
      <c r="U45" s="214">
        <f t="shared" si="50"/>
        <v>55535250</v>
      </c>
      <c r="V45" s="250"/>
      <c r="W45" s="217">
        <f t="shared" ref="W45:AB45" si="52">SUM(W46:W57)</f>
        <v>4627990</v>
      </c>
      <c r="X45" s="214">
        <f t="shared" si="52"/>
        <v>2499070</v>
      </c>
      <c r="Y45" s="214">
        <f t="shared" si="52"/>
        <v>1793840</v>
      </c>
      <c r="Z45" s="214">
        <f t="shared" si="52"/>
        <v>152730</v>
      </c>
      <c r="AA45" s="214">
        <f t="shared" si="52"/>
        <v>499830</v>
      </c>
      <c r="AB45" s="214">
        <f t="shared" si="52"/>
        <v>444270</v>
      </c>
      <c r="AC45" s="266">
        <f>SUM(AC46:AC57)</f>
        <v>10017730</v>
      </c>
    </row>
    <row r="46" spans="1:29" s="204" customFormat="1" ht="16.5" hidden="1" customHeight="1">
      <c r="A46" s="1240"/>
      <c r="B46" s="211" t="s">
        <v>805</v>
      </c>
      <c r="C46" s="310">
        <v>22</v>
      </c>
      <c r="D46" s="310"/>
      <c r="E46" s="311" t="s">
        <v>806</v>
      </c>
      <c r="F46" s="312">
        <v>3560000</v>
      </c>
      <c r="G46" s="221"/>
      <c r="H46" s="220"/>
      <c r="I46" s="222"/>
      <c r="J46" s="221"/>
      <c r="K46" s="221"/>
      <c r="L46" s="221"/>
      <c r="M46" s="221" t="s">
        <v>890</v>
      </c>
      <c r="N46" s="221"/>
      <c r="O46" s="221">
        <v>40000</v>
      </c>
      <c r="P46" s="221"/>
      <c r="Q46" s="221"/>
      <c r="R46" s="221"/>
      <c r="S46" s="221"/>
      <c r="T46" s="222"/>
      <c r="U46" s="214">
        <f t="shared" ref="U46" si="53">SUM(F46,M46,O46,R46,T46,S46)</f>
        <v>3600000</v>
      </c>
      <c r="V46" s="250"/>
      <c r="W46" s="224">
        <f>ROUNDUP(U46*1/12,-1)</f>
        <v>300000</v>
      </c>
      <c r="X46" s="225">
        <f t="shared" ref="X46:X57" si="54">ROUND(U46*4.5%,-1)</f>
        <v>162000</v>
      </c>
      <c r="Y46" s="225">
        <f t="shared" ref="Y46" si="55">ROUNDUP((U46-L46)*3.23%,-1)</f>
        <v>116280</v>
      </c>
      <c r="Z46" s="225">
        <f t="shared" ref="Z46" si="56">ROUNDUP(Y46*8.51%,-1)</f>
        <v>9900</v>
      </c>
      <c r="AA46" s="225">
        <f t="shared" ref="AA46:AA57" si="57">ROUND(U46*0.9%,-1)</f>
        <v>32400</v>
      </c>
      <c r="AB46" s="225">
        <f t="shared" ref="AB46:AB57" si="58">ROUND(U46*0.8%,-1)</f>
        <v>28800</v>
      </c>
      <c r="AC46" s="252">
        <f t="shared" ref="AC46:AC57" si="59">SUM(W46:AB46)</f>
        <v>649380</v>
      </c>
    </row>
    <row r="47" spans="1:29" s="204" customFormat="1" ht="16.5" hidden="1" customHeight="1">
      <c r="A47" s="1240"/>
      <c r="B47" s="211"/>
      <c r="C47" s="212"/>
      <c r="D47" s="212"/>
      <c r="E47" s="219" t="s">
        <v>274</v>
      </c>
      <c r="F47" s="221">
        <f>F46</f>
        <v>3560000</v>
      </c>
      <c r="G47" s="221"/>
      <c r="H47" s="221"/>
      <c r="I47" s="222"/>
      <c r="J47" s="221"/>
      <c r="K47" s="221"/>
      <c r="L47" s="221"/>
      <c r="M47" s="221">
        <f>F47*60%</f>
        <v>2136000</v>
      </c>
      <c r="N47" s="221"/>
      <c r="O47" s="221">
        <f>O46</f>
        <v>40000</v>
      </c>
      <c r="P47" s="221"/>
      <c r="Q47" s="221">
        <f t="shared" ref="Q47" si="60">ROUND((F46+T46)*1/209*1.5,-1)</f>
        <v>25550</v>
      </c>
      <c r="R47" s="221">
        <f>Q47*20</f>
        <v>511000</v>
      </c>
      <c r="S47" s="221">
        <f>Q47*5</f>
        <v>127750</v>
      </c>
      <c r="T47" s="222"/>
      <c r="U47" s="214">
        <f>SUM(F47,M47,O47,R47,T47,S47)</f>
        <v>6374750</v>
      </c>
      <c r="V47" s="250"/>
      <c r="W47" s="224">
        <f>ROUNDUP((T47+U47)*1/12,-1)</f>
        <v>531230</v>
      </c>
      <c r="X47" s="225">
        <f t="shared" si="54"/>
        <v>286860</v>
      </c>
      <c r="Y47" s="225">
        <f t="shared" si="19"/>
        <v>205910</v>
      </c>
      <c r="Z47" s="225">
        <f t="shared" si="20"/>
        <v>17530</v>
      </c>
      <c r="AA47" s="225">
        <f t="shared" si="57"/>
        <v>57370</v>
      </c>
      <c r="AB47" s="225">
        <f t="shared" si="58"/>
        <v>51000</v>
      </c>
      <c r="AC47" s="252">
        <f t="shared" si="59"/>
        <v>1149900</v>
      </c>
    </row>
    <row r="48" spans="1:29" s="204" customFormat="1" ht="16.5" hidden="1" customHeight="1">
      <c r="A48" s="1240"/>
      <c r="B48" s="211"/>
      <c r="C48" s="212"/>
      <c r="D48" s="212"/>
      <c r="E48" s="219" t="s">
        <v>275</v>
      </c>
      <c r="F48" s="221">
        <f>F46</f>
        <v>3560000</v>
      </c>
      <c r="G48" s="221"/>
      <c r="H48" s="221"/>
      <c r="I48" s="222"/>
      <c r="J48" s="221"/>
      <c r="K48" s="221"/>
      <c r="L48" s="221"/>
      <c r="M48" s="221"/>
      <c r="N48" s="221"/>
      <c r="O48" s="221">
        <f>O46</f>
        <v>40000</v>
      </c>
      <c r="P48" s="221"/>
      <c r="Q48" s="221">
        <f t="shared" si="22"/>
        <v>25550</v>
      </c>
      <c r="R48" s="221">
        <f t="shared" ref="R48:R56" si="61">Q48*20</f>
        <v>511000</v>
      </c>
      <c r="S48" s="221">
        <f t="shared" ref="S48:S57" si="62">Q48*5</f>
        <v>127750</v>
      </c>
      <c r="T48" s="222"/>
      <c r="U48" s="214">
        <f t="shared" si="18"/>
        <v>4238750</v>
      </c>
      <c r="V48" s="250"/>
      <c r="W48" s="224">
        <f t="shared" ref="W48:W57" si="63">ROUNDUP(U48*1/12,-1)</f>
        <v>353230</v>
      </c>
      <c r="X48" s="225">
        <f t="shared" si="54"/>
        <v>190740</v>
      </c>
      <c r="Y48" s="225">
        <f t="shared" si="19"/>
        <v>136920</v>
      </c>
      <c r="Z48" s="225">
        <f t="shared" si="20"/>
        <v>11660</v>
      </c>
      <c r="AA48" s="225">
        <f t="shared" si="57"/>
        <v>38150</v>
      </c>
      <c r="AB48" s="225">
        <f t="shared" si="58"/>
        <v>33910</v>
      </c>
      <c r="AC48" s="252">
        <f t="shared" si="59"/>
        <v>764610</v>
      </c>
    </row>
    <row r="49" spans="1:29" s="204" customFormat="1" ht="16.5" hidden="1" customHeight="1">
      <c r="A49" s="1240"/>
      <c r="B49" s="211"/>
      <c r="C49" s="310">
        <f>C46+1</f>
        <v>23</v>
      </c>
      <c r="D49" s="310"/>
      <c r="E49" s="311" t="s">
        <v>441</v>
      </c>
      <c r="F49" s="312">
        <v>3607000</v>
      </c>
      <c r="G49" s="221"/>
      <c r="H49" s="221"/>
      <c r="I49" s="222"/>
      <c r="J49" s="221"/>
      <c r="K49" s="221"/>
      <c r="L49" s="221"/>
      <c r="M49" s="221"/>
      <c r="N49" s="221"/>
      <c r="O49" s="221">
        <f>O46</f>
        <v>40000</v>
      </c>
      <c r="P49" s="221"/>
      <c r="Q49" s="221">
        <f t="shared" si="22"/>
        <v>25550</v>
      </c>
      <c r="R49" s="221">
        <f t="shared" si="61"/>
        <v>511000</v>
      </c>
      <c r="S49" s="221">
        <f t="shared" si="62"/>
        <v>127750</v>
      </c>
      <c r="T49" s="222"/>
      <c r="U49" s="214">
        <f t="shared" si="18"/>
        <v>4285750</v>
      </c>
      <c r="V49" s="250"/>
      <c r="W49" s="224">
        <f t="shared" si="63"/>
        <v>357150</v>
      </c>
      <c r="X49" s="225">
        <f t="shared" si="54"/>
        <v>192860</v>
      </c>
      <c r="Y49" s="225">
        <f t="shared" si="19"/>
        <v>138430</v>
      </c>
      <c r="Z49" s="225">
        <f t="shared" si="20"/>
        <v>11790</v>
      </c>
      <c r="AA49" s="225">
        <f t="shared" si="57"/>
        <v>38570</v>
      </c>
      <c r="AB49" s="225">
        <f t="shared" si="58"/>
        <v>34290</v>
      </c>
      <c r="AC49" s="252">
        <f t="shared" si="59"/>
        <v>773090</v>
      </c>
    </row>
    <row r="50" spans="1:29" s="204" customFormat="1" ht="16.5" hidden="1" customHeight="1">
      <c r="A50" s="1240"/>
      <c r="B50" s="211"/>
      <c r="C50" s="212"/>
      <c r="D50" s="212"/>
      <c r="E50" s="219" t="s">
        <v>807</v>
      </c>
      <c r="F50" s="221">
        <f>F49</f>
        <v>3607000</v>
      </c>
      <c r="G50" s="221"/>
      <c r="H50" s="221"/>
      <c r="I50" s="222"/>
      <c r="J50" s="221"/>
      <c r="K50" s="221"/>
      <c r="L50" s="221"/>
      <c r="M50" s="221"/>
      <c r="N50" s="221"/>
      <c r="O50" s="221">
        <f>O46</f>
        <v>40000</v>
      </c>
      <c r="P50" s="221"/>
      <c r="Q50" s="221">
        <f t="shared" si="22"/>
        <v>25890</v>
      </c>
      <c r="R50" s="221">
        <f t="shared" si="61"/>
        <v>517800</v>
      </c>
      <c r="S50" s="221">
        <f t="shared" si="62"/>
        <v>129450</v>
      </c>
      <c r="T50" s="222"/>
      <c r="U50" s="214">
        <f t="shared" si="18"/>
        <v>4294250</v>
      </c>
      <c r="V50" s="250"/>
      <c r="W50" s="224">
        <f t="shared" si="63"/>
        <v>357860</v>
      </c>
      <c r="X50" s="225">
        <f t="shared" si="54"/>
        <v>193240</v>
      </c>
      <c r="Y50" s="225">
        <f t="shared" si="19"/>
        <v>138710</v>
      </c>
      <c r="Z50" s="225">
        <f t="shared" si="20"/>
        <v>11810</v>
      </c>
      <c r="AA50" s="225">
        <f t="shared" si="57"/>
        <v>38650</v>
      </c>
      <c r="AB50" s="225">
        <f t="shared" si="58"/>
        <v>34350</v>
      </c>
      <c r="AC50" s="252">
        <f t="shared" si="59"/>
        <v>774620</v>
      </c>
    </row>
    <row r="51" spans="1:29" s="204" customFormat="1" ht="16.5" hidden="1" customHeight="1">
      <c r="A51" s="1240"/>
      <c r="B51" s="211"/>
      <c r="C51" s="212"/>
      <c r="D51" s="212"/>
      <c r="E51" s="219" t="s">
        <v>808</v>
      </c>
      <c r="F51" s="221">
        <f>F50</f>
        <v>3607000</v>
      </c>
      <c r="G51" s="221"/>
      <c r="H51" s="221"/>
      <c r="I51" s="222"/>
      <c r="J51" s="221"/>
      <c r="K51" s="221"/>
      <c r="L51" s="221"/>
      <c r="M51" s="221"/>
      <c r="N51" s="221"/>
      <c r="O51" s="221">
        <f>O46</f>
        <v>40000</v>
      </c>
      <c r="P51" s="221"/>
      <c r="Q51" s="221">
        <f t="shared" si="22"/>
        <v>25890</v>
      </c>
      <c r="R51" s="221">
        <f t="shared" si="61"/>
        <v>517800</v>
      </c>
      <c r="S51" s="221">
        <f t="shared" si="62"/>
        <v>129450</v>
      </c>
      <c r="T51" s="222"/>
      <c r="U51" s="214">
        <f t="shared" si="18"/>
        <v>4294250</v>
      </c>
      <c r="V51" s="250"/>
      <c r="W51" s="224">
        <f t="shared" si="63"/>
        <v>357860</v>
      </c>
      <c r="X51" s="225">
        <f t="shared" si="54"/>
        <v>193240</v>
      </c>
      <c r="Y51" s="225">
        <f t="shared" si="19"/>
        <v>138710</v>
      </c>
      <c r="Z51" s="225">
        <f t="shared" si="20"/>
        <v>11810</v>
      </c>
      <c r="AA51" s="225">
        <f t="shared" si="57"/>
        <v>38650</v>
      </c>
      <c r="AB51" s="225">
        <f t="shared" si="58"/>
        <v>34350</v>
      </c>
      <c r="AC51" s="252">
        <f t="shared" si="59"/>
        <v>774620</v>
      </c>
    </row>
    <row r="52" spans="1:29" s="204" customFormat="1" ht="16.5" hidden="1" customHeight="1">
      <c r="A52" s="1240"/>
      <c r="B52" s="211"/>
      <c r="C52" s="212"/>
      <c r="D52" s="212"/>
      <c r="E52" s="219" t="s">
        <v>279</v>
      </c>
      <c r="F52" s="225">
        <f>F51</f>
        <v>3607000</v>
      </c>
      <c r="G52" s="221"/>
      <c r="H52" s="220"/>
      <c r="I52" s="222"/>
      <c r="J52" s="221"/>
      <c r="K52" s="221"/>
      <c r="L52" s="221"/>
      <c r="M52" s="221"/>
      <c r="N52" s="221"/>
      <c r="O52" s="221">
        <f>O51</f>
        <v>40000</v>
      </c>
      <c r="P52" s="221"/>
      <c r="Q52" s="221">
        <f t="shared" si="22"/>
        <v>25890</v>
      </c>
      <c r="R52" s="221">
        <f t="shared" si="61"/>
        <v>517800</v>
      </c>
      <c r="S52" s="221">
        <f t="shared" si="62"/>
        <v>129450</v>
      </c>
      <c r="T52" s="222"/>
      <c r="U52" s="214">
        <f>SUM(F52,M52,O52,R52,T52,S52)</f>
        <v>4294250</v>
      </c>
      <c r="V52" s="250"/>
      <c r="W52" s="224">
        <f t="shared" si="63"/>
        <v>357860</v>
      </c>
      <c r="X52" s="225">
        <f t="shared" si="54"/>
        <v>193240</v>
      </c>
      <c r="Y52" s="225">
        <f t="shared" si="19"/>
        <v>138710</v>
      </c>
      <c r="Z52" s="225">
        <f t="shared" si="20"/>
        <v>11810</v>
      </c>
      <c r="AA52" s="225">
        <f t="shared" si="57"/>
        <v>38650</v>
      </c>
      <c r="AB52" s="225">
        <f t="shared" si="58"/>
        <v>34350</v>
      </c>
      <c r="AC52" s="252">
        <f t="shared" si="59"/>
        <v>774620</v>
      </c>
    </row>
    <row r="53" spans="1:29" s="204" customFormat="1" ht="16.5" hidden="1" customHeight="1">
      <c r="A53" s="1240"/>
      <c r="B53" s="211"/>
      <c r="C53" s="212"/>
      <c r="D53" s="212"/>
      <c r="E53" s="219" t="s">
        <v>280</v>
      </c>
      <c r="F53" s="221">
        <f>F52</f>
        <v>3607000</v>
      </c>
      <c r="G53" s="221"/>
      <c r="H53" s="221"/>
      <c r="I53" s="222"/>
      <c r="J53" s="221"/>
      <c r="K53" s="221"/>
      <c r="L53" s="221"/>
      <c r="M53" s="221"/>
      <c r="N53" s="221"/>
      <c r="O53" s="221">
        <f>O52</f>
        <v>40000</v>
      </c>
      <c r="P53" s="221"/>
      <c r="Q53" s="221">
        <f t="shared" si="22"/>
        <v>25890</v>
      </c>
      <c r="R53" s="221">
        <f t="shared" si="61"/>
        <v>517800</v>
      </c>
      <c r="S53" s="221">
        <f t="shared" si="62"/>
        <v>129450</v>
      </c>
      <c r="T53" s="222"/>
      <c r="U53" s="214">
        <f t="shared" si="18"/>
        <v>4294250</v>
      </c>
      <c r="V53" s="250"/>
      <c r="W53" s="224">
        <f t="shared" si="63"/>
        <v>357860</v>
      </c>
      <c r="X53" s="225">
        <f t="shared" si="54"/>
        <v>193240</v>
      </c>
      <c r="Y53" s="225">
        <f t="shared" si="19"/>
        <v>138710</v>
      </c>
      <c r="Z53" s="225">
        <f t="shared" si="20"/>
        <v>11810</v>
      </c>
      <c r="AA53" s="225">
        <f t="shared" si="57"/>
        <v>38650</v>
      </c>
      <c r="AB53" s="225">
        <f t="shared" si="58"/>
        <v>34350</v>
      </c>
      <c r="AC53" s="252">
        <f t="shared" si="59"/>
        <v>774620</v>
      </c>
    </row>
    <row r="54" spans="1:29" s="204" customFormat="1" ht="16.5" hidden="1" customHeight="1">
      <c r="A54" s="1240"/>
      <c r="B54" s="211"/>
      <c r="C54" s="212"/>
      <c r="D54" s="212"/>
      <c r="E54" s="219" t="s">
        <v>54</v>
      </c>
      <c r="F54" s="221">
        <f>F52</f>
        <v>3607000</v>
      </c>
      <c r="G54" s="221"/>
      <c r="H54" s="221"/>
      <c r="I54" s="222"/>
      <c r="J54" s="221"/>
      <c r="K54" s="221"/>
      <c r="L54" s="221"/>
      <c r="M54" s="221">
        <f t="shared" ref="M54" si="64">F54*60%</f>
        <v>2164200</v>
      </c>
      <c r="N54" s="221"/>
      <c r="O54" s="221">
        <f>O52</f>
        <v>40000</v>
      </c>
      <c r="P54" s="221"/>
      <c r="Q54" s="221">
        <f t="shared" si="22"/>
        <v>25890</v>
      </c>
      <c r="R54" s="221">
        <f t="shared" si="61"/>
        <v>517800</v>
      </c>
      <c r="S54" s="221">
        <f t="shared" si="62"/>
        <v>129450</v>
      </c>
      <c r="T54" s="222"/>
      <c r="U54" s="214">
        <f t="shared" si="18"/>
        <v>6458450</v>
      </c>
      <c r="V54" s="250"/>
      <c r="W54" s="224">
        <f t="shared" si="63"/>
        <v>538210</v>
      </c>
      <c r="X54" s="225">
        <f t="shared" si="54"/>
        <v>290630</v>
      </c>
      <c r="Y54" s="225">
        <f t="shared" si="19"/>
        <v>208610</v>
      </c>
      <c r="Z54" s="225">
        <f t="shared" si="20"/>
        <v>17760</v>
      </c>
      <c r="AA54" s="225">
        <f t="shared" si="57"/>
        <v>58130</v>
      </c>
      <c r="AB54" s="225">
        <f t="shared" si="58"/>
        <v>51670</v>
      </c>
      <c r="AC54" s="252">
        <f t="shared" si="59"/>
        <v>1165010</v>
      </c>
    </row>
    <row r="55" spans="1:29" s="204" customFormat="1" ht="16.5" hidden="1" customHeight="1">
      <c r="A55" s="1240"/>
      <c r="B55" s="211"/>
      <c r="C55" s="212"/>
      <c r="D55" s="212"/>
      <c r="E55" s="219" t="s">
        <v>55</v>
      </c>
      <c r="F55" s="221">
        <f>F52</f>
        <v>3607000</v>
      </c>
      <c r="G55" s="221"/>
      <c r="H55" s="221"/>
      <c r="I55" s="222"/>
      <c r="J55" s="221"/>
      <c r="K55" s="221"/>
      <c r="L55" s="221"/>
      <c r="M55" s="221"/>
      <c r="N55" s="221"/>
      <c r="O55" s="221">
        <f>O52</f>
        <v>40000</v>
      </c>
      <c r="P55" s="221"/>
      <c r="Q55" s="221">
        <f t="shared" si="22"/>
        <v>25890</v>
      </c>
      <c r="R55" s="221">
        <f t="shared" si="61"/>
        <v>517800</v>
      </c>
      <c r="S55" s="221">
        <f t="shared" si="62"/>
        <v>129450</v>
      </c>
      <c r="T55" s="222"/>
      <c r="U55" s="214">
        <f t="shared" si="18"/>
        <v>4294250</v>
      </c>
      <c r="V55" s="250"/>
      <c r="W55" s="224">
        <f t="shared" si="63"/>
        <v>357860</v>
      </c>
      <c r="X55" s="225">
        <f t="shared" si="54"/>
        <v>193240</v>
      </c>
      <c r="Y55" s="225">
        <f t="shared" si="19"/>
        <v>138710</v>
      </c>
      <c r="Z55" s="225">
        <f t="shared" si="20"/>
        <v>11810</v>
      </c>
      <c r="AA55" s="225">
        <f t="shared" si="57"/>
        <v>38650</v>
      </c>
      <c r="AB55" s="225">
        <f t="shared" si="58"/>
        <v>34350</v>
      </c>
      <c r="AC55" s="252">
        <f t="shared" si="59"/>
        <v>774620</v>
      </c>
    </row>
    <row r="56" spans="1:29" s="204" customFormat="1" ht="16.5" hidden="1" customHeight="1">
      <c r="A56" s="1240"/>
      <c r="B56" s="211"/>
      <c r="C56" s="212"/>
      <c r="D56" s="212"/>
      <c r="E56" s="219" t="s">
        <v>56</v>
      </c>
      <c r="F56" s="221">
        <f>F52</f>
        <v>3607000</v>
      </c>
      <c r="G56" s="221"/>
      <c r="H56" s="221"/>
      <c r="I56" s="222"/>
      <c r="J56" s="221"/>
      <c r="K56" s="221"/>
      <c r="L56" s="221"/>
      <c r="M56" s="221"/>
      <c r="N56" s="221"/>
      <c r="O56" s="221">
        <f>O52</f>
        <v>40000</v>
      </c>
      <c r="P56" s="221"/>
      <c r="Q56" s="221">
        <f t="shared" si="22"/>
        <v>25890</v>
      </c>
      <c r="R56" s="221">
        <f t="shared" si="61"/>
        <v>517800</v>
      </c>
      <c r="S56" s="221">
        <f t="shared" si="62"/>
        <v>129450</v>
      </c>
      <c r="T56" s="222"/>
      <c r="U56" s="214">
        <f t="shared" si="18"/>
        <v>4294250</v>
      </c>
      <c r="V56" s="250"/>
      <c r="W56" s="224">
        <f t="shared" si="63"/>
        <v>357860</v>
      </c>
      <c r="X56" s="225">
        <f t="shared" si="54"/>
        <v>193240</v>
      </c>
      <c r="Y56" s="225">
        <f t="shared" si="19"/>
        <v>138710</v>
      </c>
      <c r="Z56" s="225">
        <f t="shared" si="20"/>
        <v>11810</v>
      </c>
      <c r="AA56" s="225">
        <f t="shared" si="57"/>
        <v>38650</v>
      </c>
      <c r="AB56" s="225">
        <f t="shared" si="58"/>
        <v>34350</v>
      </c>
      <c r="AC56" s="252">
        <f t="shared" si="59"/>
        <v>774620</v>
      </c>
    </row>
    <row r="57" spans="1:29" s="204" customFormat="1" ht="16.5" hidden="1" customHeight="1">
      <c r="A57" s="1240"/>
      <c r="B57" s="211"/>
      <c r="C57" s="212"/>
      <c r="D57" s="212"/>
      <c r="E57" s="219" t="s">
        <v>281</v>
      </c>
      <c r="F57" s="221">
        <f>F52</f>
        <v>3607000</v>
      </c>
      <c r="G57" s="221"/>
      <c r="H57" s="221"/>
      <c r="I57" s="222"/>
      <c r="J57" s="221"/>
      <c r="K57" s="221"/>
      <c r="L57" s="221"/>
      <c r="M57" s="221"/>
      <c r="N57" s="221"/>
      <c r="O57" s="221">
        <f>O52</f>
        <v>40000</v>
      </c>
      <c r="P57" s="221"/>
      <c r="Q57" s="221">
        <f t="shared" si="22"/>
        <v>25890</v>
      </c>
      <c r="R57" s="221">
        <f>Q57*20*2</f>
        <v>1035600</v>
      </c>
      <c r="S57" s="221">
        <f t="shared" si="62"/>
        <v>129450</v>
      </c>
      <c r="T57" s="222"/>
      <c r="U57" s="214">
        <f t="shared" si="18"/>
        <v>4812050</v>
      </c>
      <c r="V57" s="250"/>
      <c r="W57" s="224">
        <f t="shared" si="63"/>
        <v>401010</v>
      </c>
      <c r="X57" s="225">
        <f t="shared" si="54"/>
        <v>216540</v>
      </c>
      <c r="Y57" s="225">
        <f t="shared" si="19"/>
        <v>155430</v>
      </c>
      <c r="Z57" s="225">
        <f t="shared" si="20"/>
        <v>13230</v>
      </c>
      <c r="AA57" s="225">
        <f t="shared" si="57"/>
        <v>43310</v>
      </c>
      <c r="AB57" s="225">
        <f t="shared" si="58"/>
        <v>38500</v>
      </c>
      <c r="AC57" s="252">
        <f t="shared" si="59"/>
        <v>868020</v>
      </c>
    </row>
    <row r="58" spans="1:29" s="204" customFormat="1" ht="16.5" customHeight="1">
      <c r="A58" s="1240">
        <v>5</v>
      </c>
      <c r="B58" s="211" t="s">
        <v>920</v>
      </c>
      <c r="C58" s="317" t="s">
        <v>887</v>
      </c>
      <c r="D58" s="212">
        <v>1</v>
      </c>
      <c r="E58" s="213" t="s">
        <v>283</v>
      </c>
      <c r="F58" s="214">
        <f t="shared" ref="F58:N58" si="65">SUM(F59:F70)</f>
        <v>31436000</v>
      </c>
      <c r="G58" s="214">
        <f t="shared" si="65"/>
        <v>0</v>
      </c>
      <c r="H58" s="214">
        <f t="shared" si="65"/>
        <v>0</v>
      </c>
      <c r="I58" s="214">
        <f t="shared" si="65"/>
        <v>0</v>
      </c>
      <c r="J58" s="214">
        <f t="shared" si="65"/>
        <v>0</v>
      </c>
      <c r="K58" s="214">
        <f t="shared" si="65"/>
        <v>0</v>
      </c>
      <c r="L58" s="214">
        <f t="shared" si="65"/>
        <v>0</v>
      </c>
      <c r="M58" s="214">
        <f t="shared" si="65"/>
        <v>3129600</v>
      </c>
      <c r="N58" s="214">
        <f t="shared" si="65"/>
        <v>0</v>
      </c>
      <c r="O58" s="214">
        <f>SUM(O59:O70)</f>
        <v>480000</v>
      </c>
      <c r="P58" s="214">
        <f t="shared" ref="P58" si="66">SUM(P59:P70)</f>
        <v>0</v>
      </c>
      <c r="Q58" s="214"/>
      <c r="R58" s="214">
        <f t="shared" ref="R58" si="67">SUM(R59:R70)</f>
        <v>4512800</v>
      </c>
      <c r="S58" s="214">
        <f>SUM(S59:S70)</f>
        <v>1032100</v>
      </c>
      <c r="T58" s="214">
        <f t="shared" ref="T58:U58" si="68">SUM(T59:T70)</f>
        <v>0</v>
      </c>
      <c r="U58" s="214">
        <f t="shared" si="68"/>
        <v>40590500</v>
      </c>
      <c r="V58" s="250"/>
      <c r="W58" s="217">
        <f t="shared" ref="W58:AB58" si="69">SUM(W59:W70)</f>
        <v>3382580</v>
      </c>
      <c r="X58" s="214">
        <f t="shared" si="69"/>
        <v>1826580</v>
      </c>
      <c r="Y58" s="214">
        <f t="shared" si="69"/>
        <v>1311110</v>
      </c>
      <c r="Z58" s="214">
        <f t="shared" si="69"/>
        <v>111620</v>
      </c>
      <c r="AA58" s="214">
        <f t="shared" si="69"/>
        <v>365290</v>
      </c>
      <c r="AB58" s="214">
        <f t="shared" si="69"/>
        <v>324740</v>
      </c>
      <c r="AC58" s="266">
        <f>SUM(AC59:AC70)</f>
        <v>7321920</v>
      </c>
    </row>
    <row r="59" spans="1:29" s="204" customFormat="1" ht="16.5" hidden="1" customHeight="1">
      <c r="A59" s="1240"/>
      <c r="B59" s="211" t="s">
        <v>443</v>
      </c>
      <c r="C59" s="310">
        <v>11</v>
      </c>
      <c r="D59" s="310"/>
      <c r="E59" s="311" t="s">
        <v>273</v>
      </c>
      <c r="F59" s="312">
        <v>2608000</v>
      </c>
      <c r="G59" s="221"/>
      <c r="H59" s="220"/>
      <c r="I59" s="222"/>
      <c r="J59" s="221"/>
      <c r="K59" s="221"/>
      <c r="L59" s="221"/>
      <c r="M59" s="221" t="s">
        <v>791</v>
      </c>
      <c r="N59" s="221"/>
      <c r="O59" s="221">
        <v>40000</v>
      </c>
      <c r="P59" s="221"/>
      <c r="Q59" s="221"/>
      <c r="R59" s="221"/>
      <c r="S59" s="221"/>
      <c r="T59" s="222"/>
      <c r="U59" s="214">
        <f t="shared" ref="U59:U70" si="70">SUM(F59,M59,O59,R59,T59,S59)</f>
        <v>2648000</v>
      </c>
      <c r="V59" s="250"/>
      <c r="W59" s="224">
        <f>ROUNDUP(U59*1/12,-1)</f>
        <v>220670</v>
      </c>
      <c r="X59" s="225">
        <f t="shared" ref="X59:X70" si="71">ROUND(U59*4.5%,-1)</f>
        <v>119160</v>
      </c>
      <c r="Y59" s="225">
        <f t="shared" ref="Y59" si="72">ROUNDUP((U59-L59)*3.23%,-1)</f>
        <v>85540</v>
      </c>
      <c r="Z59" s="225">
        <f t="shared" ref="Z59" si="73">ROUNDUP(Y59*8.51%,-1)</f>
        <v>7280</v>
      </c>
      <c r="AA59" s="225">
        <f t="shared" ref="AA59:AA70" si="74">ROUND(U59*0.9%,-1)</f>
        <v>23830</v>
      </c>
      <c r="AB59" s="225">
        <f t="shared" ref="AB59:AB70" si="75">ROUND(U59*0.8%,-1)</f>
        <v>21180</v>
      </c>
      <c r="AC59" s="252">
        <f t="shared" ref="AC59:AC70" si="76">SUM(W59:AB59)</f>
        <v>477660</v>
      </c>
    </row>
    <row r="60" spans="1:29" s="204" customFormat="1" ht="16.5" hidden="1" customHeight="1">
      <c r="A60" s="1240"/>
      <c r="B60" s="211"/>
      <c r="C60" s="212"/>
      <c r="D60" s="212"/>
      <c r="E60" s="219" t="s">
        <v>274</v>
      </c>
      <c r="F60" s="221">
        <f>F59</f>
        <v>2608000</v>
      </c>
      <c r="G60" s="221"/>
      <c r="H60" s="221"/>
      <c r="I60" s="222"/>
      <c r="J60" s="221"/>
      <c r="K60" s="221"/>
      <c r="L60" s="221"/>
      <c r="M60" s="221">
        <f>F60*60%</f>
        <v>1564800</v>
      </c>
      <c r="N60" s="221"/>
      <c r="O60" s="221">
        <f t="shared" ref="O60:O70" si="77">O59</f>
        <v>40000</v>
      </c>
      <c r="P60" s="221"/>
      <c r="Q60" s="221">
        <f t="shared" ref="Q60:Q70" si="78">ROUND((F59+T59)*1/209*1.5,-1)</f>
        <v>18720</v>
      </c>
      <c r="R60" s="221">
        <f>Q60*20</f>
        <v>374400</v>
      </c>
      <c r="S60" s="221">
        <f>Q60*5</f>
        <v>93600</v>
      </c>
      <c r="T60" s="222"/>
      <c r="U60" s="214">
        <f t="shared" si="70"/>
        <v>4680800</v>
      </c>
      <c r="V60" s="250"/>
      <c r="W60" s="224">
        <f>ROUNDUP((T60+U60)*1/12,-1)</f>
        <v>390070</v>
      </c>
      <c r="X60" s="225">
        <f t="shared" si="71"/>
        <v>210640</v>
      </c>
      <c r="Y60" s="225">
        <f t="shared" si="19"/>
        <v>151190</v>
      </c>
      <c r="Z60" s="225">
        <f t="shared" si="20"/>
        <v>12870</v>
      </c>
      <c r="AA60" s="225">
        <f t="shared" si="74"/>
        <v>42130</v>
      </c>
      <c r="AB60" s="225">
        <f t="shared" si="75"/>
        <v>37450</v>
      </c>
      <c r="AC60" s="252">
        <f t="shared" si="76"/>
        <v>844350</v>
      </c>
    </row>
    <row r="61" spans="1:29" s="204" customFormat="1" ht="16.5" hidden="1" customHeight="1">
      <c r="A61" s="1240"/>
      <c r="B61" s="211"/>
      <c r="C61" s="212"/>
      <c r="D61" s="212"/>
      <c r="E61" s="219" t="s">
        <v>275</v>
      </c>
      <c r="F61" s="221">
        <f>F59</f>
        <v>2608000</v>
      </c>
      <c r="G61" s="221"/>
      <c r="H61" s="221"/>
      <c r="I61" s="222"/>
      <c r="J61" s="221"/>
      <c r="K61" s="221"/>
      <c r="L61" s="221"/>
      <c r="M61" s="221"/>
      <c r="N61" s="221"/>
      <c r="O61" s="221">
        <f t="shared" si="77"/>
        <v>40000</v>
      </c>
      <c r="P61" s="221"/>
      <c r="Q61" s="221">
        <f t="shared" si="78"/>
        <v>18720</v>
      </c>
      <c r="R61" s="221">
        <f t="shared" ref="R61:R69" si="79">Q61*20</f>
        <v>374400</v>
      </c>
      <c r="S61" s="221">
        <f t="shared" ref="S61:S70" si="80">Q61*5</f>
        <v>93600</v>
      </c>
      <c r="T61" s="222"/>
      <c r="U61" s="214">
        <f>SUM(F61,M61,O61,R61,T61,S61)</f>
        <v>3116000</v>
      </c>
      <c r="V61" s="250"/>
      <c r="W61" s="224">
        <f t="shared" ref="W61:W70" si="81">ROUNDUP(U61*1/12,-1)</f>
        <v>259670</v>
      </c>
      <c r="X61" s="225">
        <f t="shared" si="71"/>
        <v>140220</v>
      </c>
      <c r="Y61" s="225">
        <f t="shared" si="19"/>
        <v>100650</v>
      </c>
      <c r="Z61" s="225">
        <f t="shared" si="20"/>
        <v>8570</v>
      </c>
      <c r="AA61" s="225">
        <f t="shared" si="74"/>
        <v>28040</v>
      </c>
      <c r="AB61" s="225">
        <f t="shared" si="75"/>
        <v>24930</v>
      </c>
      <c r="AC61" s="252">
        <f t="shared" si="76"/>
        <v>562080</v>
      </c>
    </row>
    <row r="62" spans="1:29" s="204" customFormat="1" ht="16.5" hidden="1" customHeight="1">
      <c r="A62" s="1240"/>
      <c r="B62" s="211"/>
      <c r="C62" s="212"/>
      <c r="D62" s="212"/>
      <c r="E62" s="219" t="s">
        <v>441</v>
      </c>
      <c r="F62" s="221">
        <f>F59</f>
        <v>2608000</v>
      </c>
      <c r="G62" s="221"/>
      <c r="H62" s="221"/>
      <c r="I62" s="222"/>
      <c r="J62" s="221"/>
      <c r="K62" s="221"/>
      <c r="L62" s="221"/>
      <c r="M62" s="221"/>
      <c r="N62" s="221"/>
      <c r="O62" s="221">
        <f t="shared" si="77"/>
        <v>40000</v>
      </c>
      <c r="P62" s="221"/>
      <c r="Q62" s="221">
        <f t="shared" si="78"/>
        <v>18720</v>
      </c>
      <c r="R62" s="221">
        <f t="shared" si="79"/>
        <v>374400</v>
      </c>
      <c r="S62" s="221">
        <f t="shared" si="80"/>
        <v>93600</v>
      </c>
      <c r="T62" s="222"/>
      <c r="U62" s="214">
        <f t="shared" si="70"/>
        <v>3116000</v>
      </c>
      <c r="V62" s="250"/>
      <c r="W62" s="224">
        <f t="shared" si="81"/>
        <v>259670</v>
      </c>
      <c r="X62" s="225">
        <f t="shared" si="71"/>
        <v>140220</v>
      </c>
      <c r="Y62" s="225">
        <f t="shared" si="19"/>
        <v>100650</v>
      </c>
      <c r="Z62" s="225">
        <f t="shared" si="20"/>
        <v>8570</v>
      </c>
      <c r="AA62" s="225">
        <f t="shared" si="74"/>
        <v>28040</v>
      </c>
      <c r="AB62" s="225">
        <f t="shared" si="75"/>
        <v>24930</v>
      </c>
      <c r="AC62" s="252">
        <f t="shared" si="76"/>
        <v>562080</v>
      </c>
    </row>
    <row r="63" spans="1:29" s="204" customFormat="1" ht="16.5" hidden="1" customHeight="1">
      <c r="A63" s="1240"/>
      <c r="B63" s="211"/>
      <c r="C63" s="212"/>
      <c r="D63" s="212"/>
      <c r="E63" s="219" t="s">
        <v>277</v>
      </c>
      <c r="F63" s="221">
        <f>F59</f>
        <v>2608000</v>
      </c>
      <c r="G63" s="221"/>
      <c r="H63" s="221"/>
      <c r="I63" s="222"/>
      <c r="J63" s="221"/>
      <c r="K63" s="221"/>
      <c r="L63" s="221"/>
      <c r="M63" s="221"/>
      <c r="N63" s="221"/>
      <c r="O63" s="221">
        <f t="shared" si="77"/>
        <v>40000</v>
      </c>
      <c r="P63" s="221"/>
      <c r="Q63" s="221">
        <f t="shared" si="78"/>
        <v>18720</v>
      </c>
      <c r="R63" s="221">
        <f t="shared" si="79"/>
        <v>374400</v>
      </c>
      <c r="S63" s="221">
        <f t="shared" si="80"/>
        <v>93600</v>
      </c>
      <c r="T63" s="222"/>
      <c r="U63" s="214">
        <f t="shared" si="70"/>
        <v>3116000</v>
      </c>
      <c r="V63" s="250"/>
      <c r="W63" s="224">
        <f t="shared" si="81"/>
        <v>259670</v>
      </c>
      <c r="X63" s="225">
        <f t="shared" si="71"/>
        <v>140220</v>
      </c>
      <c r="Y63" s="225">
        <f t="shared" si="19"/>
        <v>100650</v>
      </c>
      <c r="Z63" s="225">
        <f t="shared" si="20"/>
        <v>8570</v>
      </c>
      <c r="AA63" s="225">
        <f t="shared" si="74"/>
        <v>28040</v>
      </c>
      <c r="AB63" s="225">
        <f t="shared" si="75"/>
        <v>24930</v>
      </c>
      <c r="AC63" s="252">
        <f t="shared" si="76"/>
        <v>562080</v>
      </c>
    </row>
    <row r="64" spans="1:29" s="204" customFormat="1" ht="16.5" hidden="1" customHeight="1">
      <c r="A64" s="1240"/>
      <c r="B64" s="211"/>
      <c r="C64" s="212"/>
      <c r="D64" s="212"/>
      <c r="E64" s="219" t="s">
        <v>798</v>
      </c>
      <c r="F64" s="221">
        <f>F59</f>
        <v>2608000</v>
      </c>
      <c r="G64" s="221"/>
      <c r="H64" s="221"/>
      <c r="I64" s="222"/>
      <c r="J64" s="221"/>
      <c r="K64" s="221"/>
      <c r="L64" s="221"/>
      <c r="M64" s="221"/>
      <c r="N64" s="221"/>
      <c r="O64" s="221">
        <f t="shared" si="77"/>
        <v>40000</v>
      </c>
      <c r="P64" s="221"/>
      <c r="Q64" s="221">
        <f t="shared" si="78"/>
        <v>18720</v>
      </c>
      <c r="R64" s="221">
        <f t="shared" si="79"/>
        <v>374400</v>
      </c>
      <c r="S64" s="221">
        <f t="shared" si="80"/>
        <v>93600</v>
      </c>
      <c r="T64" s="222"/>
      <c r="U64" s="214">
        <f t="shared" si="70"/>
        <v>3116000</v>
      </c>
      <c r="V64" s="250"/>
      <c r="W64" s="224">
        <f t="shared" si="81"/>
        <v>259670</v>
      </c>
      <c r="X64" s="225">
        <f t="shared" si="71"/>
        <v>140220</v>
      </c>
      <c r="Y64" s="225">
        <f t="shared" si="19"/>
        <v>100650</v>
      </c>
      <c r="Z64" s="225">
        <f t="shared" si="20"/>
        <v>8570</v>
      </c>
      <c r="AA64" s="225">
        <f t="shared" si="74"/>
        <v>28040</v>
      </c>
      <c r="AB64" s="225">
        <f t="shared" si="75"/>
        <v>24930</v>
      </c>
      <c r="AC64" s="252">
        <f t="shared" si="76"/>
        <v>562080</v>
      </c>
    </row>
    <row r="65" spans="1:29" s="204" customFormat="1" ht="16.5" hidden="1" customHeight="1">
      <c r="A65" s="1240"/>
      <c r="B65" s="211"/>
      <c r="C65" s="212"/>
      <c r="D65" s="212"/>
      <c r="E65" s="219" t="s">
        <v>279</v>
      </c>
      <c r="F65" s="222">
        <f>F59</f>
        <v>2608000</v>
      </c>
      <c r="G65" s="221"/>
      <c r="H65" s="220"/>
      <c r="I65" s="222"/>
      <c r="J65" s="221"/>
      <c r="K65" s="221"/>
      <c r="L65" s="221"/>
      <c r="M65" s="221"/>
      <c r="N65" s="221"/>
      <c r="O65" s="221">
        <f t="shared" si="77"/>
        <v>40000</v>
      </c>
      <c r="P65" s="221"/>
      <c r="Q65" s="221">
        <f t="shared" si="78"/>
        <v>18720</v>
      </c>
      <c r="R65" s="221">
        <f t="shared" si="79"/>
        <v>374400</v>
      </c>
      <c r="S65" s="221">
        <f t="shared" si="80"/>
        <v>93600</v>
      </c>
      <c r="T65" s="222"/>
      <c r="U65" s="214">
        <f t="shared" si="70"/>
        <v>3116000</v>
      </c>
      <c r="V65" s="250"/>
      <c r="W65" s="224">
        <f t="shared" si="81"/>
        <v>259670</v>
      </c>
      <c r="X65" s="225">
        <f t="shared" si="71"/>
        <v>140220</v>
      </c>
      <c r="Y65" s="225">
        <f t="shared" si="19"/>
        <v>100650</v>
      </c>
      <c r="Z65" s="225">
        <f t="shared" si="20"/>
        <v>8570</v>
      </c>
      <c r="AA65" s="225">
        <f t="shared" si="74"/>
        <v>28040</v>
      </c>
      <c r="AB65" s="225">
        <f t="shared" si="75"/>
        <v>24930</v>
      </c>
      <c r="AC65" s="252">
        <f t="shared" si="76"/>
        <v>562080</v>
      </c>
    </row>
    <row r="66" spans="1:29" s="204" customFormat="1" ht="16.5" hidden="1" customHeight="1">
      <c r="A66" s="1240"/>
      <c r="B66" s="211"/>
      <c r="C66" s="212"/>
      <c r="D66" s="212"/>
      <c r="E66" s="219" t="s">
        <v>280</v>
      </c>
      <c r="F66" s="221">
        <f>F59</f>
        <v>2608000</v>
      </c>
      <c r="G66" s="221"/>
      <c r="H66" s="221"/>
      <c r="I66" s="222"/>
      <c r="J66" s="221"/>
      <c r="K66" s="221"/>
      <c r="L66" s="221"/>
      <c r="M66" s="221"/>
      <c r="N66" s="221"/>
      <c r="O66" s="221">
        <f t="shared" si="77"/>
        <v>40000</v>
      </c>
      <c r="P66" s="221"/>
      <c r="Q66" s="221">
        <f t="shared" si="78"/>
        <v>18720</v>
      </c>
      <c r="R66" s="221">
        <f t="shared" si="79"/>
        <v>374400</v>
      </c>
      <c r="S66" s="221">
        <f t="shared" si="80"/>
        <v>93600</v>
      </c>
      <c r="T66" s="222"/>
      <c r="U66" s="214">
        <f>SUM(F66,M66,O66,R66,T66,S66)</f>
        <v>3116000</v>
      </c>
      <c r="V66" s="250"/>
      <c r="W66" s="224">
        <f t="shared" si="81"/>
        <v>259670</v>
      </c>
      <c r="X66" s="225">
        <f t="shared" si="71"/>
        <v>140220</v>
      </c>
      <c r="Y66" s="225">
        <f t="shared" si="19"/>
        <v>100650</v>
      </c>
      <c r="Z66" s="225">
        <f t="shared" si="20"/>
        <v>8570</v>
      </c>
      <c r="AA66" s="225">
        <f t="shared" si="74"/>
        <v>28040</v>
      </c>
      <c r="AB66" s="225">
        <f t="shared" si="75"/>
        <v>24930</v>
      </c>
      <c r="AC66" s="252">
        <f t="shared" si="76"/>
        <v>562080</v>
      </c>
    </row>
    <row r="67" spans="1:29" s="204" customFormat="1" ht="16.5" hidden="1" customHeight="1">
      <c r="A67" s="1240"/>
      <c r="B67" s="211"/>
      <c r="C67" s="212"/>
      <c r="D67" s="212"/>
      <c r="E67" s="219" t="s">
        <v>54</v>
      </c>
      <c r="F67" s="221">
        <f>F59</f>
        <v>2608000</v>
      </c>
      <c r="G67" s="221"/>
      <c r="H67" s="221"/>
      <c r="I67" s="222"/>
      <c r="J67" s="221"/>
      <c r="K67" s="221"/>
      <c r="L67" s="221"/>
      <c r="M67" s="221">
        <f t="shared" ref="M67" si="82">F67*60%</f>
        <v>1564800</v>
      </c>
      <c r="N67" s="221"/>
      <c r="O67" s="221">
        <f t="shared" si="77"/>
        <v>40000</v>
      </c>
      <c r="P67" s="221"/>
      <c r="Q67" s="221">
        <f t="shared" si="78"/>
        <v>18720</v>
      </c>
      <c r="R67" s="221">
        <f t="shared" si="79"/>
        <v>374400</v>
      </c>
      <c r="S67" s="221">
        <f t="shared" si="80"/>
        <v>93600</v>
      </c>
      <c r="T67" s="222"/>
      <c r="U67" s="214">
        <f>SUM(F67,M67,O67,R67,T67,S67)</f>
        <v>4680800</v>
      </c>
      <c r="V67" s="250"/>
      <c r="W67" s="224">
        <f t="shared" si="81"/>
        <v>390070</v>
      </c>
      <c r="X67" s="225">
        <f t="shared" si="71"/>
        <v>210640</v>
      </c>
      <c r="Y67" s="225">
        <f t="shared" si="19"/>
        <v>151190</v>
      </c>
      <c r="Z67" s="225">
        <f t="shared" si="20"/>
        <v>12870</v>
      </c>
      <c r="AA67" s="225">
        <f t="shared" si="74"/>
        <v>42130</v>
      </c>
      <c r="AB67" s="225">
        <f t="shared" si="75"/>
        <v>37450</v>
      </c>
      <c r="AC67" s="252">
        <f t="shared" si="76"/>
        <v>844350</v>
      </c>
    </row>
    <row r="68" spans="1:29" s="204" customFormat="1" ht="16.5" hidden="1" customHeight="1">
      <c r="A68" s="1240"/>
      <c r="B68" s="211"/>
      <c r="C68" s="212"/>
      <c r="D68" s="212"/>
      <c r="E68" s="219" t="s">
        <v>55</v>
      </c>
      <c r="F68" s="221">
        <f>F59</f>
        <v>2608000</v>
      </c>
      <c r="G68" s="221"/>
      <c r="H68" s="221"/>
      <c r="I68" s="222"/>
      <c r="J68" s="221"/>
      <c r="K68" s="221"/>
      <c r="L68" s="221"/>
      <c r="M68" s="221"/>
      <c r="N68" s="221"/>
      <c r="O68" s="221">
        <f t="shared" si="77"/>
        <v>40000</v>
      </c>
      <c r="P68" s="221"/>
      <c r="Q68" s="221">
        <f t="shared" si="78"/>
        <v>18720</v>
      </c>
      <c r="R68" s="221">
        <f t="shared" si="79"/>
        <v>374400</v>
      </c>
      <c r="S68" s="221">
        <f t="shared" si="80"/>
        <v>93600</v>
      </c>
      <c r="T68" s="222"/>
      <c r="U68" s="214">
        <f t="shared" si="70"/>
        <v>3116000</v>
      </c>
      <c r="V68" s="250"/>
      <c r="W68" s="224">
        <f t="shared" si="81"/>
        <v>259670</v>
      </c>
      <c r="X68" s="225">
        <f t="shared" si="71"/>
        <v>140220</v>
      </c>
      <c r="Y68" s="225">
        <f t="shared" si="19"/>
        <v>100650</v>
      </c>
      <c r="Z68" s="225">
        <f t="shared" si="20"/>
        <v>8570</v>
      </c>
      <c r="AA68" s="225">
        <f t="shared" si="74"/>
        <v>28040</v>
      </c>
      <c r="AB68" s="225">
        <f t="shared" si="75"/>
        <v>24930</v>
      </c>
      <c r="AC68" s="252">
        <f t="shared" si="76"/>
        <v>562080</v>
      </c>
    </row>
    <row r="69" spans="1:29" s="204" customFormat="1" ht="16.5" hidden="1" customHeight="1">
      <c r="A69" s="1240"/>
      <c r="B69" s="211"/>
      <c r="C69" s="310">
        <f>C59+1</f>
        <v>12</v>
      </c>
      <c r="D69" s="310"/>
      <c r="E69" s="311" t="s">
        <v>56</v>
      </c>
      <c r="F69" s="312">
        <v>2678000</v>
      </c>
      <c r="G69" s="221"/>
      <c r="H69" s="221"/>
      <c r="I69" s="222"/>
      <c r="J69" s="221"/>
      <c r="K69" s="221"/>
      <c r="L69" s="221"/>
      <c r="M69" s="221"/>
      <c r="N69" s="221"/>
      <c r="O69" s="221">
        <f t="shared" si="77"/>
        <v>40000</v>
      </c>
      <c r="P69" s="221"/>
      <c r="Q69" s="221">
        <f t="shared" si="78"/>
        <v>18720</v>
      </c>
      <c r="R69" s="221">
        <f t="shared" si="79"/>
        <v>374400</v>
      </c>
      <c r="S69" s="221">
        <f t="shared" si="80"/>
        <v>93600</v>
      </c>
      <c r="T69" s="222"/>
      <c r="U69" s="214">
        <f t="shared" si="70"/>
        <v>3186000</v>
      </c>
      <c r="V69" s="250"/>
      <c r="W69" s="224">
        <f t="shared" si="81"/>
        <v>265500</v>
      </c>
      <c r="X69" s="225">
        <f t="shared" si="71"/>
        <v>143370</v>
      </c>
      <c r="Y69" s="225">
        <f t="shared" si="19"/>
        <v>102910</v>
      </c>
      <c r="Z69" s="225">
        <f t="shared" si="20"/>
        <v>8760</v>
      </c>
      <c r="AA69" s="225">
        <f t="shared" si="74"/>
        <v>28670</v>
      </c>
      <c r="AB69" s="225">
        <f t="shared" si="75"/>
        <v>25490</v>
      </c>
      <c r="AC69" s="252">
        <f t="shared" si="76"/>
        <v>574700</v>
      </c>
    </row>
    <row r="70" spans="1:29" s="204" customFormat="1" ht="16.5" hidden="1" customHeight="1">
      <c r="A70" s="1240"/>
      <c r="B70" s="211"/>
      <c r="C70" s="212"/>
      <c r="D70" s="212"/>
      <c r="E70" s="219" t="s">
        <v>281</v>
      </c>
      <c r="F70" s="221">
        <f>F69</f>
        <v>2678000</v>
      </c>
      <c r="G70" s="221"/>
      <c r="H70" s="221"/>
      <c r="I70" s="222"/>
      <c r="J70" s="221"/>
      <c r="K70" s="221"/>
      <c r="L70" s="221"/>
      <c r="M70" s="221"/>
      <c r="N70" s="221"/>
      <c r="O70" s="221">
        <f t="shared" si="77"/>
        <v>40000</v>
      </c>
      <c r="P70" s="221"/>
      <c r="Q70" s="221">
        <f t="shared" si="78"/>
        <v>19220</v>
      </c>
      <c r="R70" s="221">
        <f>Q70*20*2</f>
        <v>768800</v>
      </c>
      <c r="S70" s="221">
        <f t="shared" si="80"/>
        <v>96100</v>
      </c>
      <c r="T70" s="222"/>
      <c r="U70" s="214">
        <f t="shared" si="70"/>
        <v>3582900</v>
      </c>
      <c r="V70" s="250"/>
      <c r="W70" s="224">
        <f t="shared" si="81"/>
        <v>298580</v>
      </c>
      <c r="X70" s="225">
        <f t="shared" si="71"/>
        <v>161230</v>
      </c>
      <c r="Y70" s="225">
        <f t="shared" si="19"/>
        <v>115730</v>
      </c>
      <c r="Z70" s="225">
        <f t="shared" si="20"/>
        <v>9850</v>
      </c>
      <c r="AA70" s="225">
        <f t="shared" si="74"/>
        <v>32250</v>
      </c>
      <c r="AB70" s="225">
        <f t="shared" si="75"/>
        <v>28660</v>
      </c>
      <c r="AC70" s="252">
        <f t="shared" si="76"/>
        <v>646300</v>
      </c>
    </row>
    <row r="71" spans="1:29" s="204" customFormat="1" ht="16.5" customHeight="1">
      <c r="A71" s="1240">
        <v>6</v>
      </c>
      <c r="B71" s="211" t="s">
        <v>432</v>
      </c>
      <c r="C71" s="212">
        <v>22</v>
      </c>
      <c r="D71" s="212">
        <v>1</v>
      </c>
      <c r="E71" s="213" t="s">
        <v>429</v>
      </c>
      <c r="F71" s="214">
        <f t="shared" ref="F71:P71" si="83">SUM(F72:F83)</f>
        <v>42720000</v>
      </c>
      <c r="G71" s="214">
        <f t="shared" si="83"/>
        <v>0</v>
      </c>
      <c r="H71" s="214">
        <f t="shared" si="83"/>
        <v>0</v>
      </c>
      <c r="I71" s="214">
        <f t="shared" si="83"/>
        <v>0</v>
      </c>
      <c r="J71" s="214">
        <f t="shared" si="83"/>
        <v>0</v>
      </c>
      <c r="K71" s="214">
        <f t="shared" si="83"/>
        <v>0</v>
      </c>
      <c r="L71" s="214">
        <f t="shared" si="83"/>
        <v>0</v>
      </c>
      <c r="M71" s="214">
        <f t="shared" si="83"/>
        <v>4272000</v>
      </c>
      <c r="N71" s="214">
        <f t="shared" si="83"/>
        <v>0</v>
      </c>
      <c r="O71" s="214">
        <f t="shared" si="83"/>
        <v>480000</v>
      </c>
      <c r="P71" s="214">
        <f t="shared" si="83"/>
        <v>0</v>
      </c>
      <c r="Q71" s="214"/>
      <c r="R71" s="214">
        <f t="shared" ref="R71:U71" si="84">SUM(R72:R83)</f>
        <v>7154000</v>
      </c>
      <c r="S71" s="214">
        <f t="shared" si="84"/>
        <v>1405250</v>
      </c>
      <c r="T71" s="214">
        <f t="shared" si="84"/>
        <v>0</v>
      </c>
      <c r="U71" s="214">
        <f t="shared" si="84"/>
        <v>56031250</v>
      </c>
      <c r="V71" s="250"/>
      <c r="W71" s="217">
        <f t="shared" ref="W71:AB71" si="85">SUM(W72:W83)</f>
        <v>4669350</v>
      </c>
      <c r="X71" s="214">
        <f t="shared" si="85"/>
        <v>2521360</v>
      </c>
      <c r="Y71" s="214">
        <f t="shared" si="85"/>
        <v>1809900</v>
      </c>
      <c r="Z71" s="214">
        <f t="shared" si="85"/>
        <v>154120</v>
      </c>
      <c r="AA71" s="214">
        <f t="shared" si="85"/>
        <v>504280</v>
      </c>
      <c r="AB71" s="214">
        <f t="shared" si="85"/>
        <v>448230</v>
      </c>
      <c r="AC71" s="266">
        <f>SUM(AC72:AC83)</f>
        <v>10107240</v>
      </c>
    </row>
    <row r="72" spans="1:29" s="204" customFormat="1" ht="16.5" hidden="1" customHeight="1">
      <c r="A72" s="1240"/>
      <c r="B72" s="211" t="s">
        <v>433</v>
      </c>
      <c r="C72" s="310">
        <v>22</v>
      </c>
      <c r="D72" s="310"/>
      <c r="E72" s="311" t="s">
        <v>538</v>
      </c>
      <c r="F72" s="312">
        <v>3560000</v>
      </c>
      <c r="G72" s="221"/>
      <c r="H72" s="220"/>
      <c r="I72" s="222"/>
      <c r="J72" s="221"/>
      <c r="K72" s="221"/>
      <c r="L72" s="221"/>
      <c r="M72" s="221" t="s">
        <v>791</v>
      </c>
      <c r="N72" s="221"/>
      <c r="O72" s="221">
        <v>40000</v>
      </c>
      <c r="P72" s="221"/>
      <c r="Q72" s="221"/>
      <c r="R72" s="221"/>
      <c r="S72" s="221"/>
      <c r="T72" s="222"/>
      <c r="U72" s="214">
        <f t="shared" ref="U72:U83" si="86">SUM(F72,M72,O72,R72,T72,S72)</f>
        <v>3600000</v>
      </c>
      <c r="V72" s="250"/>
      <c r="W72" s="224">
        <f>ROUNDUP(U72*1/12,-1)</f>
        <v>300000</v>
      </c>
      <c r="X72" s="225">
        <f t="shared" ref="X72:X83" si="87">ROUND(U72*4.5%,-1)</f>
        <v>162000</v>
      </c>
      <c r="Y72" s="225">
        <f t="shared" ref="Y72" si="88">ROUNDUP((U72-L72)*3.23%,-1)</f>
        <v>116280</v>
      </c>
      <c r="Z72" s="225">
        <f t="shared" ref="Z72" si="89">ROUNDUP(Y72*8.51%,-1)</f>
        <v>9900</v>
      </c>
      <c r="AA72" s="225">
        <f t="shared" ref="AA72:AA83" si="90">ROUND(U72*0.9%,-1)</f>
        <v>32400</v>
      </c>
      <c r="AB72" s="225">
        <f t="shared" ref="AB72:AB83" si="91">ROUND(U72*0.8%,-1)</f>
        <v>28800</v>
      </c>
      <c r="AC72" s="252">
        <f t="shared" ref="AC72:AC83" si="92">SUM(W72:AB72)</f>
        <v>649380</v>
      </c>
    </row>
    <row r="73" spans="1:29" s="204" customFormat="1" ht="16.5" hidden="1" customHeight="1">
      <c r="A73" s="1240"/>
      <c r="B73" s="211"/>
      <c r="C73" s="212"/>
      <c r="D73" s="212"/>
      <c r="E73" s="219" t="s">
        <v>274</v>
      </c>
      <c r="F73" s="221">
        <f>F72</f>
        <v>3560000</v>
      </c>
      <c r="G73" s="221"/>
      <c r="H73" s="221"/>
      <c r="I73" s="222"/>
      <c r="J73" s="221"/>
      <c r="K73" s="221"/>
      <c r="L73" s="221"/>
      <c r="M73" s="221">
        <f>F73*60%</f>
        <v>2136000</v>
      </c>
      <c r="N73" s="221"/>
      <c r="O73" s="221">
        <f>O72</f>
        <v>40000</v>
      </c>
      <c r="P73" s="221"/>
      <c r="Q73" s="221">
        <f t="shared" ref="Q73:Q83" si="93">ROUND((F72+T72)*1/209*1.5,-1)</f>
        <v>25550</v>
      </c>
      <c r="R73" s="221">
        <f>Q73*16</f>
        <v>408800</v>
      </c>
      <c r="S73" s="221">
        <f>Q73*5</f>
        <v>127750</v>
      </c>
      <c r="T73" s="222"/>
      <c r="U73" s="214">
        <f t="shared" si="86"/>
        <v>6272550</v>
      </c>
      <c r="V73" s="250"/>
      <c r="W73" s="224">
        <f>ROUNDUP((T73+U73)*1/12,-1)</f>
        <v>522720</v>
      </c>
      <c r="X73" s="225">
        <f t="shared" si="87"/>
        <v>282260</v>
      </c>
      <c r="Y73" s="225">
        <f t="shared" si="19"/>
        <v>202610</v>
      </c>
      <c r="Z73" s="225">
        <f t="shared" si="20"/>
        <v>17250</v>
      </c>
      <c r="AA73" s="225">
        <f t="shared" si="90"/>
        <v>56450</v>
      </c>
      <c r="AB73" s="225">
        <f t="shared" si="91"/>
        <v>50180</v>
      </c>
      <c r="AC73" s="252">
        <f t="shared" si="92"/>
        <v>1131470</v>
      </c>
    </row>
    <row r="74" spans="1:29" s="204" customFormat="1" ht="16.5" hidden="1" customHeight="1">
      <c r="A74" s="1240"/>
      <c r="B74" s="211"/>
      <c r="C74" s="212"/>
      <c r="D74" s="212"/>
      <c r="E74" s="219" t="s">
        <v>275</v>
      </c>
      <c r="F74" s="221">
        <f>F73</f>
        <v>3560000</v>
      </c>
      <c r="G74" s="221"/>
      <c r="H74" s="221"/>
      <c r="I74" s="222"/>
      <c r="J74" s="221"/>
      <c r="K74" s="221"/>
      <c r="L74" s="221"/>
      <c r="M74" s="221"/>
      <c r="N74" s="221"/>
      <c r="O74" s="221">
        <f t="shared" ref="O74:O83" si="94">O73</f>
        <v>40000</v>
      </c>
      <c r="P74" s="221"/>
      <c r="Q74" s="221">
        <f t="shared" si="93"/>
        <v>25550</v>
      </c>
      <c r="R74" s="221">
        <f t="shared" ref="R74:R82" si="95">Q74*16</f>
        <v>408800</v>
      </c>
      <c r="S74" s="221">
        <f t="shared" ref="S74:S83" si="96">Q74*5</f>
        <v>127750</v>
      </c>
      <c r="T74" s="222"/>
      <c r="U74" s="214">
        <f t="shared" si="86"/>
        <v>4136550</v>
      </c>
      <c r="V74" s="250"/>
      <c r="W74" s="224">
        <f t="shared" ref="W74:W83" si="97">ROUNDUP(U74*1/12,-1)</f>
        <v>344720</v>
      </c>
      <c r="X74" s="225">
        <f t="shared" si="87"/>
        <v>186140</v>
      </c>
      <c r="Y74" s="225">
        <f t="shared" si="19"/>
        <v>133620</v>
      </c>
      <c r="Z74" s="225">
        <f t="shared" si="20"/>
        <v>11380</v>
      </c>
      <c r="AA74" s="225">
        <f t="shared" si="90"/>
        <v>37230</v>
      </c>
      <c r="AB74" s="225">
        <f t="shared" si="91"/>
        <v>33090</v>
      </c>
      <c r="AC74" s="252">
        <f t="shared" si="92"/>
        <v>746180</v>
      </c>
    </row>
    <row r="75" spans="1:29" s="204" customFormat="1" ht="16.5" hidden="1" customHeight="1">
      <c r="A75" s="1240"/>
      <c r="B75" s="211"/>
      <c r="C75" s="212"/>
      <c r="D75" s="212"/>
      <c r="E75" s="219" t="s">
        <v>551</v>
      </c>
      <c r="F75" s="221">
        <f>F74</f>
        <v>3560000</v>
      </c>
      <c r="G75" s="221"/>
      <c r="H75" s="221"/>
      <c r="I75" s="222"/>
      <c r="J75" s="221"/>
      <c r="K75" s="221"/>
      <c r="L75" s="221"/>
      <c r="M75" s="221"/>
      <c r="N75" s="221"/>
      <c r="O75" s="221">
        <f t="shared" si="94"/>
        <v>40000</v>
      </c>
      <c r="P75" s="221"/>
      <c r="Q75" s="221">
        <f t="shared" si="93"/>
        <v>25550</v>
      </c>
      <c r="R75" s="221">
        <f t="shared" si="95"/>
        <v>408800</v>
      </c>
      <c r="S75" s="221">
        <f t="shared" si="96"/>
        <v>127750</v>
      </c>
      <c r="T75" s="222"/>
      <c r="U75" s="214">
        <f t="shared" si="86"/>
        <v>4136550</v>
      </c>
      <c r="V75" s="250"/>
      <c r="W75" s="224">
        <f t="shared" si="97"/>
        <v>344720</v>
      </c>
      <c r="X75" s="225">
        <f t="shared" si="87"/>
        <v>186140</v>
      </c>
      <c r="Y75" s="225">
        <f t="shared" si="19"/>
        <v>133620</v>
      </c>
      <c r="Z75" s="225">
        <f t="shared" si="20"/>
        <v>11380</v>
      </c>
      <c r="AA75" s="225">
        <f t="shared" si="90"/>
        <v>37230</v>
      </c>
      <c r="AB75" s="225">
        <f t="shared" si="91"/>
        <v>33090</v>
      </c>
      <c r="AC75" s="252">
        <f t="shared" si="92"/>
        <v>746180</v>
      </c>
    </row>
    <row r="76" spans="1:29" s="204" customFormat="1" ht="16.5" hidden="1" customHeight="1">
      <c r="A76" s="1240"/>
      <c r="B76" s="211"/>
      <c r="C76" s="212"/>
      <c r="D76" s="212"/>
      <c r="E76" s="219" t="s">
        <v>809</v>
      </c>
      <c r="F76" s="221">
        <f t="shared" ref="F76:F83" si="98">F75</f>
        <v>3560000</v>
      </c>
      <c r="G76" s="221"/>
      <c r="H76" s="221"/>
      <c r="I76" s="222"/>
      <c r="J76" s="221"/>
      <c r="K76" s="221"/>
      <c r="L76" s="221"/>
      <c r="M76" s="221"/>
      <c r="N76" s="221"/>
      <c r="O76" s="221">
        <f t="shared" si="94"/>
        <v>40000</v>
      </c>
      <c r="P76" s="221"/>
      <c r="Q76" s="221">
        <f t="shared" si="93"/>
        <v>25550</v>
      </c>
      <c r="R76" s="221">
        <f t="shared" si="95"/>
        <v>408800</v>
      </c>
      <c r="S76" s="221">
        <f t="shared" si="96"/>
        <v>127750</v>
      </c>
      <c r="T76" s="222"/>
      <c r="U76" s="214">
        <f t="shared" si="86"/>
        <v>4136550</v>
      </c>
      <c r="V76" s="250"/>
      <c r="W76" s="224">
        <f t="shared" si="97"/>
        <v>344720</v>
      </c>
      <c r="X76" s="225">
        <f t="shared" si="87"/>
        <v>186140</v>
      </c>
      <c r="Y76" s="225">
        <f t="shared" si="19"/>
        <v>133620</v>
      </c>
      <c r="Z76" s="225">
        <f t="shared" si="20"/>
        <v>11380</v>
      </c>
      <c r="AA76" s="225">
        <f t="shared" si="90"/>
        <v>37230</v>
      </c>
      <c r="AB76" s="225">
        <f t="shared" si="91"/>
        <v>33090</v>
      </c>
      <c r="AC76" s="252">
        <f t="shared" si="92"/>
        <v>746180</v>
      </c>
    </row>
    <row r="77" spans="1:29" s="204" customFormat="1" ht="16.5" hidden="1" customHeight="1">
      <c r="A77" s="1240"/>
      <c r="B77" s="211"/>
      <c r="C77" s="212"/>
      <c r="D77" s="212"/>
      <c r="E77" s="219" t="s">
        <v>278</v>
      </c>
      <c r="F77" s="221">
        <f t="shared" si="98"/>
        <v>3560000</v>
      </c>
      <c r="G77" s="221"/>
      <c r="H77" s="221"/>
      <c r="I77" s="222"/>
      <c r="J77" s="221"/>
      <c r="K77" s="221"/>
      <c r="L77" s="221"/>
      <c r="M77" s="221"/>
      <c r="N77" s="221"/>
      <c r="O77" s="221">
        <f t="shared" si="94"/>
        <v>40000</v>
      </c>
      <c r="P77" s="221"/>
      <c r="Q77" s="221">
        <f t="shared" si="93"/>
        <v>25550</v>
      </c>
      <c r="R77" s="221">
        <f t="shared" si="95"/>
        <v>408800</v>
      </c>
      <c r="S77" s="221">
        <f t="shared" si="96"/>
        <v>127750</v>
      </c>
      <c r="T77" s="222"/>
      <c r="U77" s="214">
        <f t="shared" si="86"/>
        <v>4136550</v>
      </c>
      <c r="V77" s="250"/>
      <c r="W77" s="224">
        <f t="shared" si="97"/>
        <v>344720</v>
      </c>
      <c r="X77" s="225">
        <f t="shared" si="87"/>
        <v>186140</v>
      </c>
      <c r="Y77" s="225">
        <f t="shared" si="19"/>
        <v>133620</v>
      </c>
      <c r="Z77" s="225">
        <f t="shared" si="20"/>
        <v>11380</v>
      </c>
      <c r="AA77" s="225">
        <f t="shared" si="90"/>
        <v>37230</v>
      </c>
      <c r="AB77" s="225">
        <f t="shared" si="91"/>
        <v>33090</v>
      </c>
      <c r="AC77" s="252">
        <f t="shared" si="92"/>
        <v>746180</v>
      </c>
    </row>
    <row r="78" spans="1:29" s="204" customFormat="1" ht="16.5" hidden="1" customHeight="1">
      <c r="A78" s="1240"/>
      <c r="B78" s="211"/>
      <c r="C78" s="212"/>
      <c r="D78" s="212"/>
      <c r="E78" s="219" t="s">
        <v>279</v>
      </c>
      <c r="F78" s="221">
        <f t="shared" si="98"/>
        <v>3560000</v>
      </c>
      <c r="G78" s="221"/>
      <c r="H78" s="220"/>
      <c r="I78" s="222"/>
      <c r="J78" s="221"/>
      <c r="K78" s="221"/>
      <c r="L78" s="221"/>
      <c r="M78" s="221"/>
      <c r="N78" s="221"/>
      <c r="O78" s="221">
        <f t="shared" si="94"/>
        <v>40000</v>
      </c>
      <c r="P78" s="221"/>
      <c r="Q78" s="221">
        <f t="shared" si="93"/>
        <v>25550</v>
      </c>
      <c r="R78" s="221">
        <f t="shared" si="95"/>
        <v>408800</v>
      </c>
      <c r="S78" s="221">
        <f t="shared" si="96"/>
        <v>127750</v>
      </c>
      <c r="T78" s="222"/>
      <c r="U78" s="214">
        <f t="shared" si="86"/>
        <v>4136550</v>
      </c>
      <c r="V78" s="250"/>
      <c r="W78" s="224">
        <f t="shared" si="97"/>
        <v>344720</v>
      </c>
      <c r="X78" s="225">
        <f t="shared" si="87"/>
        <v>186140</v>
      </c>
      <c r="Y78" s="225">
        <f t="shared" si="19"/>
        <v>133620</v>
      </c>
      <c r="Z78" s="225">
        <f t="shared" si="20"/>
        <v>11380</v>
      </c>
      <c r="AA78" s="225">
        <f t="shared" si="90"/>
        <v>37230</v>
      </c>
      <c r="AB78" s="225">
        <f t="shared" si="91"/>
        <v>33090</v>
      </c>
      <c r="AC78" s="252">
        <f t="shared" si="92"/>
        <v>746180</v>
      </c>
    </row>
    <row r="79" spans="1:29" s="204" customFormat="1" ht="16.5" hidden="1" customHeight="1">
      <c r="A79" s="1240"/>
      <c r="B79" s="211"/>
      <c r="C79" s="212"/>
      <c r="D79" s="212"/>
      <c r="E79" s="219" t="s">
        <v>280</v>
      </c>
      <c r="F79" s="221">
        <f t="shared" si="98"/>
        <v>3560000</v>
      </c>
      <c r="G79" s="221"/>
      <c r="H79" s="221"/>
      <c r="I79" s="222"/>
      <c r="J79" s="221"/>
      <c r="K79" s="221"/>
      <c r="L79" s="221"/>
      <c r="M79" s="221"/>
      <c r="N79" s="221"/>
      <c r="O79" s="221">
        <f t="shared" si="94"/>
        <v>40000</v>
      </c>
      <c r="P79" s="221"/>
      <c r="Q79" s="221">
        <f t="shared" si="93"/>
        <v>25550</v>
      </c>
      <c r="R79" s="221">
        <f t="shared" si="95"/>
        <v>408800</v>
      </c>
      <c r="S79" s="221">
        <f t="shared" si="96"/>
        <v>127750</v>
      </c>
      <c r="T79" s="222"/>
      <c r="U79" s="214">
        <f t="shared" si="86"/>
        <v>4136550</v>
      </c>
      <c r="V79" s="250"/>
      <c r="W79" s="224">
        <f t="shared" si="97"/>
        <v>344720</v>
      </c>
      <c r="X79" s="225">
        <f t="shared" si="87"/>
        <v>186140</v>
      </c>
      <c r="Y79" s="225">
        <f t="shared" si="19"/>
        <v>133620</v>
      </c>
      <c r="Z79" s="225">
        <f t="shared" si="20"/>
        <v>11380</v>
      </c>
      <c r="AA79" s="225">
        <f t="shared" si="90"/>
        <v>37230</v>
      </c>
      <c r="AB79" s="225">
        <f t="shared" si="91"/>
        <v>33090</v>
      </c>
      <c r="AC79" s="252">
        <f t="shared" si="92"/>
        <v>746180</v>
      </c>
    </row>
    <row r="80" spans="1:29" s="204" customFormat="1" ht="16.5" hidden="1" customHeight="1">
      <c r="A80" s="1240"/>
      <c r="B80" s="211"/>
      <c r="C80" s="212"/>
      <c r="D80" s="212"/>
      <c r="E80" s="219" t="s">
        <v>54</v>
      </c>
      <c r="F80" s="221">
        <f t="shared" si="98"/>
        <v>3560000</v>
      </c>
      <c r="G80" s="221"/>
      <c r="H80" s="221"/>
      <c r="I80" s="222"/>
      <c r="J80" s="221"/>
      <c r="K80" s="221"/>
      <c r="L80" s="221"/>
      <c r="M80" s="221">
        <f t="shared" ref="M80" si="99">F80*60%</f>
        <v>2136000</v>
      </c>
      <c r="N80" s="221"/>
      <c r="O80" s="221">
        <f t="shared" si="94"/>
        <v>40000</v>
      </c>
      <c r="P80" s="221"/>
      <c r="Q80" s="221">
        <f t="shared" si="93"/>
        <v>25550</v>
      </c>
      <c r="R80" s="221">
        <f t="shared" si="95"/>
        <v>408800</v>
      </c>
      <c r="S80" s="221">
        <f t="shared" si="96"/>
        <v>127750</v>
      </c>
      <c r="T80" s="222"/>
      <c r="U80" s="214">
        <f t="shared" si="86"/>
        <v>6272550</v>
      </c>
      <c r="V80" s="250"/>
      <c r="W80" s="224">
        <f t="shared" si="97"/>
        <v>522720</v>
      </c>
      <c r="X80" s="225">
        <f t="shared" si="87"/>
        <v>282260</v>
      </c>
      <c r="Y80" s="225">
        <f t="shared" si="19"/>
        <v>202610</v>
      </c>
      <c r="Z80" s="225">
        <f t="shared" si="20"/>
        <v>17250</v>
      </c>
      <c r="AA80" s="225">
        <f t="shared" si="90"/>
        <v>56450</v>
      </c>
      <c r="AB80" s="225">
        <f t="shared" si="91"/>
        <v>50180</v>
      </c>
      <c r="AC80" s="252">
        <f t="shared" si="92"/>
        <v>1131470</v>
      </c>
    </row>
    <row r="81" spans="1:29" s="204" customFormat="1" ht="16.5" hidden="1" customHeight="1">
      <c r="A81" s="1240"/>
      <c r="B81" s="211"/>
      <c r="C81" s="212"/>
      <c r="D81" s="212"/>
      <c r="E81" s="219" t="s">
        <v>55</v>
      </c>
      <c r="F81" s="221">
        <f t="shared" si="98"/>
        <v>3560000</v>
      </c>
      <c r="G81" s="221"/>
      <c r="H81" s="221"/>
      <c r="I81" s="222"/>
      <c r="J81" s="221"/>
      <c r="K81" s="221"/>
      <c r="L81" s="221"/>
      <c r="M81" s="221"/>
      <c r="N81" s="221"/>
      <c r="O81" s="221">
        <f t="shared" si="94"/>
        <v>40000</v>
      </c>
      <c r="P81" s="221"/>
      <c r="Q81" s="221">
        <f t="shared" si="93"/>
        <v>25550</v>
      </c>
      <c r="R81" s="221">
        <f t="shared" si="95"/>
        <v>408800</v>
      </c>
      <c r="S81" s="221">
        <f t="shared" si="96"/>
        <v>127750</v>
      </c>
      <c r="T81" s="222"/>
      <c r="U81" s="214">
        <f t="shared" si="86"/>
        <v>4136550</v>
      </c>
      <c r="V81" s="250"/>
      <c r="W81" s="224">
        <f t="shared" si="97"/>
        <v>344720</v>
      </c>
      <c r="X81" s="225">
        <f t="shared" si="87"/>
        <v>186140</v>
      </c>
      <c r="Y81" s="225">
        <f t="shared" si="19"/>
        <v>133620</v>
      </c>
      <c r="Z81" s="225">
        <f t="shared" si="20"/>
        <v>11380</v>
      </c>
      <c r="AA81" s="225">
        <f t="shared" si="90"/>
        <v>37230</v>
      </c>
      <c r="AB81" s="225">
        <f t="shared" si="91"/>
        <v>33090</v>
      </c>
      <c r="AC81" s="252">
        <f t="shared" si="92"/>
        <v>746180</v>
      </c>
    </row>
    <row r="82" spans="1:29" s="204" customFormat="1" ht="16.5" hidden="1" customHeight="1">
      <c r="A82" s="1240"/>
      <c r="B82" s="211"/>
      <c r="C82" s="212"/>
      <c r="D82" s="212"/>
      <c r="E82" s="219" t="s">
        <v>56</v>
      </c>
      <c r="F82" s="221">
        <f t="shared" si="98"/>
        <v>3560000</v>
      </c>
      <c r="G82" s="221"/>
      <c r="H82" s="221"/>
      <c r="I82" s="222"/>
      <c r="J82" s="221"/>
      <c r="K82" s="221"/>
      <c r="L82" s="221"/>
      <c r="M82" s="221"/>
      <c r="N82" s="221"/>
      <c r="O82" s="221">
        <f t="shared" si="94"/>
        <v>40000</v>
      </c>
      <c r="P82" s="221"/>
      <c r="Q82" s="221">
        <f t="shared" si="93"/>
        <v>25550</v>
      </c>
      <c r="R82" s="221">
        <f t="shared" si="95"/>
        <v>408800</v>
      </c>
      <c r="S82" s="221">
        <f t="shared" si="96"/>
        <v>127750</v>
      </c>
      <c r="T82" s="222"/>
      <c r="U82" s="214">
        <f t="shared" si="86"/>
        <v>4136550</v>
      </c>
      <c r="V82" s="250"/>
      <c r="W82" s="224">
        <f t="shared" si="97"/>
        <v>344720</v>
      </c>
      <c r="X82" s="225">
        <f t="shared" si="87"/>
        <v>186140</v>
      </c>
      <c r="Y82" s="225">
        <f t="shared" si="19"/>
        <v>133620</v>
      </c>
      <c r="Z82" s="225">
        <f t="shared" si="20"/>
        <v>11380</v>
      </c>
      <c r="AA82" s="225">
        <f t="shared" si="90"/>
        <v>37230</v>
      </c>
      <c r="AB82" s="225">
        <f t="shared" si="91"/>
        <v>33090</v>
      </c>
      <c r="AC82" s="252">
        <f t="shared" si="92"/>
        <v>746180</v>
      </c>
    </row>
    <row r="83" spans="1:29" s="204" customFormat="1" ht="16.5" hidden="1" customHeight="1">
      <c r="A83" s="1240"/>
      <c r="B83" s="211"/>
      <c r="C83" s="212"/>
      <c r="D83" s="212"/>
      <c r="E83" s="219" t="s">
        <v>281</v>
      </c>
      <c r="F83" s="221">
        <f t="shared" si="98"/>
        <v>3560000</v>
      </c>
      <c r="G83" s="221"/>
      <c r="H83" s="221"/>
      <c r="I83" s="222"/>
      <c r="J83" s="221"/>
      <c r="K83" s="221"/>
      <c r="L83" s="221"/>
      <c r="M83" s="221"/>
      <c r="N83" s="221"/>
      <c r="O83" s="221">
        <f t="shared" si="94"/>
        <v>40000</v>
      </c>
      <c r="P83" s="221"/>
      <c r="Q83" s="221">
        <f t="shared" si="93"/>
        <v>25550</v>
      </c>
      <c r="R83" s="221">
        <f>Q83*60*2</f>
        <v>3066000</v>
      </c>
      <c r="S83" s="221">
        <f t="shared" si="96"/>
        <v>127750</v>
      </c>
      <c r="T83" s="222"/>
      <c r="U83" s="214">
        <f t="shared" si="86"/>
        <v>6793750</v>
      </c>
      <c r="V83" s="250"/>
      <c r="W83" s="224">
        <f t="shared" si="97"/>
        <v>566150</v>
      </c>
      <c r="X83" s="225">
        <f t="shared" si="87"/>
        <v>305720</v>
      </c>
      <c r="Y83" s="225">
        <f t="shared" si="19"/>
        <v>219440</v>
      </c>
      <c r="Z83" s="225">
        <f t="shared" si="20"/>
        <v>18680</v>
      </c>
      <c r="AA83" s="225">
        <f t="shared" si="90"/>
        <v>61140</v>
      </c>
      <c r="AB83" s="225">
        <f t="shared" si="91"/>
        <v>54350</v>
      </c>
      <c r="AC83" s="252">
        <f t="shared" si="92"/>
        <v>1225480</v>
      </c>
    </row>
    <row r="84" spans="1:29" s="204" customFormat="1" ht="16.5" customHeight="1">
      <c r="A84" s="1240">
        <v>7</v>
      </c>
      <c r="B84" s="211" t="s">
        <v>837</v>
      </c>
      <c r="C84" s="212" t="s">
        <v>785</v>
      </c>
      <c r="D84" s="212">
        <v>1</v>
      </c>
      <c r="E84" s="213" t="s">
        <v>283</v>
      </c>
      <c r="F84" s="214">
        <f t="shared" ref="F84:N84" si="100">SUM(F85:F96)</f>
        <v>34101000</v>
      </c>
      <c r="G84" s="214">
        <f t="shared" si="100"/>
        <v>0</v>
      </c>
      <c r="H84" s="214">
        <f t="shared" si="100"/>
        <v>0</v>
      </c>
      <c r="I84" s="214">
        <f t="shared" si="100"/>
        <v>0</v>
      </c>
      <c r="J84" s="214">
        <f t="shared" si="100"/>
        <v>0</v>
      </c>
      <c r="K84" s="214">
        <f t="shared" si="100"/>
        <v>0</v>
      </c>
      <c r="L84" s="214">
        <f t="shared" si="100"/>
        <v>0</v>
      </c>
      <c r="M84" s="214">
        <f t="shared" si="100"/>
        <v>3381000</v>
      </c>
      <c r="N84" s="214">
        <f t="shared" si="100"/>
        <v>0</v>
      </c>
      <c r="O84" s="214">
        <f>SUM(O85:O96)</f>
        <v>720000</v>
      </c>
      <c r="P84" s="214">
        <f t="shared" ref="P84" si="101">SUM(P85:P96)</f>
        <v>0</v>
      </c>
      <c r="Q84" s="214"/>
      <c r="R84" s="214">
        <f t="shared" ref="R84" si="102">SUM(R85:R96)</f>
        <v>3915840</v>
      </c>
      <c r="S84" s="214">
        <f>SUM(S85:S96)</f>
        <v>1120850</v>
      </c>
      <c r="T84" s="214">
        <f t="shared" ref="T84:U84" si="103">SUM(T85:T96)</f>
        <v>0</v>
      </c>
      <c r="U84" s="214">
        <f t="shared" si="103"/>
        <v>43238690</v>
      </c>
      <c r="V84" s="250"/>
      <c r="W84" s="217">
        <f t="shared" ref="W84:AB84" si="104">SUM(W85:W96)</f>
        <v>3603310</v>
      </c>
      <c r="X84" s="214">
        <f t="shared" si="104"/>
        <v>1945760</v>
      </c>
      <c r="Y84" s="214">
        <f t="shared" si="104"/>
        <v>1396680</v>
      </c>
      <c r="Z84" s="214">
        <f t="shared" si="104"/>
        <v>118940</v>
      </c>
      <c r="AA84" s="214">
        <f t="shared" si="104"/>
        <v>389140</v>
      </c>
      <c r="AB84" s="214">
        <f t="shared" si="104"/>
        <v>345890</v>
      </c>
      <c r="AC84" s="266">
        <f>SUM(AC85:AC96)</f>
        <v>7799720</v>
      </c>
    </row>
    <row r="85" spans="1:29" s="204" customFormat="1" ht="16.5" hidden="1" customHeight="1">
      <c r="A85" s="1240"/>
      <c r="B85" s="211" t="s">
        <v>715</v>
      </c>
      <c r="C85" s="310">
        <v>10</v>
      </c>
      <c r="D85" s="310"/>
      <c r="E85" s="311" t="s">
        <v>389</v>
      </c>
      <c r="F85" s="312">
        <v>2769000</v>
      </c>
      <c r="G85" s="221"/>
      <c r="H85" s="220"/>
      <c r="I85" s="222"/>
      <c r="J85" s="221"/>
      <c r="K85" s="221"/>
      <c r="L85" s="221"/>
      <c r="M85" s="221" t="s">
        <v>60</v>
      </c>
      <c r="N85" s="221"/>
      <c r="O85" s="221">
        <v>60000</v>
      </c>
      <c r="P85" s="221"/>
      <c r="Q85" s="221"/>
      <c r="R85" s="221"/>
      <c r="S85" s="221"/>
      <c r="T85" s="222"/>
      <c r="U85" s="214">
        <f t="shared" ref="U85:U96" si="105">SUM(F85,M85,O85,R85,T85,S85)</f>
        <v>2829000</v>
      </c>
      <c r="V85" s="250"/>
      <c r="W85" s="224">
        <f>ROUNDUP(U85*1/12,-1)</f>
        <v>235750</v>
      </c>
      <c r="X85" s="225">
        <f t="shared" ref="X85:X96" si="106">ROUND(U85*4.5%,-1)</f>
        <v>127310</v>
      </c>
      <c r="Y85" s="225">
        <f t="shared" ref="Y85:Y148" si="107">ROUNDUP((U85-L85)*3.23%,-1)</f>
        <v>91380</v>
      </c>
      <c r="Z85" s="225">
        <f t="shared" ref="Z85:Z148" si="108">ROUNDUP(Y85*8.51%,-1)</f>
        <v>7780</v>
      </c>
      <c r="AA85" s="225">
        <f t="shared" ref="AA85:AA96" si="109">ROUND(U85*0.9%,-1)</f>
        <v>25460</v>
      </c>
      <c r="AB85" s="225">
        <f t="shared" ref="AB85:AB96" si="110">ROUND(U85*0.8%,-1)</f>
        <v>22630</v>
      </c>
      <c r="AC85" s="252">
        <f t="shared" ref="AC85:AC96" si="111">SUM(W85:AB85)</f>
        <v>510310</v>
      </c>
    </row>
    <row r="86" spans="1:29" s="204" customFormat="1" ht="16.5" hidden="1" customHeight="1">
      <c r="A86" s="1240"/>
      <c r="B86" s="211"/>
      <c r="C86" s="212"/>
      <c r="D86" s="212"/>
      <c r="E86" s="219" t="s">
        <v>390</v>
      </c>
      <c r="F86" s="221">
        <f>F85</f>
        <v>2769000</v>
      </c>
      <c r="G86" s="221"/>
      <c r="H86" s="221"/>
      <c r="I86" s="222"/>
      <c r="J86" s="221"/>
      <c r="K86" s="221"/>
      <c r="L86" s="221"/>
      <c r="M86" s="221">
        <f>F86*60%</f>
        <v>1661400</v>
      </c>
      <c r="N86" s="221"/>
      <c r="O86" s="221">
        <f t="shared" ref="O86:O96" si="112">O85</f>
        <v>60000</v>
      </c>
      <c r="P86" s="221"/>
      <c r="Q86" s="221">
        <f t="shared" ref="Q86:Q96" si="113">ROUND((F85+T85)*1/209*1.5,-1)</f>
        <v>19870</v>
      </c>
      <c r="R86" s="221">
        <f>Q86*16</f>
        <v>317920</v>
      </c>
      <c r="S86" s="221">
        <f>Q86*5</f>
        <v>99350</v>
      </c>
      <c r="T86" s="222"/>
      <c r="U86" s="214">
        <f t="shared" si="105"/>
        <v>4907670</v>
      </c>
      <c r="V86" s="250"/>
      <c r="W86" s="224">
        <f>ROUNDUP((T86+U86)*1/12,-1)</f>
        <v>408980</v>
      </c>
      <c r="X86" s="225">
        <f t="shared" si="106"/>
        <v>220850</v>
      </c>
      <c r="Y86" s="225">
        <f t="shared" si="107"/>
        <v>158520</v>
      </c>
      <c r="Z86" s="225">
        <f t="shared" si="108"/>
        <v>13500</v>
      </c>
      <c r="AA86" s="225">
        <f t="shared" si="109"/>
        <v>44170</v>
      </c>
      <c r="AB86" s="225">
        <f t="shared" si="110"/>
        <v>39260</v>
      </c>
      <c r="AC86" s="252">
        <f t="shared" si="111"/>
        <v>885280</v>
      </c>
    </row>
    <row r="87" spans="1:29" s="204" customFormat="1" ht="16.5" hidden="1" customHeight="1">
      <c r="A87" s="1240"/>
      <c r="B87" s="211"/>
      <c r="C87" s="212"/>
      <c r="D87" s="212"/>
      <c r="E87" s="219" t="s">
        <v>391</v>
      </c>
      <c r="F87" s="221">
        <f>F86</f>
        <v>2769000</v>
      </c>
      <c r="G87" s="221"/>
      <c r="H87" s="221"/>
      <c r="I87" s="222"/>
      <c r="J87" s="221"/>
      <c r="K87" s="221"/>
      <c r="L87" s="221"/>
      <c r="M87" s="221"/>
      <c r="N87" s="221"/>
      <c r="O87" s="221">
        <f t="shared" si="112"/>
        <v>60000</v>
      </c>
      <c r="P87" s="221"/>
      <c r="Q87" s="221">
        <f t="shared" si="113"/>
        <v>19870</v>
      </c>
      <c r="R87" s="221">
        <f t="shared" ref="R87:R95" si="114">Q87*16</f>
        <v>317920</v>
      </c>
      <c r="S87" s="221">
        <f t="shared" ref="S87:S96" si="115">Q87*5</f>
        <v>99350</v>
      </c>
      <c r="T87" s="222"/>
      <c r="U87" s="214">
        <f t="shared" si="105"/>
        <v>3246270</v>
      </c>
      <c r="V87" s="250"/>
      <c r="W87" s="224">
        <f t="shared" ref="W87:W96" si="116">ROUNDUP(U87*1/12,-1)</f>
        <v>270530</v>
      </c>
      <c r="X87" s="225">
        <f t="shared" si="106"/>
        <v>146080</v>
      </c>
      <c r="Y87" s="225">
        <f t="shared" si="107"/>
        <v>104860</v>
      </c>
      <c r="Z87" s="225">
        <f t="shared" si="108"/>
        <v>8930</v>
      </c>
      <c r="AA87" s="225">
        <f t="shared" si="109"/>
        <v>29220</v>
      </c>
      <c r="AB87" s="225">
        <f t="shared" si="110"/>
        <v>25970</v>
      </c>
      <c r="AC87" s="252">
        <f t="shared" si="111"/>
        <v>585590</v>
      </c>
    </row>
    <row r="88" spans="1:29" s="204" customFormat="1" ht="16.5" hidden="1" customHeight="1">
      <c r="A88" s="1240"/>
      <c r="B88" s="211"/>
      <c r="C88" s="310">
        <f>C85+1</f>
        <v>11</v>
      </c>
      <c r="D88" s="310"/>
      <c r="E88" s="311" t="s">
        <v>392</v>
      </c>
      <c r="F88" s="312">
        <v>2866000</v>
      </c>
      <c r="G88" s="221"/>
      <c r="H88" s="221"/>
      <c r="I88" s="222"/>
      <c r="J88" s="221"/>
      <c r="K88" s="221"/>
      <c r="L88" s="221"/>
      <c r="M88" s="221"/>
      <c r="N88" s="221"/>
      <c r="O88" s="221">
        <f t="shared" si="112"/>
        <v>60000</v>
      </c>
      <c r="P88" s="221"/>
      <c r="Q88" s="221">
        <f t="shared" si="113"/>
        <v>19870</v>
      </c>
      <c r="R88" s="221">
        <f t="shared" si="114"/>
        <v>317920</v>
      </c>
      <c r="S88" s="221">
        <f t="shared" si="115"/>
        <v>99350</v>
      </c>
      <c r="T88" s="222"/>
      <c r="U88" s="214">
        <f t="shared" si="105"/>
        <v>3343270</v>
      </c>
      <c r="V88" s="250"/>
      <c r="W88" s="224">
        <f t="shared" si="116"/>
        <v>278610</v>
      </c>
      <c r="X88" s="225">
        <f t="shared" si="106"/>
        <v>150450</v>
      </c>
      <c r="Y88" s="225">
        <f t="shared" si="107"/>
        <v>107990</v>
      </c>
      <c r="Z88" s="225">
        <f t="shared" si="108"/>
        <v>9190</v>
      </c>
      <c r="AA88" s="225">
        <f t="shared" si="109"/>
        <v>30090</v>
      </c>
      <c r="AB88" s="225">
        <f t="shared" si="110"/>
        <v>26750</v>
      </c>
      <c r="AC88" s="252">
        <f t="shared" si="111"/>
        <v>603080</v>
      </c>
    </row>
    <row r="89" spans="1:29" s="204" customFormat="1" ht="16.5" hidden="1" customHeight="1">
      <c r="A89" s="1240"/>
      <c r="B89" s="211"/>
      <c r="C89" s="212"/>
      <c r="D89" s="212"/>
      <c r="E89" s="219" t="s">
        <v>393</v>
      </c>
      <c r="F89" s="221">
        <f>F88</f>
        <v>2866000</v>
      </c>
      <c r="G89" s="221"/>
      <c r="H89" s="221"/>
      <c r="I89" s="222"/>
      <c r="J89" s="221"/>
      <c r="K89" s="221"/>
      <c r="L89" s="221"/>
      <c r="M89" s="221"/>
      <c r="N89" s="221"/>
      <c r="O89" s="221">
        <f t="shared" si="112"/>
        <v>60000</v>
      </c>
      <c r="P89" s="221"/>
      <c r="Q89" s="221">
        <f t="shared" si="113"/>
        <v>20570</v>
      </c>
      <c r="R89" s="221">
        <f t="shared" si="114"/>
        <v>329120</v>
      </c>
      <c r="S89" s="221">
        <f t="shared" si="115"/>
        <v>102850</v>
      </c>
      <c r="T89" s="222"/>
      <c r="U89" s="214">
        <f t="shared" si="105"/>
        <v>3357970</v>
      </c>
      <c r="V89" s="250"/>
      <c r="W89" s="224">
        <f t="shared" si="116"/>
        <v>279840</v>
      </c>
      <c r="X89" s="225">
        <f t="shared" si="106"/>
        <v>151110</v>
      </c>
      <c r="Y89" s="225">
        <f t="shared" si="107"/>
        <v>108470</v>
      </c>
      <c r="Z89" s="225">
        <f t="shared" si="108"/>
        <v>9240</v>
      </c>
      <c r="AA89" s="225">
        <f t="shared" si="109"/>
        <v>30220</v>
      </c>
      <c r="AB89" s="225">
        <f t="shared" si="110"/>
        <v>26860</v>
      </c>
      <c r="AC89" s="252">
        <f t="shared" si="111"/>
        <v>605740</v>
      </c>
    </row>
    <row r="90" spans="1:29" s="204" customFormat="1" ht="16.5" hidden="1" customHeight="1">
      <c r="A90" s="1240"/>
      <c r="B90" s="211"/>
      <c r="C90" s="212"/>
      <c r="D90" s="212"/>
      <c r="E90" s="219" t="s">
        <v>394</v>
      </c>
      <c r="F90" s="221">
        <f t="shared" ref="F90:F96" si="117">F89</f>
        <v>2866000</v>
      </c>
      <c r="G90" s="221"/>
      <c r="H90" s="221"/>
      <c r="I90" s="222"/>
      <c r="J90" s="221"/>
      <c r="K90" s="221"/>
      <c r="L90" s="221"/>
      <c r="M90" s="221"/>
      <c r="N90" s="221"/>
      <c r="O90" s="221">
        <f t="shared" si="112"/>
        <v>60000</v>
      </c>
      <c r="P90" s="221"/>
      <c r="Q90" s="221">
        <f t="shared" si="113"/>
        <v>20570</v>
      </c>
      <c r="R90" s="221">
        <f t="shared" si="114"/>
        <v>329120</v>
      </c>
      <c r="S90" s="221">
        <f t="shared" si="115"/>
        <v>102850</v>
      </c>
      <c r="T90" s="222"/>
      <c r="U90" s="214">
        <f t="shared" si="105"/>
        <v>3357970</v>
      </c>
      <c r="V90" s="250"/>
      <c r="W90" s="224">
        <f t="shared" si="116"/>
        <v>279840</v>
      </c>
      <c r="X90" s="225">
        <f t="shared" si="106"/>
        <v>151110</v>
      </c>
      <c r="Y90" s="225">
        <f t="shared" si="107"/>
        <v>108470</v>
      </c>
      <c r="Z90" s="225">
        <f t="shared" si="108"/>
        <v>9240</v>
      </c>
      <c r="AA90" s="225">
        <f t="shared" si="109"/>
        <v>30220</v>
      </c>
      <c r="AB90" s="225">
        <f t="shared" si="110"/>
        <v>26860</v>
      </c>
      <c r="AC90" s="252">
        <f t="shared" si="111"/>
        <v>605740</v>
      </c>
    </row>
    <row r="91" spans="1:29" s="204" customFormat="1" ht="16.5" hidden="1" customHeight="1">
      <c r="A91" s="1240"/>
      <c r="B91" s="211"/>
      <c r="C91" s="212"/>
      <c r="D91" s="212"/>
      <c r="E91" s="219" t="s">
        <v>279</v>
      </c>
      <c r="F91" s="221">
        <f t="shared" si="117"/>
        <v>2866000</v>
      </c>
      <c r="G91" s="221"/>
      <c r="H91" s="220"/>
      <c r="I91" s="222"/>
      <c r="J91" s="221"/>
      <c r="K91" s="221"/>
      <c r="L91" s="221"/>
      <c r="M91" s="221"/>
      <c r="N91" s="221"/>
      <c r="O91" s="221">
        <f t="shared" si="112"/>
        <v>60000</v>
      </c>
      <c r="P91" s="221"/>
      <c r="Q91" s="221">
        <f t="shared" si="113"/>
        <v>20570</v>
      </c>
      <c r="R91" s="221">
        <f t="shared" si="114"/>
        <v>329120</v>
      </c>
      <c r="S91" s="221">
        <f t="shared" si="115"/>
        <v>102850</v>
      </c>
      <c r="T91" s="222"/>
      <c r="U91" s="214">
        <f t="shared" si="105"/>
        <v>3357970</v>
      </c>
      <c r="V91" s="250"/>
      <c r="W91" s="224">
        <f t="shared" si="116"/>
        <v>279840</v>
      </c>
      <c r="X91" s="225">
        <f t="shared" si="106"/>
        <v>151110</v>
      </c>
      <c r="Y91" s="225">
        <f t="shared" si="107"/>
        <v>108470</v>
      </c>
      <c r="Z91" s="225">
        <f t="shared" si="108"/>
        <v>9240</v>
      </c>
      <c r="AA91" s="225">
        <f t="shared" si="109"/>
        <v>30220</v>
      </c>
      <c r="AB91" s="225">
        <f t="shared" si="110"/>
        <v>26860</v>
      </c>
      <c r="AC91" s="252">
        <f t="shared" si="111"/>
        <v>605740</v>
      </c>
    </row>
    <row r="92" spans="1:29" s="204" customFormat="1" ht="16.5" hidden="1" customHeight="1">
      <c r="A92" s="1240"/>
      <c r="B92" s="211"/>
      <c r="C92" s="212"/>
      <c r="D92" s="212"/>
      <c r="E92" s="219" t="s">
        <v>280</v>
      </c>
      <c r="F92" s="221">
        <f t="shared" si="117"/>
        <v>2866000</v>
      </c>
      <c r="G92" s="221"/>
      <c r="H92" s="221"/>
      <c r="I92" s="222"/>
      <c r="J92" s="221"/>
      <c r="K92" s="221"/>
      <c r="L92" s="221"/>
      <c r="M92" s="221"/>
      <c r="N92" s="221"/>
      <c r="O92" s="221">
        <f t="shared" si="112"/>
        <v>60000</v>
      </c>
      <c r="P92" s="221"/>
      <c r="Q92" s="221">
        <f t="shared" si="113"/>
        <v>20570</v>
      </c>
      <c r="R92" s="221">
        <f t="shared" si="114"/>
        <v>329120</v>
      </c>
      <c r="S92" s="221">
        <f t="shared" si="115"/>
        <v>102850</v>
      </c>
      <c r="T92" s="222"/>
      <c r="U92" s="214">
        <f t="shared" si="105"/>
        <v>3357970</v>
      </c>
      <c r="V92" s="250"/>
      <c r="W92" s="224">
        <f t="shared" si="116"/>
        <v>279840</v>
      </c>
      <c r="X92" s="225">
        <f t="shared" si="106"/>
        <v>151110</v>
      </c>
      <c r="Y92" s="225">
        <f t="shared" si="107"/>
        <v>108470</v>
      </c>
      <c r="Z92" s="225">
        <f t="shared" si="108"/>
        <v>9240</v>
      </c>
      <c r="AA92" s="225">
        <f t="shared" si="109"/>
        <v>30220</v>
      </c>
      <c r="AB92" s="225">
        <f t="shared" si="110"/>
        <v>26860</v>
      </c>
      <c r="AC92" s="252">
        <f t="shared" si="111"/>
        <v>605740</v>
      </c>
    </row>
    <row r="93" spans="1:29" s="204" customFormat="1" ht="16.5" hidden="1" customHeight="1">
      <c r="A93" s="1240"/>
      <c r="B93" s="211"/>
      <c r="C93" s="212"/>
      <c r="D93" s="212"/>
      <c r="E93" s="219" t="s">
        <v>54</v>
      </c>
      <c r="F93" s="221">
        <f t="shared" si="117"/>
        <v>2866000</v>
      </c>
      <c r="G93" s="221"/>
      <c r="H93" s="221"/>
      <c r="I93" s="222"/>
      <c r="J93" s="221"/>
      <c r="K93" s="221"/>
      <c r="L93" s="221"/>
      <c r="M93" s="221">
        <f t="shared" ref="M93" si="118">F93*60%</f>
        <v>1719600</v>
      </c>
      <c r="N93" s="221"/>
      <c r="O93" s="221">
        <f t="shared" si="112"/>
        <v>60000</v>
      </c>
      <c r="P93" s="221"/>
      <c r="Q93" s="221">
        <f t="shared" si="113"/>
        <v>20570</v>
      </c>
      <c r="R93" s="221">
        <f t="shared" si="114"/>
        <v>329120</v>
      </c>
      <c r="S93" s="221">
        <f t="shared" si="115"/>
        <v>102850</v>
      </c>
      <c r="T93" s="222"/>
      <c r="U93" s="214">
        <f t="shared" si="105"/>
        <v>5077570</v>
      </c>
      <c r="V93" s="250"/>
      <c r="W93" s="224">
        <f t="shared" si="116"/>
        <v>423140</v>
      </c>
      <c r="X93" s="225">
        <f t="shared" si="106"/>
        <v>228490</v>
      </c>
      <c r="Y93" s="225">
        <f t="shared" si="107"/>
        <v>164010</v>
      </c>
      <c r="Z93" s="225">
        <f t="shared" si="108"/>
        <v>13960</v>
      </c>
      <c r="AA93" s="225">
        <f t="shared" si="109"/>
        <v>45700</v>
      </c>
      <c r="AB93" s="225">
        <f t="shared" si="110"/>
        <v>40620</v>
      </c>
      <c r="AC93" s="252">
        <f t="shared" si="111"/>
        <v>915920</v>
      </c>
    </row>
    <row r="94" spans="1:29" s="204" customFormat="1" ht="16.5" hidden="1" customHeight="1">
      <c r="A94" s="1240"/>
      <c r="B94" s="211"/>
      <c r="C94" s="212"/>
      <c r="D94" s="212"/>
      <c r="E94" s="219" t="s">
        <v>55</v>
      </c>
      <c r="F94" s="221">
        <f t="shared" si="117"/>
        <v>2866000</v>
      </c>
      <c r="G94" s="221"/>
      <c r="H94" s="221"/>
      <c r="I94" s="222"/>
      <c r="J94" s="221"/>
      <c r="K94" s="221"/>
      <c r="L94" s="221"/>
      <c r="M94" s="221"/>
      <c r="N94" s="221"/>
      <c r="O94" s="221">
        <f t="shared" si="112"/>
        <v>60000</v>
      </c>
      <c r="P94" s="221"/>
      <c r="Q94" s="221">
        <f t="shared" si="113"/>
        <v>20570</v>
      </c>
      <c r="R94" s="221">
        <f t="shared" si="114"/>
        <v>329120</v>
      </c>
      <c r="S94" s="221">
        <f t="shared" si="115"/>
        <v>102850</v>
      </c>
      <c r="T94" s="222"/>
      <c r="U94" s="214">
        <f t="shared" si="105"/>
        <v>3357970</v>
      </c>
      <c r="V94" s="250"/>
      <c r="W94" s="224">
        <f t="shared" si="116"/>
        <v>279840</v>
      </c>
      <c r="X94" s="225">
        <f t="shared" si="106"/>
        <v>151110</v>
      </c>
      <c r="Y94" s="225">
        <f t="shared" si="107"/>
        <v>108470</v>
      </c>
      <c r="Z94" s="225">
        <f t="shared" si="108"/>
        <v>9240</v>
      </c>
      <c r="AA94" s="225">
        <f t="shared" si="109"/>
        <v>30220</v>
      </c>
      <c r="AB94" s="225">
        <f t="shared" si="110"/>
        <v>26860</v>
      </c>
      <c r="AC94" s="252">
        <f t="shared" si="111"/>
        <v>605740</v>
      </c>
    </row>
    <row r="95" spans="1:29" s="204" customFormat="1" ht="16.5" hidden="1" customHeight="1">
      <c r="A95" s="1240"/>
      <c r="B95" s="211"/>
      <c r="C95" s="212"/>
      <c r="D95" s="212"/>
      <c r="E95" s="219" t="s">
        <v>56</v>
      </c>
      <c r="F95" s="221">
        <f t="shared" si="117"/>
        <v>2866000</v>
      </c>
      <c r="G95" s="221"/>
      <c r="H95" s="221"/>
      <c r="I95" s="222"/>
      <c r="J95" s="221"/>
      <c r="K95" s="221"/>
      <c r="L95" s="221"/>
      <c r="M95" s="221"/>
      <c r="N95" s="221"/>
      <c r="O95" s="221">
        <f t="shared" si="112"/>
        <v>60000</v>
      </c>
      <c r="P95" s="221"/>
      <c r="Q95" s="221">
        <f t="shared" si="113"/>
        <v>20570</v>
      </c>
      <c r="R95" s="221">
        <f t="shared" si="114"/>
        <v>329120</v>
      </c>
      <c r="S95" s="221">
        <f t="shared" si="115"/>
        <v>102850</v>
      </c>
      <c r="T95" s="222"/>
      <c r="U95" s="214">
        <f t="shared" si="105"/>
        <v>3357970</v>
      </c>
      <c r="V95" s="250"/>
      <c r="W95" s="224">
        <f t="shared" si="116"/>
        <v>279840</v>
      </c>
      <c r="X95" s="225">
        <f t="shared" si="106"/>
        <v>151110</v>
      </c>
      <c r="Y95" s="225">
        <f t="shared" si="107"/>
        <v>108470</v>
      </c>
      <c r="Z95" s="225">
        <f t="shared" si="108"/>
        <v>9240</v>
      </c>
      <c r="AA95" s="225">
        <f t="shared" si="109"/>
        <v>30220</v>
      </c>
      <c r="AB95" s="225">
        <f t="shared" si="110"/>
        <v>26860</v>
      </c>
      <c r="AC95" s="252">
        <f t="shared" si="111"/>
        <v>605740</v>
      </c>
    </row>
    <row r="96" spans="1:29" s="204" customFormat="1" ht="16.5" hidden="1" customHeight="1">
      <c r="A96" s="1240"/>
      <c r="B96" s="211"/>
      <c r="C96" s="212"/>
      <c r="D96" s="212"/>
      <c r="E96" s="219" t="s">
        <v>395</v>
      </c>
      <c r="F96" s="221">
        <f t="shared" si="117"/>
        <v>2866000</v>
      </c>
      <c r="G96" s="221"/>
      <c r="H96" s="221"/>
      <c r="I96" s="222"/>
      <c r="J96" s="221"/>
      <c r="K96" s="221"/>
      <c r="L96" s="221"/>
      <c r="M96" s="221"/>
      <c r="N96" s="221"/>
      <c r="O96" s="221">
        <f t="shared" si="112"/>
        <v>60000</v>
      </c>
      <c r="P96" s="221"/>
      <c r="Q96" s="221">
        <f t="shared" si="113"/>
        <v>20570</v>
      </c>
      <c r="R96" s="221">
        <f>Q96*16*2</f>
        <v>658240</v>
      </c>
      <c r="S96" s="221">
        <f t="shared" si="115"/>
        <v>102850</v>
      </c>
      <c r="T96" s="222"/>
      <c r="U96" s="214">
        <f t="shared" si="105"/>
        <v>3687090</v>
      </c>
      <c r="V96" s="250"/>
      <c r="W96" s="224">
        <f t="shared" si="116"/>
        <v>307260</v>
      </c>
      <c r="X96" s="225">
        <f t="shared" si="106"/>
        <v>165920</v>
      </c>
      <c r="Y96" s="225">
        <f t="shared" si="107"/>
        <v>119100</v>
      </c>
      <c r="Z96" s="225">
        <f t="shared" si="108"/>
        <v>10140</v>
      </c>
      <c r="AA96" s="225">
        <f t="shared" si="109"/>
        <v>33180</v>
      </c>
      <c r="AB96" s="225">
        <f t="shared" si="110"/>
        <v>29500</v>
      </c>
      <c r="AC96" s="252">
        <f t="shared" si="111"/>
        <v>665100</v>
      </c>
    </row>
    <row r="97" spans="1:29" s="204" customFormat="1" ht="16.5" customHeight="1">
      <c r="A97" s="1240">
        <v>8</v>
      </c>
      <c r="B97" s="211" t="s">
        <v>607</v>
      </c>
      <c r="C97" s="212" t="s">
        <v>854</v>
      </c>
      <c r="D97" s="212">
        <v>1</v>
      </c>
      <c r="E97" s="213" t="s">
        <v>283</v>
      </c>
      <c r="F97" s="214">
        <f t="shared" ref="F97:N97" si="119">SUM(F98:F109)</f>
        <v>25974000</v>
      </c>
      <c r="G97" s="214">
        <f t="shared" si="119"/>
        <v>0</v>
      </c>
      <c r="H97" s="214">
        <f t="shared" si="119"/>
        <v>0</v>
      </c>
      <c r="I97" s="214">
        <f t="shared" si="119"/>
        <v>0</v>
      </c>
      <c r="J97" s="214">
        <f t="shared" si="119"/>
        <v>0</v>
      </c>
      <c r="K97" s="214">
        <f t="shared" si="119"/>
        <v>0</v>
      </c>
      <c r="L97" s="214">
        <f t="shared" si="119"/>
        <v>0</v>
      </c>
      <c r="M97" s="214">
        <f t="shared" si="119"/>
        <v>2566800</v>
      </c>
      <c r="N97" s="214">
        <f t="shared" si="119"/>
        <v>0</v>
      </c>
      <c r="O97" s="214">
        <f>SUM(O98:O109)</f>
        <v>0</v>
      </c>
      <c r="P97" s="214">
        <f t="shared" ref="P97" si="120">SUM(P98:P109)</f>
        <v>0</v>
      </c>
      <c r="Q97" s="214"/>
      <c r="R97" s="214">
        <f t="shared" ref="R97" si="121">SUM(R98:R109)</f>
        <v>2982240</v>
      </c>
      <c r="S97" s="214">
        <f>SUM(S98:S109)</f>
        <v>851550</v>
      </c>
      <c r="T97" s="214">
        <f t="shared" ref="T97:U97" si="122">SUM(T98:T109)</f>
        <v>0</v>
      </c>
      <c r="U97" s="214">
        <f t="shared" si="122"/>
        <v>32374590</v>
      </c>
      <c r="V97" s="250"/>
      <c r="W97" s="217">
        <f t="shared" ref="W97:AB97" si="123">SUM(W98:W109)</f>
        <v>2697950</v>
      </c>
      <c r="X97" s="214">
        <f t="shared" si="123"/>
        <v>1456850</v>
      </c>
      <c r="Y97" s="214">
        <f t="shared" si="123"/>
        <v>1045780</v>
      </c>
      <c r="Z97" s="214">
        <f t="shared" si="123"/>
        <v>89040</v>
      </c>
      <c r="AA97" s="214">
        <f t="shared" si="123"/>
        <v>291350</v>
      </c>
      <c r="AB97" s="214">
        <f t="shared" si="123"/>
        <v>259000</v>
      </c>
      <c r="AC97" s="266">
        <f>SUM(AC98:AC109)</f>
        <v>5839970</v>
      </c>
    </row>
    <row r="98" spans="1:29" s="204" customFormat="1" ht="16.5" hidden="1" customHeight="1">
      <c r="A98" s="1240"/>
      <c r="B98" s="211" t="s">
        <v>889</v>
      </c>
      <c r="C98" s="310">
        <v>4</v>
      </c>
      <c r="D98" s="310"/>
      <c r="E98" s="311" t="s">
        <v>389</v>
      </c>
      <c r="F98" s="312">
        <v>2139000</v>
      </c>
      <c r="G98" s="221"/>
      <c r="H98" s="220"/>
      <c r="I98" s="222"/>
      <c r="J98" s="221"/>
      <c r="K98" s="221"/>
      <c r="L98" s="221"/>
      <c r="M98" s="221" t="s">
        <v>60</v>
      </c>
      <c r="N98" s="221"/>
      <c r="O98" s="221"/>
      <c r="P98" s="221"/>
      <c r="Q98" s="221"/>
      <c r="R98" s="221"/>
      <c r="S98" s="221"/>
      <c r="T98" s="222"/>
      <c r="U98" s="214">
        <f t="shared" ref="U98:U109" si="124">SUM(F98,M98,O98,R98,T98,S98)</f>
        <v>2139000</v>
      </c>
      <c r="V98" s="250"/>
      <c r="W98" s="224">
        <f>ROUNDUP(U98*1/12,-1)</f>
        <v>178250</v>
      </c>
      <c r="X98" s="225">
        <f t="shared" ref="X98:X109" si="125">ROUND(U98*4.5%,-1)</f>
        <v>96260</v>
      </c>
      <c r="Y98" s="225">
        <f t="shared" ref="Y98" si="126">ROUNDUP((U98-L98)*3.23%,-1)</f>
        <v>69090</v>
      </c>
      <c r="Z98" s="225">
        <f t="shared" ref="Z98" si="127">ROUNDUP(Y98*8.51%,-1)</f>
        <v>5880</v>
      </c>
      <c r="AA98" s="225">
        <f t="shared" ref="AA98:AA109" si="128">ROUND(U98*0.9%,-1)</f>
        <v>19250</v>
      </c>
      <c r="AB98" s="225">
        <f t="shared" ref="AB98:AB109" si="129">ROUND(U98*0.8%,-1)</f>
        <v>17110</v>
      </c>
      <c r="AC98" s="252">
        <f t="shared" ref="AC98:AC109" si="130">SUM(W98:AB98)</f>
        <v>385840</v>
      </c>
    </row>
    <row r="99" spans="1:29" s="204" customFormat="1" ht="16.5" hidden="1" customHeight="1">
      <c r="A99" s="1240"/>
      <c r="B99" s="211"/>
      <c r="C99" s="212"/>
      <c r="D99" s="212"/>
      <c r="E99" s="219" t="s">
        <v>390</v>
      </c>
      <c r="F99" s="221">
        <f>F98</f>
        <v>2139000</v>
      </c>
      <c r="G99" s="221"/>
      <c r="H99" s="221"/>
      <c r="I99" s="222"/>
      <c r="J99" s="221"/>
      <c r="K99" s="221"/>
      <c r="L99" s="221"/>
      <c r="M99" s="221">
        <f>F99*60%</f>
        <v>1283400</v>
      </c>
      <c r="N99" s="221"/>
      <c r="O99" s="221"/>
      <c r="P99" s="221"/>
      <c r="Q99" s="221">
        <f t="shared" ref="Q99:Q109" si="131">ROUND((F98+T98)*1/209*1.5,-1)</f>
        <v>15350</v>
      </c>
      <c r="R99" s="221">
        <f>Q99*16</f>
        <v>245600</v>
      </c>
      <c r="S99" s="221">
        <f>Q99*5</f>
        <v>76750</v>
      </c>
      <c r="T99" s="222"/>
      <c r="U99" s="214">
        <f t="shared" si="124"/>
        <v>3744750</v>
      </c>
      <c r="V99" s="250"/>
      <c r="W99" s="224">
        <f>ROUNDUP((T99+U99)*1/12,-1)</f>
        <v>312070</v>
      </c>
      <c r="X99" s="225">
        <f t="shared" si="125"/>
        <v>168510</v>
      </c>
      <c r="Y99" s="225">
        <f t="shared" si="107"/>
        <v>120960</v>
      </c>
      <c r="Z99" s="225">
        <f t="shared" si="108"/>
        <v>10300</v>
      </c>
      <c r="AA99" s="225">
        <f t="shared" si="128"/>
        <v>33700</v>
      </c>
      <c r="AB99" s="225">
        <f t="shared" si="129"/>
        <v>29960</v>
      </c>
      <c r="AC99" s="252">
        <f t="shared" si="130"/>
        <v>675500</v>
      </c>
    </row>
    <row r="100" spans="1:29" s="204" customFormat="1" ht="16.5" hidden="1" customHeight="1">
      <c r="A100" s="1240"/>
      <c r="B100" s="211"/>
      <c r="C100" s="212"/>
      <c r="D100" s="212"/>
      <c r="E100" s="219" t="s">
        <v>391</v>
      </c>
      <c r="F100" s="221">
        <f t="shared" ref="F100:F106" si="132">F99</f>
        <v>2139000</v>
      </c>
      <c r="G100" s="221"/>
      <c r="H100" s="221"/>
      <c r="I100" s="222"/>
      <c r="J100" s="221"/>
      <c r="K100" s="221"/>
      <c r="L100" s="221"/>
      <c r="M100" s="221"/>
      <c r="N100" s="221"/>
      <c r="O100" s="221"/>
      <c r="P100" s="221"/>
      <c r="Q100" s="221">
        <f t="shared" si="131"/>
        <v>15350</v>
      </c>
      <c r="R100" s="221">
        <f t="shared" ref="R100:R108" si="133">Q100*16</f>
        <v>245600</v>
      </c>
      <c r="S100" s="221">
        <f t="shared" ref="S100:S109" si="134">Q100*5</f>
        <v>76750</v>
      </c>
      <c r="T100" s="222"/>
      <c r="U100" s="214">
        <f t="shared" si="124"/>
        <v>2461350</v>
      </c>
      <c r="V100" s="250"/>
      <c r="W100" s="224">
        <f t="shared" ref="W100:W109" si="135">ROUNDUP(U100*1/12,-1)</f>
        <v>205120</v>
      </c>
      <c r="X100" s="225">
        <f t="shared" si="125"/>
        <v>110760</v>
      </c>
      <c r="Y100" s="225">
        <f t="shared" si="107"/>
        <v>79510</v>
      </c>
      <c r="Z100" s="225">
        <f t="shared" si="108"/>
        <v>6770</v>
      </c>
      <c r="AA100" s="225">
        <f t="shared" si="128"/>
        <v>22150</v>
      </c>
      <c r="AB100" s="225">
        <f t="shared" si="129"/>
        <v>19690</v>
      </c>
      <c r="AC100" s="252">
        <f t="shared" si="130"/>
        <v>444000</v>
      </c>
    </row>
    <row r="101" spans="1:29" s="204" customFormat="1" ht="16.5" hidden="1" customHeight="1">
      <c r="A101" s="1240"/>
      <c r="B101" s="211"/>
      <c r="C101" s="212"/>
      <c r="D101" s="212"/>
      <c r="E101" s="219" t="s">
        <v>392</v>
      </c>
      <c r="F101" s="221">
        <f t="shared" si="132"/>
        <v>2139000</v>
      </c>
      <c r="G101" s="221"/>
      <c r="H101" s="221"/>
      <c r="I101" s="222"/>
      <c r="J101" s="221"/>
      <c r="K101" s="221"/>
      <c r="L101" s="221"/>
      <c r="M101" s="221"/>
      <c r="N101" s="221"/>
      <c r="O101" s="221"/>
      <c r="P101" s="221"/>
      <c r="Q101" s="221">
        <f t="shared" si="131"/>
        <v>15350</v>
      </c>
      <c r="R101" s="221">
        <f t="shared" si="133"/>
        <v>245600</v>
      </c>
      <c r="S101" s="221">
        <f t="shared" si="134"/>
        <v>76750</v>
      </c>
      <c r="T101" s="222"/>
      <c r="U101" s="214">
        <f t="shared" si="124"/>
        <v>2461350</v>
      </c>
      <c r="V101" s="250"/>
      <c r="W101" s="224">
        <f t="shared" si="135"/>
        <v>205120</v>
      </c>
      <c r="X101" s="225">
        <f t="shared" si="125"/>
        <v>110760</v>
      </c>
      <c r="Y101" s="225">
        <f t="shared" si="107"/>
        <v>79510</v>
      </c>
      <c r="Z101" s="225">
        <f t="shared" si="108"/>
        <v>6770</v>
      </c>
      <c r="AA101" s="225">
        <f t="shared" si="128"/>
        <v>22150</v>
      </c>
      <c r="AB101" s="225">
        <f t="shared" si="129"/>
        <v>19690</v>
      </c>
      <c r="AC101" s="252">
        <f t="shared" si="130"/>
        <v>444000</v>
      </c>
    </row>
    <row r="102" spans="1:29" s="204" customFormat="1" ht="16.5" hidden="1" customHeight="1">
      <c r="A102" s="1240"/>
      <c r="B102" s="211"/>
      <c r="C102" s="212"/>
      <c r="D102" s="212"/>
      <c r="E102" s="219" t="s">
        <v>393</v>
      </c>
      <c r="F102" s="221">
        <f t="shared" si="132"/>
        <v>2139000</v>
      </c>
      <c r="G102" s="221"/>
      <c r="H102" s="221"/>
      <c r="I102" s="222"/>
      <c r="J102" s="221"/>
      <c r="K102" s="221"/>
      <c r="L102" s="221"/>
      <c r="M102" s="221"/>
      <c r="N102" s="221"/>
      <c r="O102" s="221"/>
      <c r="P102" s="221"/>
      <c r="Q102" s="221">
        <f t="shared" si="131"/>
        <v>15350</v>
      </c>
      <c r="R102" s="221">
        <f t="shared" si="133"/>
        <v>245600</v>
      </c>
      <c r="S102" s="221">
        <f t="shared" si="134"/>
        <v>76750</v>
      </c>
      <c r="T102" s="222"/>
      <c r="U102" s="214">
        <f t="shared" si="124"/>
        <v>2461350</v>
      </c>
      <c r="V102" s="250"/>
      <c r="W102" s="224">
        <f t="shared" si="135"/>
        <v>205120</v>
      </c>
      <c r="X102" s="225">
        <f t="shared" si="125"/>
        <v>110760</v>
      </c>
      <c r="Y102" s="225">
        <f t="shared" si="107"/>
        <v>79510</v>
      </c>
      <c r="Z102" s="225">
        <f t="shared" si="108"/>
        <v>6770</v>
      </c>
      <c r="AA102" s="225">
        <f t="shared" si="128"/>
        <v>22150</v>
      </c>
      <c r="AB102" s="225">
        <f t="shared" si="129"/>
        <v>19690</v>
      </c>
      <c r="AC102" s="252">
        <f t="shared" si="130"/>
        <v>444000</v>
      </c>
    </row>
    <row r="103" spans="1:29" s="204" customFormat="1" ht="17.25" hidden="1" customHeight="1">
      <c r="A103" s="1240"/>
      <c r="B103" s="211"/>
      <c r="C103" s="212"/>
      <c r="D103" s="212"/>
      <c r="E103" s="219" t="s">
        <v>394</v>
      </c>
      <c r="F103" s="221">
        <f t="shared" si="132"/>
        <v>2139000</v>
      </c>
      <c r="G103" s="221"/>
      <c r="H103" s="221"/>
      <c r="I103" s="222"/>
      <c r="J103" s="221"/>
      <c r="K103" s="221"/>
      <c r="L103" s="221"/>
      <c r="M103" s="221"/>
      <c r="N103" s="221"/>
      <c r="O103" s="221"/>
      <c r="P103" s="221"/>
      <c r="Q103" s="221">
        <f t="shared" si="131"/>
        <v>15350</v>
      </c>
      <c r="R103" s="221">
        <f t="shared" si="133"/>
        <v>245600</v>
      </c>
      <c r="S103" s="221">
        <f t="shared" si="134"/>
        <v>76750</v>
      </c>
      <c r="T103" s="222"/>
      <c r="U103" s="214">
        <f t="shared" si="124"/>
        <v>2461350</v>
      </c>
      <c r="V103" s="250"/>
      <c r="W103" s="224">
        <f t="shared" si="135"/>
        <v>205120</v>
      </c>
      <c r="X103" s="225">
        <f t="shared" si="125"/>
        <v>110760</v>
      </c>
      <c r="Y103" s="225">
        <f t="shared" si="107"/>
        <v>79510</v>
      </c>
      <c r="Z103" s="225">
        <f t="shared" si="108"/>
        <v>6770</v>
      </c>
      <c r="AA103" s="225">
        <f t="shared" si="128"/>
        <v>22150</v>
      </c>
      <c r="AB103" s="225">
        <f t="shared" si="129"/>
        <v>19690</v>
      </c>
      <c r="AC103" s="252">
        <f t="shared" si="130"/>
        <v>444000</v>
      </c>
    </row>
    <row r="104" spans="1:29" s="204" customFormat="1" ht="16.5" hidden="1" customHeight="1">
      <c r="A104" s="1240"/>
      <c r="B104" s="211"/>
      <c r="C104" s="212"/>
      <c r="D104" s="212"/>
      <c r="E104" s="219" t="s">
        <v>279</v>
      </c>
      <c r="F104" s="221">
        <f t="shared" si="132"/>
        <v>2139000</v>
      </c>
      <c r="G104" s="221"/>
      <c r="H104" s="220"/>
      <c r="I104" s="222"/>
      <c r="J104" s="221"/>
      <c r="K104" s="221"/>
      <c r="L104" s="221"/>
      <c r="M104" s="221"/>
      <c r="N104" s="221"/>
      <c r="O104" s="221"/>
      <c r="P104" s="221"/>
      <c r="Q104" s="221">
        <f t="shared" si="131"/>
        <v>15350</v>
      </c>
      <c r="R104" s="221">
        <f t="shared" si="133"/>
        <v>245600</v>
      </c>
      <c r="S104" s="221">
        <f t="shared" si="134"/>
        <v>76750</v>
      </c>
      <c r="T104" s="222"/>
      <c r="U104" s="214">
        <f t="shared" si="124"/>
        <v>2461350</v>
      </c>
      <c r="V104" s="250"/>
      <c r="W104" s="224">
        <f t="shared" si="135"/>
        <v>205120</v>
      </c>
      <c r="X104" s="225">
        <f t="shared" si="125"/>
        <v>110760</v>
      </c>
      <c r="Y104" s="225">
        <f t="shared" si="107"/>
        <v>79510</v>
      </c>
      <c r="Z104" s="225">
        <f t="shared" si="108"/>
        <v>6770</v>
      </c>
      <c r="AA104" s="225">
        <f t="shared" si="128"/>
        <v>22150</v>
      </c>
      <c r="AB104" s="225">
        <f t="shared" si="129"/>
        <v>19690</v>
      </c>
      <c r="AC104" s="252">
        <f t="shared" si="130"/>
        <v>444000</v>
      </c>
    </row>
    <row r="105" spans="1:29" s="204" customFormat="1" ht="16.5" hidden="1" customHeight="1">
      <c r="A105" s="1240"/>
      <c r="B105" s="211"/>
      <c r="C105" s="212"/>
      <c r="D105" s="212"/>
      <c r="E105" s="219" t="s">
        <v>280</v>
      </c>
      <c r="F105" s="221">
        <f t="shared" si="132"/>
        <v>2139000</v>
      </c>
      <c r="G105" s="221"/>
      <c r="H105" s="221"/>
      <c r="I105" s="222"/>
      <c r="J105" s="221"/>
      <c r="K105" s="221"/>
      <c r="L105" s="221"/>
      <c r="M105" s="221"/>
      <c r="N105" s="221"/>
      <c r="O105" s="221"/>
      <c r="P105" s="221"/>
      <c r="Q105" s="221">
        <f t="shared" si="131"/>
        <v>15350</v>
      </c>
      <c r="R105" s="221">
        <f t="shared" si="133"/>
        <v>245600</v>
      </c>
      <c r="S105" s="221">
        <f t="shared" si="134"/>
        <v>76750</v>
      </c>
      <c r="T105" s="222"/>
      <c r="U105" s="214">
        <f t="shared" si="124"/>
        <v>2461350</v>
      </c>
      <c r="V105" s="250"/>
      <c r="W105" s="224">
        <f t="shared" si="135"/>
        <v>205120</v>
      </c>
      <c r="X105" s="225">
        <f t="shared" si="125"/>
        <v>110760</v>
      </c>
      <c r="Y105" s="225">
        <f t="shared" si="107"/>
        <v>79510</v>
      </c>
      <c r="Z105" s="225">
        <f t="shared" si="108"/>
        <v>6770</v>
      </c>
      <c r="AA105" s="225">
        <f t="shared" si="128"/>
        <v>22150</v>
      </c>
      <c r="AB105" s="225">
        <f t="shared" si="129"/>
        <v>19690</v>
      </c>
      <c r="AC105" s="252">
        <f t="shared" si="130"/>
        <v>444000</v>
      </c>
    </row>
    <row r="106" spans="1:29" s="204" customFormat="1" ht="16.5" hidden="1" customHeight="1">
      <c r="A106" s="1240"/>
      <c r="B106" s="211"/>
      <c r="C106" s="212"/>
      <c r="D106" s="212"/>
      <c r="E106" s="219" t="s">
        <v>54</v>
      </c>
      <c r="F106" s="221">
        <f t="shared" si="132"/>
        <v>2139000</v>
      </c>
      <c r="G106" s="221"/>
      <c r="H106" s="221"/>
      <c r="I106" s="222"/>
      <c r="J106" s="221"/>
      <c r="K106" s="221"/>
      <c r="L106" s="221"/>
      <c r="M106" s="221">
        <f t="shared" ref="M106" si="136">F106*60%</f>
        <v>1283400</v>
      </c>
      <c r="N106" s="221"/>
      <c r="O106" s="221"/>
      <c r="P106" s="221"/>
      <c r="Q106" s="221">
        <f t="shared" si="131"/>
        <v>15350</v>
      </c>
      <c r="R106" s="221">
        <f t="shared" si="133"/>
        <v>245600</v>
      </c>
      <c r="S106" s="221">
        <f t="shared" si="134"/>
        <v>76750</v>
      </c>
      <c r="T106" s="222"/>
      <c r="U106" s="214">
        <f t="shared" si="124"/>
        <v>3744750</v>
      </c>
      <c r="V106" s="250"/>
      <c r="W106" s="224">
        <f t="shared" si="135"/>
        <v>312070</v>
      </c>
      <c r="X106" s="225">
        <f t="shared" si="125"/>
        <v>168510</v>
      </c>
      <c r="Y106" s="225">
        <f t="shared" si="107"/>
        <v>120960</v>
      </c>
      <c r="Z106" s="225">
        <f t="shared" si="108"/>
        <v>10300</v>
      </c>
      <c r="AA106" s="225">
        <f t="shared" si="128"/>
        <v>33700</v>
      </c>
      <c r="AB106" s="225">
        <f t="shared" si="129"/>
        <v>29960</v>
      </c>
      <c r="AC106" s="252">
        <f t="shared" si="130"/>
        <v>675500</v>
      </c>
    </row>
    <row r="107" spans="1:29" s="204" customFormat="1" ht="16.5" hidden="1" customHeight="1">
      <c r="A107" s="1240"/>
      <c r="B107" s="211"/>
      <c r="C107" s="310">
        <f>C98+1</f>
        <v>5</v>
      </c>
      <c r="D107" s="310"/>
      <c r="E107" s="311" t="s">
        <v>55</v>
      </c>
      <c r="F107" s="312">
        <v>2241000</v>
      </c>
      <c r="G107" s="221"/>
      <c r="H107" s="221"/>
      <c r="I107" s="222"/>
      <c r="J107" s="221"/>
      <c r="K107" s="221"/>
      <c r="L107" s="221"/>
      <c r="M107" s="221"/>
      <c r="N107" s="221"/>
      <c r="O107" s="221"/>
      <c r="P107" s="221"/>
      <c r="Q107" s="221">
        <f t="shared" si="131"/>
        <v>15350</v>
      </c>
      <c r="R107" s="221">
        <f t="shared" si="133"/>
        <v>245600</v>
      </c>
      <c r="S107" s="221">
        <f t="shared" si="134"/>
        <v>76750</v>
      </c>
      <c r="T107" s="222"/>
      <c r="U107" s="214">
        <f t="shared" si="124"/>
        <v>2563350</v>
      </c>
      <c r="V107" s="250"/>
      <c r="W107" s="224">
        <f t="shared" si="135"/>
        <v>213620</v>
      </c>
      <c r="X107" s="225">
        <f t="shared" si="125"/>
        <v>115350</v>
      </c>
      <c r="Y107" s="225">
        <f t="shared" si="107"/>
        <v>82800</v>
      </c>
      <c r="Z107" s="225">
        <f t="shared" si="108"/>
        <v>7050</v>
      </c>
      <c r="AA107" s="225">
        <f t="shared" si="128"/>
        <v>23070</v>
      </c>
      <c r="AB107" s="225">
        <f t="shared" si="129"/>
        <v>20510</v>
      </c>
      <c r="AC107" s="252">
        <f t="shared" si="130"/>
        <v>462400</v>
      </c>
    </row>
    <row r="108" spans="1:29" s="204" customFormat="1" ht="16.5" hidden="1" customHeight="1">
      <c r="A108" s="1240"/>
      <c r="B108" s="211"/>
      <c r="C108" s="212"/>
      <c r="D108" s="212"/>
      <c r="E108" s="219" t="s">
        <v>56</v>
      </c>
      <c r="F108" s="221">
        <f t="shared" ref="F108:F109" si="137">F107</f>
        <v>2241000</v>
      </c>
      <c r="G108" s="221"/>
      <c r="H108" s="221"/>
      <c r="I108" s="222"/>
      <c r="J108" s="221"/>
      <c r="K108" s="221"/>
      <c r="L108" s="221"/>
      <c r="M108" s="221"/>
      <c r="N108" s="221"/>
      <c r="O108" s="221"/>
      <c r="P108" s="221"/>
      <c r="Q108" s="221">
        <f t="shared" si="131"/>
        <v>16080</v>
      </c>
      <c r="R108" s="221">
        <f t="shared" si="133"/>
        <v>257280</v>
      </c>
      <c r="S108" s="221">
        <f t="shared" si="134"/>
        <v>80400</v>
      </c>
      <c r="T108" s="222"/>
      <c r="U108" s="214">
        <f t="shared" si="124"/>
        <v>2578680</v>
      </c>
      <c r="V108" s="250"/>
      <c r="W108" s="224">
        <f t="shared" si="135"/>
        <v>214890</v>
      </c>
      <c r="X108" s="225">
        <f t="shared" si="125"/>
        <v>116040</v>
      </c>
      <c r="Y108" s="225">
        <f t="shared" si="107"/>
        <v>83300</v>
      </c>
      <c r="Z108" s="225">
        <f t="shared" si="108"/>
        <v>7090</v>
      </c>
      <c r="AA108" s="225">
        <f t="shared" si="128"/>
        <v>23210</v>
      </c>
      <c r="AB108" s="225">
        <f t="shared" si="129"/>
        <v>20630</v>
      </c>
      <c r="AC108" s="252">
        <f t="shared" si="130"/>
        <v>465160</v>
      </c>
    </row>
    <row r="109" spans="1:29" s="204" customFormat="1" ht="16.5" hidden="1" customHeight="1">
      <c r="A109" s="1240"/>
      <c r="B109" s="211"/>
      <c r="C109" s="212"/>
      <c r="D109" s="212"/>
      <c r="E109" s="219" t="s">
        <v>395</v>
      </c>
      <c r="F109" s="221">
        <f t="shared" si="137"/>
        <v>2241000</v>
      </c>
      <c r="G109" s="221"/>
      <c r="H109" s="221"/>
      <c r="I109" s="222"/>
      <c r="J109" s="221"/>
      <c r="K109" s="221"/>
      <c r="L109" s="221"/>
      <c r="M109" s="221"/>
      <c r="N109" s="221"/>
      <c r="O109" s="221"/>
      <c r="P109" s="221"/>
      <c r="Q109" s="221">
        <f t="shared" si="131"/>
        <v>16080</v>
      </c>
      <c r="R109" s="221">
        <f>Q109*16*2</f>
        <v>514560</v>
      </c>
      <c r="S109" s="221">
        <f t="shared" si="134"/>
        <v>80400</v>
      </c>
      <c r="T109" s="222"/>
      <c r="U109" s="214">
        <f t="shared" si="124"/>
        <v>2835960</v>
      </c>
      <c r="V109" s="250"/>
      <c r="W109" s="224">
        <f t="shared" si="135"/>
        <v>236330</v>
      </c>
      <c r="X109" s="225">
        <f t="shared" si="125"/>
        <v>127620</v>
      </c>
      <c r="Y109" s="225">
        <f t="shared" si="107"/>
        <v>91610</v>
      </c>
      <c r="Z109" s="225">
        <f t="shared" si="108"/>
        <v>7800</v>
      </c>
      <c r="AA109" s="225">
        <f t="shared" si="128"/>
        <v>25520</v>
      </c>
      <c r="AB109" s="225">
        <f t="shared" si="129"/>
        <v>22690</v>
      </c>
      <c r="AC109" s="252">
        <f t="shared" si="130"/>
        <v>511570</v>
      </c>
    </row>
    <row r="110" spans="1:29" s="204" customFormat="1" ht="16.5" customHeight="1">
      <c r="A110" s="1240">
        <v>9</v>
      </c>
      <c r="B110" s="211" t="s">
        <v>810</v>
      </c>
      <c r="C110" s="212">
        <v>11.12</v>
      </c>
      <c r="D110" s="212">
        <v>1</v>
      </c>
      <c r="E110" s="213" t="s">
        <v>429</v>
      </c>
      <c r="F110" s="214">
        <f t="shared" ref="F110:P110" si="138">SUM(F111:F122)</f>
        <v>34797000</v>
      </c>
      <c r="G110" s="214">
        <f t="shared" si="138"/>
        <v>0</v>
      </c>
      <c r="H110" s="214">
        <f t="shared" si="138"/>
        <v>0</v>
      </c>
      <c r="I110" s="214">
        <f t="shared" si="138"/>
        <v>0</v>
      </c>
      <c r="J110" s="214">
        <f t="shared" si="138"/>
        <v>0</v>
      </c>
      <c r="K110" s="214">
        <f t="shared" si="138"/>
        <v>0</v>
      </c>
      <c r="L110" s="214">
        <f t="shared" si="138"/>
        <v>0</v>
      </c>
      <c r="M110" s="214">
        <f t="shared" si="138"/>
        <v>3487800</v>
      </c>
      <c r="N110" s="214">
        <f t="shared" si="138"/>
        <v>0</v>
      </c>
      <c r="O110" s="214">
        <f t="shared" si="138"/>
        <v>720000</v>
      </c>
      <c r="P110" s="214">
        <f t="shared" si="138"/>
        <v>0</v>
      </c>
      <c r="Q110" s="214"/>
      <c r="R110" s="214">
        <f t="shared" ref="R110:U110" si="139">SUM(R111:R122)</f>
        <v>3995840</v>
      </c>
      <c r="S110" s="214">
        <f t="shared" si="139"/>
        <v>1142950</v>
      </c>
      <c r="T110" s="214">
        <f t="shared" si="139"/>
        <v>0</v>
      </c>
      <c r="U110" s="214">
        <f t="shared" si="139"/>
        <v>44143590</v>
      </c>
      <c r="V110" s="250"/>
      <c r="W110" s="217">
        <f t="shared" ref="W110:AB110" si="140">SUM(W111:W122)</f>
        <v>3678720</v>
      </c>
      <c r="X110" s="214">
        <f t="shared" si="140"/>
        <v>1986460</v>
      </c>
      <c r="Y110" s="214">
        <f t="shared" si="140"/>
        <v>1425910</v>
      </c>
      <c r="Z110" s="214">
        <f t="shared" si="140"/>
        <v>121420</v>
      </c>
      <c r="AA110" s="214">
        <f t="shared" si="140"/>
        <v>397280</v>
      </c>
      <c r="AB110" s="214">
        <f t="shared" si="140"/>
        <v>353130</v>
      </c>
      <c r="AC110" s="266">
        <f>SUM(AC111:AC122)</f>
        <v>7962920</v>
      </c>
    </row>
    <row r="111" spans="1:29" s="204" customFormat="1" ht="16.5" hidden="1" customHeight="1">
      <c r="A111" s="1240"/>
      <c r="B111" s="211" t="s">
        <v>903</v>
      </c>
      <c r="C111" s="310">
        <v>11</v>
      </c>
      <c r="D111" s="310"/>
      <c r="E111" s="311" t="s">
        <v>538</v>
      </c>
      <c r="F111" s="312">
        <v>2866000</v>
      </c>
      <c r="G111" s="221">
        <v>0</v>
      </c>
      <c r="H111" s="220"/>
      <c r="I111" s="222"/>
      <c r="J111" s="221"/>
      <c r="K111" s="221"/>
      <c r="L111" s="221"/>
      <c r="M111" s="221" t="s">
        <v>791</v>
      </c>
      <c r="N111" s="221"/>
      <c r="O111" s="221">
        <v>60000</v>
      </c>
      <c r="P111" s="221"/>
      <c r="Q111" s="221"/>
      <c r="R111" s="221"/>
      <c r="S111" s="221"/>
      <c r="T111" s="222"/>
      <c r="U111" s="214">
        <f t="shared" ref="U111:U122" si="141">SUM(F111,M111,O111,R111,T111,S111)</f>
        <v>2926000</v>
      </c>
      <c r="V111" s="250"/>
      <c r="W111" s="224">
        <f>ROUNDUP(U111*1/12,-1)</f>
        <v>243840</v>
      </c>
      <c r="X111" s="225">
        <f t="shared" ref="X111:X122" si="142">ROUND(U111*4.5%,-1)</f>
        <v>131670</v>
      </c>
      <c r="Y111" s="225">
        <f t="shared" ref="Y111" si="143">ROUNDUP((U111-L111)*3.23%,-1)</f>
        <v>94510</v>
      </c>
      <c r="Z111" s="225">
        <f t="shared" ref="Z111" si="144">ROUNDUP(Y111*8.51%,-1)</f>
        <v>8050</v>
      </c>
      <c r="AA111" s="225">
        <f t="shared" ref="AA111:AA122" si="145">ROUND(U111*0.9%,-1)</f>
        <v>26330</v>
      </c>
      <c r="AB111" s="225">
        <f t="shared" ref="AB111:AB122" si="146">ROUND(U111*0.8%,-1)</f>
        <v>23410</v>
      </c>
      <c r="AC111" s="252">
        <f t="shared" ref="AC111:AC122" si="147">SUM(W111:AB111)</f>
        <v>527810</v>
      </c>
    </row>
    <row r="112" spans="1:29" s="204" customFormat="1" ht="16.5" hidden="1" customHeight="1">
      <c r="A112" s="1240"/>
      <c r="B112" s="211"/>
      <c r="C112" s="212"/>
      <c r="D112" s="212"/>
      <c r="E112" s="219" t="s">
        <v>274</v>
      </c>
      <c r="F112" s="221">
        <f>F111</f>
        <v>2866000</v>
      </c>
      <c r="G112" s="221"/>
      <c r="H112" s="221"/>
      <c r="I112" s="222"/>
      <c r="J112" s="221"/>
      <c r="K112" s="221"/>
      <c r="L112" s="221"/>
      <c r="M112" s="221">
        <f>F112*60%</f>
        <v>1719600</v>
      </c>
      <c r="N112" s="221"/>
      <c r="O112" s="221">
        <f>O111</f>
        <v>60000</v>
      </c>
      <c r="P112" s="221"/>
      <c r="Q112" s="221">
        <f t="shared" ref="Q112:Q122" si="148">ROUND((F111+T111)*1/209*1.5,-1)</f>
        <v>20570</v>
      </c>
      <c r="R112" s="221">
        <f>Q112*16</f>
        <v>329120</v>
      </c>
      <c r="S112" s="221">
        <f>Q112*5</f>
        <v>102850</v>
      </c>
      <c r="T112" s="222"/>
      <c r="U112" s="214">
        <f t="shared" si="141"/>
        <v>5077570</v>
      </c>
      <c r="V112" s="250"/>
      <c r="W112" s="224">
        <f>ROUNDUP((T112+U112)*1/12,-1)</f>
        <v>423140</v>
      </c>
      <c r="X112" s="225">
        <f t="shared" si="142"/>
        <v>228490</v>
      </c>
      <c r="Y112" s="225">
        <f t="shared" si="107"/>
        <v>164010</v>
      </c>
      <c r="Z112" s="225">
        <f t="shared" si="108"/>
        <v>13960</v>
      </c>
      <c r="AA112" s="225">
        <f t="shared" si="145"/>
        <v>45700</v>
      </c>
      <c r="AB112" s="225">
        <f t="shared" si="146"/>
        <v>40620</v>
      </c>
      <c r="AC112" s="252">
        <f t="shared" si="147"/>
        <v>915920</v>
      </c>
    </row>
    <row r="113" spans="1:29" s="204" customFormat="1" ht="16.5" hidden="1" customHeight="1">
      <c r="A113" s="1240"/>
      <c r="B113" s="211"/>
      <c r="C113" s="212"/>
      <c r="D113" s="212"/>
      <c r="E113" s="219" t="s">
        <v>275</v>
      </c>
      <c r="F113" s="221">
        <f>F112</f>
        <v>2866000</v>
      </c>
      <c r="G113" s="221"/>
      <c r="H113" s="221"/>
      <c r="I113" s="222"/>
      <c r="J113" s="221"/>
      <c r="K113" s="221"/>
      <c r="L113" s="221"/>
      <c r="M113" s="221"/>
      <c r="N113" s="221"/>
      <c r="O113" s="221">
        <f>O112</f>
        <v>60000</v>
      </c>
      <c r="P113" s="221"/>
      <c r="Q113" s="221">
        <f t="shared" si="148"/>
        <v>20570</v>
      </c>
      <c r="R113" s="221">
        <f t="shared" ref="R113:R121" si="149">Q113*16</f>
        <v>329120</v>
      </c>
      <c r="S113" s="221">
        <f t="shared" ref="S113:S122" si="150">Q113*5</f>
        <v>102850</v>
      </c>
      <c r="T113" s="222"/>
      <c r="U113" s="214">
        <f t="shared" si="141"/>
        <v>3357970</v>
      </c>
      <c r="V113" s="250"/>
      <c r="W113" s="224">
        <f t="shared" ref="W113:W122" si="151">ROUNDUP(U113*1/12,-1)</f>
        <v>279840</v>
      </c>
      <c r="X113" s="225">
        <f t="shared" si="142"/>
        <v>151110</v>
      </c>
      <c r="Y113" s="225">
        <f t="shared" si="107"/>
        <v>108470</v>
      </c>
      <c r="Z113" s="225">
        <f t="shared" si="108"/>
        <v>9240</v>
      </c>
      <c r="AA113" s="225">
        <f t="shared" si="145"/>
        <v>30220</v>
      </c>
      <c r="AB113" s="225">
        <f t="shared" si="146"/>
        <v>26860</v>
      </c>
      <c r="AC113" s="252">
        <f t="shared" si="147"/>
        <v>605740</v>
      </c>
    </row>
    <row r="114" spans="1:29" s="204" customFormat="1" ht="16.5" hidden="1" customHeight="1">
      <c r="A114" s="1240"/>
      <c r="B114" s="211"/>
      <c r="C114" s="212"/>
      <c r="D114" s="212"/>
      <c r="E114" s="219" t="s">
        <v>441</v>
      </c>
      <c r="F114" s="221">
        <f t="shared" ref="F114:F117" si="152">F113</f>
        <v>2866000</v>
      </c>
      <c r="G114" s="221"/>
      <c r="H114" s="221"/>
      <c r="I114" s="222"/>
      <c r="J114" s="221"/>
      <c r="K114" s="221"/>
      <c r="L114" s="221"/>
      <c r="M114" s="221"/>
      <c r="N114" s="221"/>
      <c r="O114" s="221">
        <f t="shared" ref="O114:O122" si="153">O113</f>
        <v>60000</v>
      </c>
      <c r="P114" s="221"/>
      <c r="Q114" s="221">
        <f t="shared" si="148"/>
        <v>20570</v>
      </c>
      <c r="R114" s="221">
        <f t="shared" si="149"/>
        <v>329120</v>
      </c>
      <c r="S114" s="221">
        <f t="shared" si="150"/>
        <v>102850</v>
      </c>
      <c r="T114" s="222"/>
      <c r="U114" s="214">
        <f t="shared" si="141"/>
        <v>3357970</v>
      </c>
      <c r="V114" s="250"/>
      <c r="W114" s="224">
        <f t="shared" si="151"/>
        <v>279840</v>
      </c>
      <c r="X114" s="225">
        <f t="shared" si="142"/>
        <v>151110</v>
      </c>
      <c r="Y114" s="225">
        <f t="shared" si="107"/>
        <v>108470</v>
      </c>
      <c r="Z114" s="225">
        <f t="shared" si="108"/>
        <v>9240</v>
      </c>
      <c r="AA114" s="225">
        <f t="shared" si="145"/>
        <v>30220</v>
      </c>
      <c r="AB114" s="225">
        <f t="shared" si="146"/>
        <v>26860</v>
      </c>
      <c r="AC114" s="252">
        <f t="shared" si="147"/>
        <v>605740</v>
      </c>
    </row>
    <row r="115" spans="1:29" s="204" customFormat="1" ht="16.5" hidden="1" customHeight="1">
      <c r="A115" s="1240"/>
      <c r="B115" s="211"/>
      <c r="C115" s="212"/>
      <c r="D115" s="212"/>
      <c r="E115" s="219" t="s">
        <v>277</v>
      </c>
      <c r="F115" s="221">
        <f t="shared" si="152"/>
        <v>2866000</v>
      </c>
      <c r="G115" s="221"/>
      <c r="H115" s="221"/>
      <c r="I115" s="222"/>
      <c r="J115" s="221"/>
      <c r="K115" s="221"/>
      <c r="L115" s="221"/>
      <c r="M115" s="221"/>
      <c r="N115" s="221"/>
      <c r="O115" s="221">
        <f t="shared" si="153"/>
        <v>60000</v>
      </c>
      <c r="P115" s="221"/>
      <c r="Q115" s="221">
        <f t="shared" si="148"/>
        <v>20570</v>
      </c>
      <c r="R115" s="221">
        <f t="shared" si="149"/>
        <v>329120</v>
      </c>
      <c r="S115" s="221">
        <f t="shared" si="150"/>
        <v>102850</v>
      </c>
      <c r="T115" s="222"/>
      <c r="U115" s="214">
        <f t="shared" si="141"/>
        <v>3357970</v>
      </c>
      <c r="V115" s="250"/>
      <c r="W115" s="224">
        <f t="shared" si="151"/>
        <v>279840</v>
      </c>
      <c r="X115" s="225">
        <f t="shared" si="142"/>
        <v>151110</v>
      </c>
      <c r="Y115" s="225">
        <f t="shared" si="107"/>
        <v>108470</v>
      </c>
      <c r="Z115" s="225">
        <f t="shared" si="108"/>
        <v>9240</v>
      </c>
      <c r="AA115" s="225">
        <f t="shared" si="145"/>
        <v>30220</v>
      </c>
      <c r="AB115" s="225">
        <f t="shared" si="146"/>
        <v>26860</v>
      </c>
      <c r="AC115" s="252">
        <f t="shared" si="147"/>
        <v>605740</v>
      </c>
    </row>
    <row r="116" spans="1:29" s="204" customFormat="1" ht="16.5" hidden="1" customHeight="1">
      <c r="A116" s="1240"/>
      <c r="B116" s="211"/>
      <c r="C116" s="212"/>
      <c r="D116" s="212"/>
      <c r="E116" s="219" t="s">
        <v>278</v>
      </c>
      <c r="F116" s="221">
        <f t="shared" si="152"/>
        <v>2866000</v>
      </c>
      <c r="G116" s="221"/>
      <c r="H116" s="221"/>
      <c r="I116" s="222"/>
      <c r="J116" s="221"/>
      <c r="K116" s="221"/>
      <c r="L116" s="221"/>
      <c r="M116" s="221"/>
      <c r="N116" s="221"/>
      <c r="O116" s="221">
        <f t="shared" si="153"/>
        <v>60000</v>
      </c>
      <c r="P116" s="221"/>
      <c r="Q116" s="221">
        <f t="shared" si="148"/>
        <v>20570</v>
      </c>
      <c r="R116" s="221">
        <f t="shared" si="149"/>
        <v>329120</v>
      </c>
      <c r="S116" s="221">
        <f t="shared" si="150"/>
        <v>102850</v>
      </c>
      <c r="T116" s="222"/>
      <c r="U116" s="214">
        <f t="shared" si="141"/>
        <v>3357970</v>
      </c>
      <c r="V116" s="250"/>
      <c r="W116" s="224">
        <f t="shared" si="151"/>
        <v>279840</v>
      </c>
      <c r="X116" s="225">
        <f t="shared" si="142"/>
        <v>151110</v>
      </c>
      <c r="Y116" s="225">
        <f t="shared" si="107"/>
        <v>108470</v>
      </c>
      <c r="Z116" s="225">
        <f t="shared" si="108"/>
        <v>9240</v>
      </c>
      <c r="AA116" s="225">
        <f t="shared" si="145"/>
        <v>30220</v>
      </c>
      <c r="AB116" s="225">
        <f t="shared" si="146"/>
        <v>26860</v>
      </c>
      <c r="AC116" s="252">
        <f t="shared" si="147"/>
        <v>605740</v>
      </c>
    </row>
    <row r="117" spans="1:29" s="204" customFormat="1" ht="16.5" hidden="1" customHeight="1">
      <c r="A117" s="1240"/>
      <c r="B117" s="211"/>
      <c r="C117" s="212"/>
      <c r="D117" s="212"/>
      <c r="E117" s="219" t="s">
        <v>279</v>
      </c>
      <c r="F117" s="221">
        <f t="shared" si="152"/>
        <v>2866000</v>
      </c>
      <c r="G117" s="221"/>
      <c r="H117" s="220"/>
      <c r="I117" s="222"/>
      <c r="J117" s="221"/>
      <c r="K117" s="221"/>
      <c r="L117" s="221"/>
      <c r="M117" s="221"/>
      <c r="N117" s="221"/>
      <c r="O117" s="221">
        <f t="shared" si="153"/>
        <v>60000</v>
      </c>
      <c r="P117" s="221"/>
      <c r="Q117" s="221">
        <f t="shared" si="148"/>
        <v>20570</v>
      </c>
      <c r="R117" s="221">
        <f t="shared" si="149"/>
        <v>329120</v>
      </c>
      <c r="S117" s="221">
        <f t="shared" si="150"/>
        <v>102850</v>
      </c>
      <c r="T117" s="222"/>
      <c r="U117" s="214">
        <f t="shared" si="141"/>
        <v>3357970</v>
      </c>
      <c r="V117" s="250"/>
      <c r="W117" s="224">
        <f t="shared" si="151"/>
        <v>279840</v>
      </c>
      <c r="X117" s="225">
        <f t="shared" si="142"/>
        <v>151110</v>
      </c>
      <c r="Y117" s="225">
        <f t="shared" si="107"/>
        <v>108470</v>
      </c>
      <c r="Z117" s="225">
        <f t="shared" si="108"/>
        <v>9240</v>
      </c>
      <c r="AA117" s="225">
        <f t="shared" si="145"/>
        <v>30220</v>
      </c>
      <c r="AB117" s="225">
        <f t="shared" si="146"/>
        <v>26860</v>
      </c>
      <c r="AC117" s="252">
        <f t="shared" si="147"/>
        <v>605740</v>
      </c>
    </row>
    <row r="118" spans="1:29" s="204" customFormat="1" ht="16.5" hidden="1" customHeight="1">
      <c r="A118" s="1240"/>
      <c r="B118" s="211"/>
      <c r="C118" s="310">
        <v>12</v>
      </c>
      <c r="D118" s="310"/>
      <c r="E118" s="311" t="s">
        <v>280</v>
      </c>
      <c r="F118" s="312">
        <v>2947000</v>
      </c>
      <c r="G118" s="221"/>
      <c r="H118" s="221"/>
      <c r="I118" s="222"/>
      <c r="J118" s="221"/>
      <c r="K118" s="221"/>
      <c r="L118" s="221"/>
      <c r="M118" s="221"/>
      <c r="N118" s="221"/>
      <c r="O118" s="221">
        <f t="shared" si="153"/>
        <v>60000</v>
      </c>
      <c r="P118" s="221"/>
      <c r="Q118" s="221">
        <f t="shared" si="148"/>
        <v>20570</v>
      </c>
      <c r="R118" s="221">
        <f t="shared" si="149"/>
        <v>329120</v>
      </c>
      <c r="S118" s="221">
        <f t="shared" si="150"/>
        <v>102850</v>
      </c>
      <c r="T118" s="222"/>
      <c r="U118" s="214">
        <f t="shared" si="141"/>
        <v>3438970</v>
      </c>
      <c r="V118" s="250"/>
      <c r="W118" s="224">
        <f t="shared" si="151"/>
        <v>286590</v>
      </c>
      <c r="X118" s="225">
        <f t="shared" si="142"/>
        <v>154750</v>
      </c>
      <c r="Y118" s="225">
        <f t="shared" si="107"/>
        <v>111080</v>
      </c>
      <c r="Z118" s="225">
        <f t="shared" si="108"/>
        <v>9460</v>
      </c>
      <c r="AA118" s="225">
        <f t="shared" si="145"/>
        <v>30950</v>
      </c>
      <c r="AB118" s="225">
        <f t="shared" si="146"/>
        <v>27510</v>
      </c>
      <c r="AC118" s="252">
        <f t="shared" si="147"/>
        <v>620340</v>
      </c>
    </row>
    <row r="119" spans="1:29" s="204" customFormat="1" ht="16.5" hidden="1" customHeight="1">
      <c r="A119" s="1240"/>
      <c r="B119" s="211"/>
      <c r="C119" s="212"/>
      <c r="D119" s="212"/>
      <c r="E119" s="219" t="s">
        <v>54</v>
      </c>
      <c r="F119" s="221">
        <f t="shared" ref="F119:F122" si="154">F118</f>
        <v>2947000</v>
      </c>
      <c r="G119" s="221"/>
      <c r="H119" s="221"/>
      <c r="I119" s="222"/>
      <c r="J119" s="221"/>
      <c r="K119" s="221"/>
      <c r="L119" s="221"/>
      <c r="M119" s="221">
        <f t="shared" ref="M119" si="155">F119*60%</f>
        <v>1768200</v>
      </c>
      <c r="N119" s="221"/>
      <c r="O119" s="221">
        <f t="shared" si="153"/>
        <v>60000</v>
      </c>
      <c r="P119" s="221"/>
      <c r="Q119" s="221">
        <f t="shared" si="148"/>
        <v>21150</v>
      </c>
      <c r="R119" s="221">
        <f t="shared" si="149"/>
        <v>338400</v>
      </c>
      <c r="S119" s="221">
        <f t="shared" si="150"/>
        <v>105750</v>
      </c>
      <c r="T119" s="222"/>
      <c r="U119" s="214">
        <f t="shared" si="141"/>
        <v>5219350</v>
      </c>
      <c r="V119" s="250"/>
      <c r="W119" s="224">
        <f t="shared" si="151"/>
        <v>434950</v>
      </c>
      <c r="X119" s="225">
        <f t="shared" si="142"/>
        <v>234870</v>
      </c>
      <c r="Y119" s="225">
        <f t="shared" si="107"/>
        <v>168590</v>
      </c>
      <c r="Z119" s="225">
        <f t="shared" si="108"/>
        <v>14350</v>
      </c>
      <c r="AA119" s="225">
        <f t="shared" si="145"/>
        <v>46970</v>
      </c>
      <c r="AB119" s="225">
        <f t="shared" si="146"/>
        <v>41750</v>
      </c>
      <c r="AC119" s="252">
        <f t="shared" si="147"/>
        <v>941480</v>
      </c>
    </row>
    <row r="120" spans="1:29" s="204" customFormat="1" ht="16.5" hidden="1" customHeight="1">
      <c r="A120" s="1240"/>
      <c r="B120" s="211"/>
      <c r="C120" s="212"/>
      <c r="D120" s="212"/>
      <c r="E120" s="219" t="s">
        <v>55</v>
      </c>
      <c r="F120" s="221">
        <f t="shared" si="154"/>
        <v>2947000</v>
      </c>
      <c r="G120" s="221"/>
      <c r="H120" s="221"/>
      <c r="I120" s="222"/>
      <c r="J120" s="221"/>
      <c r="K120" s="221"/>
      <c r="L120" s="221"/>
      <c r="M120" s="221"/>
      <c r="N120" s="221"/>
      <c r="O120" s="221">
        <f t="shared" si="153"/>
        <v>60000</v>
      </c>
      <c r="P120" s="221"/>
      <c r="Q120" s="221">
        <f t="shared" si="148"/>
        <v>21150</v>
      </c>
      <c r="R120" s="221">
        <f t="shared" si="149"/>
        <v>338400</v>
      </c>
      <c r="S120" s="221">
        <f t="shared" si="150"/>
        <v>105750</v>
      </c>
      <c r="T120" s="222"/>
      <c r="U120" s="214">
        <f t="shared" si="141"/>
        <v>3451150</v>
      </c>
      <c r="V120" s="250"/>
      <c r="W120" s="224">
        <f t="shared" si="151"/>
        <v>287600</v>
      </c>
      <c r="X120" s="225">
        <f t="shared" si="142"/>
        <v>155300</v>
      </c>
      <c r="Y120" s="225">
        <f t="shared" si="107"/>
        <v>111480</v>
      </c>
      <c r="Z120" s="225">
        <f t="shared" si="108"/>
        <v>9490</v>
      </c>
      <c r="AA120" s="225">
        <f t="shared" si="145"/>
        <v>31060</v>
      </c>
      <c r="AB120" s="225">
        <f t="shared" si="146"/>
        <v>27610</v>
      </c>
      <c r="AC120" s="252">
        <f t="shared" si="147"/>
        <v>622540</v>
      </c>
    </row>
    <row r="121" spans="1:29" s="204" customFormat="1" ht="16.5" hidden="1" customHeight="1">
      <c r="A121" s="1240"/>
      <c r="B121" s="211"/>
      <c r="C121" s="212"/>
      <c r="D121" s="212"/>
      <c r="E121" s="219" t="s">
        <v>56</v>
      </c>
      <c r="F121" s="221">
        <f t="shared" si="154"/>
        <v>2947000</v>
      </c>
      <c r="G121" s="221"/>
      <c r="H121" s="221"/>
      <c r="I121" s="222"/>
      <c r="J121" s="221"/>
      <c r="K121" s="221"/>
      <c r="L121" s="221"/>
      <c r="M121" s="221"/>
      <c r="N121" s="221"/>
      <c r="O121" s="221">
        <f t="shared" si="153"/>
        <v>60000</v>
      </c>
      <c r="P121" s="221"/>
      <c r="Q121" s="221">
        <f t="shared" si="148"/>
        <v>21150</v>
      </c>
      <c r="R121" s="221">
        <f t="shared" si="149"/>
        <v>338400</v>
      </c>
      <c r="S121" s="221">
        <f t="shared" si="150"/>
        <v>105750</v>
      </c>
      <c r="T121" s="222"/>
      <c r="U121" s="214">
        <f t="shared" si="141"/>
        <v>3451150</v>
      </c>
      <c r="V121" s="250"/>
      <c r="W121" s="224">
        <f t="shared" si="151"/>
        <v>287600</v>
      </c>
      <c r="X121" s="225">
        <f t="shared" si="142"/>
        <v>155300</v>
      </c>
      <c r="Y121" s="225">
        <f t="shared" si="107"/>
        <v>111480</v>
      </c>
      <c r="Z121" s="225">
        <f t="shared" si="108"/>
        <v>9490</v>
      </c>
      <c r="AA121" s="225">
        <f t="shared" si="145"/>
        <v>31060</v>
      </c>
      <c r="AB121" s="225">
        <f t="shared" si="146"/>
        <v>27610</v>
      </c>
      <c r="AC121" s="252">
        <f t="shared" si="147"/>
        <v>622540</v>
      </c>
    </row>
    <row r="122" spans="1:29" s="204" customFormat="1" ht="16.5" hidden="1" customHeight="1">
      <c r="A122" s="1240"/>
      <c r="B122" s="211"/>
      <c r="C122" s="212"/>
      <c r="D122" s="212"/>
      <c r="E122" s="219" t="s">
        <v>281</v>
      </c>
      <c r="F122" s="221">
        <f t="shared" si="154"/>
        <v>2947000</v>
      </c>
      <c r="G122" s="221"/>
      <c r="H122" s="221"/>
      <c r="I122" s="222"/>
      <c r="J122" s="221"/>
      <c r="K122" s="221"/>
      <c r="L122" s="221"/>
      <c r="M122" s="221"/>
      <c r="N122" s="221"/>
      <c r="O122" s="221">
        <f t="shared" si="153"/>
        <v>60000</v>
      </c>
      <c r="P122" s="221"/>
      <c r="Q122" s="221">
        <f t="shared" si="148"/>
        <v>21150</v>
      </c>
      <c r="R122" s="221">
        <f>Q122*16*2</f>
        <v>676800</v>
      </c>
      <c r="S122" s="221">
        <f t="shared" si="150"/>
        <v>105750</v>
      </c>
      <c r="T122" s="222"/>
      <c r="U122" s="214">
        <f t="shared" si="141"/>
        <v>3789550</v>
      </c>
      <c r="V122" s="250"/>
      <c r="W122" s="224">
        <f t="shared" si="151"/>
        <v>315800</v>
      </c>
      <c r="X122" s="225">
        <f t="shared" si="142"/>
        <v>170530</v>
      </c>
      <c r="Y122" s="225">
        <f t="shared" si="107"/>
        <v>122410</v>
      </c>
      <c r="Z122" s="225">
        <f t="shared" si="108"/>
        <v>10420</v>
      </c>
      <c r="AA122" s="225">
        <f t="shared" si="145"/>
        <v>34110</v>
      </c>
      <c r="AB122" s="225">
        <f t="shared" si="146"/>
        <v>30320</v>
      </c>
      <c r="AC122" s="252">
        <f t="shared" si="147"/>
        <v>683590</v>
      </c>
    </row>
    <row r="123" spans="1:29" s="204" customFormat="1" ht="17.25" customHeight="1">
      <c r="A123" s="1240">
        <v>10</v>
      </c>
      <c r="B123" s="211" t="s">
        <v>799</v>
      </c>
      <c r="C123" s="212" t="s">
        <v>899</v>
      </c>
      <c r="D123" s="212">
        <v>1</v>
      </c>
      <c r="E123" s="213" t="s">
        <v>429</v>
      </c>
      <c r="F123" s="214">
        <f t="shared" ref="F123:N123" si="156">SUM(F124:F135)</f>
        <v>37335000</v>
      </c>
      <c r="G123" s="214">
        <f t="shared" si="156"/>
        <v>0</v>
      </c>
      <c r="H123" s="214">
        <f t="shared" si="156"/>
        <v>0</v>
      </c>
      <c r="I123" s="214">
        <f t="shared" si="156"/>
        <v>0</v>
      </c>
      <c r="J123" s="214">
        <f t="shared" si="156"/>
        <v>0</v>
      </c>
      <c r="K123" s="214">
        <f t="shared" si="156"/>
        <v>0</v>
      </c>
      <c r="L123" s="214">
        <f t="shared" si="156"/>
        <v>0</v>
      </c>
      <c r="M123" s="214">
        <f t="shared" si="156"/>
        <v>3712800</v>
      </c>
      <c r="N123" s="214">
        <f t="shared" si="156"/>
        <v>0</v>
      </c>
      <c r="O123" s="214">
        <f>SUM(O124:O135)</f>
        <v>480000</v>
      </c>
      <c r="P123" s="214">
        <f t="shared" ref="P123" si="157">SUM(P124:P135)</f>
        <v>0</v>
      </c>
      <c r="Q123" s="214"/>
      <c r="R123" s="214">
        <f t="shared" ref="R123" si="158">SUM(R124:R135)</f>
        <v>5359800</v>
      </c>
      <c r="S123" s="214">
        <f>SUM(S124:S135)</f>
        <v>1339950</v>
      </c>
      <c r="T123" s="214">
        <f t="shared" ref="T123:U123" si="159">SUM(T124:T135)</f>
        <v>0</v>
      </c>
      <c r="U123" s="214">
        <f t="shared" si="159"/>
        <v>48227550</v>
      </c>
      <c r="V123" s="250"/>
      <c r="W123" s="217">
        <f t="shared" ref="W123:AB123" si="160">SUM(W124:W135)</f>
        <v>4018990</v>
      </c>
      <c r="X123" s="214">
        <f t="shared" si="160"/>
        <v>2170250</v>
      </c>
      <c r="Y123" s="214">
        <f t="shared" si="160"/>
        <v>1557820</v>
      </c>
      <c r="Z123" s="214">
        <f t="shared" si="160"/>
        <v>132660</v>
      </c>
      <c r="AA123" s="214">
        <f t="shared" si="160"/>
        <v>434020</v>
      </c>
      <c r="AB123" s="214">
        <f t="shared" si="160"/>
        <v>385800</v>
      </c>
      <c r="AC123" s="266">
        <f>SUM(AC124:AC135)</f>
        <v>8699540</v>
      </c>
    </row>
    <row r="124" spans="1:29" s="204" customFormat="1" ht="16.5" hidden="1" customHeight="1">
      <c r="A124" s="1240"/>
      <c r="B124" s="211" t="s">
        <v>893</v>
      </c>
      <c r="C124" s="310">
        <v>14</v>
      </c>
      <c r="D124" s="310"/>
      <c r="E124" s="311" t="s">
        <v>273</v>
      </c>
      <c r="F124" s="312">
        <v>3094000</v>
      </c>
      <c r="G124" s="221"/>
      <c r="H124" s="220"/>
      <c r="I124" s="222"/>
      <c r="J124" s="221"/>
      <c r="K124" s="221"/>
      <c r="L124" s="221"/>
      <c r="M124" s="221" t="s">
        <v>60</v>
      </c>
      <c r="N124" s="221"/>
      <c r="O124" s="221">
        <v>40000</v>
      </c>
      <c r="P124" s="221"/>
      <c r="Q124" s="221"/>
      <c r="R124" s="221"/>
      <c r="S124" s="221"/>
      <c r="T124" s="222"/>
      <c r="U124" s="214">
        <f t="shared" ref="U124:U135" si="161">SUM(F124,M124,O124,R124,T124,S124)</f>
        <v>3134000</v>
      </c>
      <c r="V124" s="250"/>
      <c r="W124" s="224">
        <f>ROUNDUP(U124*1/12,-1)</f>
        <v>261170</v>
      </c>
      <c r="X124" s="225">
        <f t="shared" ref="X124:X135" si="162">ROUND(U124*4.5%,-1)</f>
        <v>141030</v>
      </c>
      <c r="Y124" s="225">
        <f t="shared" ref="Y124" si="163">ROUNDUP((U124-L124)*3.23%,-1)</f>
        <v>101230</v>
      </c>
      <c r="Z124" s="225">
        <f t="shared" ref="Z124" si="164">ROUNDUP(Y124*8.51%,-1)</f>
        <v>8620</v>
      </c>
      <c r="AA124" s="225">
        <f t="shared" ref="AA124:AA135" si="165">ROUND(U124*0.9%,-1)</f>
        <v>28210</v>
      </c>
      <c r="AB124" s="225">
        <f t="shared" ref="AB124:AB135" si="166">ROUND(U124*0.8%,-1)</f>
        <v>25070</v>
      </c>
      <c r="AC124" s="252">
        <f t="shared" ref="AC124:AC135" si="167">SUM(W124:AB124)</f>
        <v>565330</v>
      </c>
    </row>
    <row r="125" spans="1:29" s="204" customFormat="1" ht="16.5" hidden="1" customHeight="1">
      <c r="A125" s="1240"/>
      <c r="B125" s="211"/>
      <c r="C125" s="212"/>
      <c r="D125" s="212"/>
      <c r="E125" s="219" t="s">
        <v>274</v>
      </c>
      <c r="F125" s="221">
        <f>F124</f>
        <v>3094000</v>
      </c>
      <c r="G125" s="221"/>
      <c r="H125" s="221"/>
      <c r="I125" s="222"/>
      <c r="J125" s="221"/>
      <c r="K125" s="221"/>
      <c r="L125" s="221"/>
      <c r="M125" s="221">
        <f>F125*60%</f>
        <v>1856400</v>
      </c>
      <c r="N125" s="221"/>
      <c r="O125" s="221">
        <f t="shared" ref="O125:O127" si="168">O124</f>
        <v>40000</v>
      </c>
      <c r="P125" s="221"/>
      <c r="Q125" s="221">
        <f t="shared" ref="Q125:Q135" si="169">ROUND((F124+T124)*1/209*1.5,-1)</f>
        <v>22210</v>
      </c>
      <c r="R125" s="221">
        <f>Q125*20</f>
        <v>444200</v>
      </c>
      <c r="S125" s="221">
        <f>Q125*5</f>
        <v>111050</v>
      </c>
      <c r="T125" s="222"/>
      <c r="U125" s="214">
        <f t="shared" si="161"/>
        <v>5545650</v>
      </c>
      <c r="V125" s="250"/>
      <c r="W125" s="224">
        <f>ROUNDUP((T125+U125)*1/12,-1)</f>
        <v>462140</v>
      </c>
      <c r="X125" s="225">
        <f t="shared" si="162"/>
        <v>249550</v>
      </c>
      <c r="Y125" s="225">
        <f t="shared" si="107"/>
        <v>179130</v>
      </c>
      <c r="Z125" s="225">
        <f t="shared" si="108"/>
        <v>15250</v>
      </c>
      <c r="AA125" s="225">
        <f t="shared" si="165"/>
        <v>49910</v>
      </c>
      <c r="AB125" s="225">
        <f t="shared" si="166"/>
        <v>44370</v>
      </c>
      <c r="AC125" s="252">
        <f t="shared" si="167"/>
        <v>1000350</v>
      </c>
    </row>
    <row r="126" spans="1:29" s="204" customFormat="1" ht="16.5" hidden="1" customHeight="1">
      <c r="A126" s="1240"/>
      <c r="B126" s="211"/>
      <c r="C126" s="212"/>
      <c r="D126" s="212"/>
      <c r="E126" s="219" t="s">
        <v>275</v>
      </c>
      <c r="F126" s="221">
        <f>F124</f>
        <v>3094000</v>
      </c>
      <c r="G126" s="221"/>
      <c r="H126" s="221"/>
      <c r="I126" s="222"/>
      <c r="J126" s="221"/>
      <c r="K126" s="221"/>
      <c r="L126" s="221"/>
      <c r="M126" s="221"/>
      <c r="N126" s="221"/>
      <c r="O126" s="221">
        <f t="shared" si="168"/>
        <v>40000</v>
      </c>
      <c r="P126" s="221"/>
      <c r="Q126" s="221">
        <f t="shared" si="169"/>
        <v>22210</v>
      </c>
      <c r="R126" s="221">
        <f t="shared" ref="R126:R134" si="170">Q126*20</f>
        <v>444200</v>
      </c>
      <c r="S126" s="221">
        <f t="shared" ref="S126:S134" si="171">Q126*5</f>
        <v>111050</v>
      </c>
      <c r="T126" s="222"/>
      <c r="U126" s="214">
        <f t="shared" si="161"/>
        <v>3689250</v>
      </c>
      <c r="V126" s="250"/>
      <c r="W126" s="224">
        <f t="shared" ref="W126:W135" si="172">ROUNDUP(U126*1/12,-1)</f>
        <v>307440</v>
      </c>
      <c r="X126" s="225">
        <f t="shared" si="162"/>
        <v>166020</v>
      </c>
      <c r="Y126" s="225">
        <f t="shared" si="107"/>
        <v>119170</v>
      </c>
      <c r="Z126" s="225">
        <f t="shared" si="108"/>
        <v>10150</v>
      </c>
      <c r="AA126" s="225">
        <f t="shared" si="165"/>
        <v>33200</v>
      </c>
      <c r="AB126" s="225">
        <f t="shared" si="166"/>
        <v>29510</v>
      </c>
      <c r="AC126" s="252">
        <f t="shared" si="167"/>
        <v>665490</v>
      </c>
    </row>
    <row r="127" spans="1:29" s="204" customFormat="1" ht="16.5" hidden="1" customHeight="1">
      <c r="A127" s="1240"/>
      <c r="B127" s="211"/>
      <c r="C127" s="212"/>
      <c r="D127" s="212"/>
      <c r="E127" s="219" t="s">
        <v>276</v>
      </c>
      <c r="F127" s="221">
        <f>F124</f>
        <v>3094000</v>
      </c>
      <c r="G127" s="221"/>
      <c r="H127" s="221"/>
      <c r="I127" s="222"/>
      <c r="J127" s="221"/>
      <c r="K127" s="221"/>
      <c r="L127" s="221"/>
      <c r="M127" s="221"/>
      <c r="N127" s="221"/>
      <c r="O127" s="221">
        <f t="shared" si="168"/>
        <v>40000</v>
      </c>
      <c r="P127" s="221"/>
      <c r="Q127" s="221">
        <f t="shared" si="169"/>
        <v>22210</v>
      </c>
      <c r="R127" s="221">
        <f t="shared" si="170"/>
        <v>444200</v>
      </c>
      <c r="S127" s="221">
        <f t="shared" si="171"/>
        <v>111050</v>
      </c>
      <c r="T127" s="222"/>
      <c r="U127" s="214">
        <f t="shared" si="161"/>
        <v>3689250</v>
      </c>
      <c r="V127" s="250"/>
      <c r="W127" s="224">
        <f t="shared" si="172"/>
        <v>307440</v>
      </c>
      <c r="X127" s="225">
        <f t="shared" si="162"/>
        <v>166020</v>
      </c>
      <c r="Y127" s="225">
        <f t="shared" si="107"/>
        <v>119170</v>
      </c>
      <c r="Z127" s="225">
        <f t="shared" si="108"/>
        <v>10150</v>
      </c>
      <c r="AA127" s="225">
        <f t="shared" si="165"/>
        <v>33200</v>
      </c>
      <c r="AB127" s="225">
        <f t="shared" si="166"/>
        <v>29510</v>
      </c>
      <c r="AC127" s="252">
        <f t="shared" si="167"/>
        <v>665490</v>
      </c>
    </row>
    <row r="128" spans="1:29" s="204" customFormat="1" ht="16.5" hidden="1" customHeight="1">
      <c r="A128" s="1240"/>
      <c r="B128" s="211"/>
      <c r="C128" s="212"/>
      <c r="D128" s="212"/>
      <c r="E128" s="219" t="s">
        <v>277</v>
      </c>
      <c r="F128" s="221">
        <f>F124</f>
        <v>3094000</v>
      </c>
      <c r="G128" s="221"/>
      <c r="H128" s="221"/>
      <c r="I128" s="222"/>
      <c r="J128" s="221"/>
      <c r="K128" s="221"/>
      <c r="L128" s="221"/>
      <c r="M128" s="221"/>
      <c r="N128" s="221"/>
      <c r="O128" s="221">
        <v>40000</v>
      </c>
      <c r="P128" s="221"/>
      <c r="Q128" s="221">
        <f t="shared" si="169"/>
        <v>22210</v>
      </c>
      <c r="R128" s="221">
        <f t="shared" si="170"/>
        <v>444200</v>
      </c>
      <c r="S128" s="221">
        <f t="shared" si="171"/>
        <v>111050</v>
      </c>
      <c r="T128" s="222"/>
      <c r="U128" s="214">
        <f t="shared" si="161"/>
        <v>3689250</v>
      </c>
      <c r="V128" s="250"/>
      <c r="W128" s="224">
        <f t="shared" si="172"/>
        <v>307440</v>
      </c>
      <c r="X128" s="225">
        <f t="shared" si="162"/>
        <v>166020</v>
      </c>
      <c r="Y128" s="225">
        <f t="shared" si="107"/>
        <v>119170</v>
      </c>
      <c r="Z128" s="225">
        <f t="shared" si="108"/>
        <v>10150</v>
      </c>
      <c r="AA128" s="225">
        <f t="shared" si="165"/>
        <v>33200</v>
      </c>
      <c r="AB128" s="225">
        <f t="shared" si="166"/>
        <v>29510</v>
      </c>
      <c r="AC128" s="252">
        <f t="shared" si="167"/>
        <v>665490</v>
      </c>
    </row>
    <row r="129" spans="1:29" s="204" customFormat="1" ht="16.5" hidden="1" customHeight="1">
      <c r="A129" s="1240"/>
      <c r="B129" s="211"/>
      <c r="C129" s="212"/>
      <c r="D129" s="212"/>
      <c r="E129" s="219" t="s">
        <v>278</v>
      </c>
      <c r="F129" s="221">
        <f>F124</f>
        <v>3094000</v>
      </c>
      <c r="G129" s="221"/>
      <c r="H129" s="221"/>
      <c r="I129" s="222"/>
      <c r="J129" s="221"/>
      <c r="K129" s="221"/>
      <c r="L129" s="221"/>
      <c r="M129" s="221"/>
      <c r="N129" s="221"/>
      <c r="O129" s="221">
        <v>40000</v>
      </c>
      <c r="P129" s="221"/>
      <c r="Q129" s="221">
        <f t="shared" si="169"/>
        <v>22210</v>
      </c>
      <c r="R129" s="221">
        <f t="shared" si="170"/>
        <v>444200</v>
      </c>
      <c r="S129" s="221">
        <f t="shared" si="171"/>
        <v>111050</v>
      </c>
      <c r="T129" s="222"/>
      <c r="U129" s="214">
        <f t="shared" si="161"/>
        <v>3689250</v>
      </c>
      <c r="V129" s="250"/>
      <c r="W129" s="224">
        <f t="shared" si="172"/>
        <v>307440</v>
      </c>
      <c r="X129" s="225">
        <f t="shared" si="162"/>
        <v>166020</v>
      </c>
      <c r="Y129" s="225">
        <f t="shared" si="107"/>
        <v>119170</v>
      </c>
      <c r="Z129" s="225">
        <f t="shared" si="108"/>
        <v>10150</v>
      </c>
      <c r="AA129" s="225">
        <f t="shared" si="165"/>
        <v>33200</v>
      </c>
      <c r="AB129" s="225">
        <f t="shared" si="166"/>
        <v>29510</v>
      </c>
      <c r="AC129" s="252">
        <f t="shared" si="167"/>
        <v>665490</v>
      </c>
    </row>
    <row r="130" spans="1:29" s="204" customFormat="1" ht="16.5" hidden="1" customHeight="1">
      <c r="A130" s="1240"/>
      <c r="B130" s="211"/>
      <c r="C130" s="212"/>
      <c r="D130" s="212"/>
      <c r="E130" s="219" t="s">
        <v>279</v>
      </c>
      <c r="F130" s="222">
        <f>F124</f>
        <v>3094000</v>
      </c>
      <c r="G130" s="221"/>
      <c r="H130" s="220"/>
      <c r="I130" s="222"/>
      <c r="J130" s="221"/>
      <c r="K130" s="221"/>
      <c r="L130" s="221"/>
      <c r="M130" s="221"/>
      <c r="N130" s="221"/>
      <c r="O130" s="221">
        <f t="shared" ref="O130:O135" si="173">O129</f>
        <v>40000</v>
      </c>
      <c r="P130" s="221"/>
      <c r="Q130" s="221">
        <f t="shared" si="169"/>
        <v>22210</v>
      </c>
      <c r="R130" s="221">
        <f t="shared" si="170"/>
        <v>444200</v>
      </c>
      <c r="S130" s="221">
        <f t="shared" si="171"/>
        <v>111050</v>
      </c>
      <c r="T130" s="222"/>
      <c r="U130" s="214">
        <f t="shared" si="161"/>
        <v>3689250</v>
      </c>
      <c r="V130" s="250"/>
      <c r="W130" s="224">
        <f t="shared" si="172"/>
        <v>307440</v>
      </c>
      <c r="X130" s="225">
        <f t="shared" si="162"/>
        <v>166020</v>
      </c>
      <c r="Y130" s="225">
        <f t="shared" si="107"/>
        <v>119170</v>
      </c>
      <c r="Z130" s="225">
        <f t="shared" si="108"/>
        <v>10150</v>
      </c>
      <c r="AA130" s="225">
        <f t="shared" si="165"/>
        <v>33200</v>
      </c>
      <c r="AB130" s="225">
        <f t="shared" si="166"/>
        <v>29510</v>
      </c>
      <c r="AC130" s="252">
        <f t="shared" si="167"/>
        <v>665490</v>
      </c>
    </row>
    <row r="131" spans="1:29" s="204" customFormat="1" ht="16.5" hidden="1" customHeight="1">
      <c r="A131" s="1240"/>
      <c r="B131" s="211"/>
      <c r="C131" s="212"/>
      <c r="D131" s="212"/>
      <c r="E131" s="219" t="s">
        <v>280</v>
      </c>
      <c r="F131" s="221">
        <f>F124</f>
        <v>3094000</v>
      </c>
      <c r="G131" s="221"/>
      <c r="H131" s="221"/>
      <c r="I131" s="222"/>
      <c r="J131" s="221"/>
      <c r="K131" s="221"/>
      <c r="L131" s="221"/>
      <c r="M131" s="221"/>
      <c r="N131" s="221"/>
      <c r="O131" s="221">
        <f t="shared" si="173"/>
        <v>40000</v>
      </c>
      <c r="P131" s="221"/>
      <c r="Q131" s="221">
        <f t="shared" si="169"/>
        <v>22210</v>
      </c>
      <c r="R131" s="221">
        <f t="shared" si="170"/>
        <v>444200</v>
      </c>
      <c r="S131" s="221">
        <f t="shared" si="171"/>
        <v>111050</v>
      </c>
      <c r="T131" s="222"/>
      <c r="U131" s="214">
        <f t="shared" si="161"/>
        <v>3689250</v>
      </c>
      <c r="V131" s="250"/>
      <c r="W131" s="224">
        <f t="shared" si="172"/>
        <v>307440</v>
      </c>
      <c r="X131" s="225">
        <f t="shared" si="162"/>
        <v>166020</v>
      </c>
      <c r="Y131" s="225">
        <f t="shared" si="107"/>
        <v>119170</v>
      </c>
      <c r="Z131" s="225">
        <f t="shared" si="108"/>
        <v>10150</v>
      </c>
      <c r="AA131" s="225">
        <f t="shared" si="165"/>
        <v>33200</v>
      </c>
      <c r="AB131" s="225">
        <f t="shared" si="166"/>
        <v>29510</v>
      </c>
      <c r="AC131" s="252">
        <f t="shared" si="167"/>
        <v>665490</v>
      </c>
    </row>
    <row r="132" spans="1:29" s="204" customFormat="1" ht="16.5" hidden="1" customHeight="1">
      <c r="A132" s="1240"/>
      <c r="B132" s="211"/>
      <c r="C132" s="212"/>
      <c r="D132" s="212"/>
      <c r="E132" s="219" t="s">
        <v>54</v>
      </c>
      <c r="F132" s="221">
        <f>F124</f>
        <v>3094000</v>
      </c>
      <c r="G132" s="221"/>
      <c r="H132" s="221"/>
      <c r="I132" s="222"/>
      <c r="J132" s="221"/>
      <c r="K132" s="221"/>
      <c r="L132" s="221"/>
      <c r="M132" s="221">
        <f t="shared" ref="M132" si="174">F132*60%</f>
        <v>1856400</v>
      </c>
      <c r="N132" s="221"/>
      <c r="O132" s="221">
        <f t="shared" si="173"/>
        <v>40000</v>
      </c>
      <c r="P132" s="221"/>
      <c r="Q132" s="221">
        <f t="shared" si="169"/>
        <v>22210</v>
      </c>
      <c r="R132" s="221">
        <f t="shared" si="170"/>
        <v>444200</v>
      </c>
      <c r="S132" s="221">
        <f t="shared" si="171"/>
        <v>111050</v>
      </c>
      <c r="T132" s="222"/>
      <c r="U132" s="214">
        <f t="shared" si="161"/>
        <v>5545650</v>
      </c>
      <c r="V132" s="250"/>
      <c r="W132" s="224">
        <f t="shared" si="172"/>
        <v>462140</v>
      </c>
      <c r="X132" s="225">
        <f t="shared" si="162"/>
        <v>249550</v>
      </c>
      <c r="Y132" s="225">
        <f t="shared" si="107"/>
        <v>179130</v>
      </c>
      <c r="Z132" s="225">
        <f t="shared" si="108"/>
        <v>15250</v>
      </c>
      <c r="AA132" s="225">
        <f t="shared" si="165"/>
        <v>49910</v>
      </c>
      <c r="AB132" s="225">
        <f t="shared" si="166"/>
        <v>44370</v>
      </c>
      <c r="AC132" s="252">
        <f t="shared" si="167"/>
        <v>1000350</v>
      </c>
    </row>
    <row r="133" spans="1:29" s="204" customFormat="1" ht="16.5" hidden="1" customHeight="1">
      <c r="A133" s="1240"/>
      <c r="B133" s="211"/>
      <c r="C133" s="310">
        <f>C124+1</f>
        <v>15</v>
      </c>
      <c r="D133" s="310"/>
      <c r="E133" s="311" t="s">
        <v>55</v>
      </c>
      <c r="F133" s="312">
        <v>3163000</v>
      </c>
      <c r="G133" s="221"/>
      <c r="H133" s="222"/>
      <c r="I133" s="222"/>
      <c r="J133" s="221"/>
      <c r="K133" s="221"/>
      <c r="L133" s="221"/>
      <c r="M133" s="221"/>
      <c r="N133" s="221"/>
      <c r="O133" s="221">
        <f t="shared" si="173"/>
        <v>40000</v>
      </c>
      <c r="P133" s="221"/>
      <c r="Q133" s="221">
        <f t="shared" si="169"/>
        <v>22210</v>
      </c>
      <c r="R133" s="221">
        <f t="shared" si="170"/>
        <v>444200</v>
      </c>
      <c r="S133" s="221">
        <f t="shared" si="171"/>
        <v>111050</v>
      </c>
      <c r="T133" s="222"/>
      <c r="U133" s="214">
        <f t="shared" si="161"/>
        <v>3758250</v>
      </c>
      <c r="V133" s="250"/>
      <c r="W133" s="224">
        <f t="shared" si="172"/>
        <v>313190</v>
      </c>
      <c r="X133" s="225">
        <f t="shared" si="162"/>
        <v>169120</v>
      </c>
      <c r="Y133" s="225">
        <f t="shared" si="107"/>
        <v>121400</v>
      </c>
      <c r="Z133" s="225">
        <f t="shared" si="108"/>
        <v>10340</v>
      </c>
      <c r="AA133" s="225">
        <f t="shared" si="165"/>
        <v>33820</v>
      </c>
      <c r="AB133" s="225">
        <f t="shared" si="166"/>
        <v>30070</v>
      </c>
      <c r="AC133" s="252">
        <f t="shared" si="167"/>
        <v>677940</v>
      </c>
    </row>
    <row r="134" spans="1:29" s="204" customFormat="1" ht="16.5" hidden="1" customHeight="1">
      <c r="A134" s="1240"/>
      <c r="B134" s="211"/>
      <c r="C134" s="212"/>
      <c r="D134" s="212"/>
      <c r="E134" s="219" t="s">
        <v>56</v>
      </c>
      <c r="F134" s="221">
        <f>F133</f>
        <v>3163000</v>
      </c>
      <c r="G134" s="221"/>
      <c r="H134" s="221"/>
      <c r="I134" s="222"/>
      <c r="J134" s="221"/>
      <c r="K134" s="221"/>
      <c r="L134" s="221"/>
      <c r="M134" s="221"/>
      <c r="N134" s="221"/>
      <c r="O134" s="221">
        <f t="shared" si="173"/>
        <v>40000</v>
      </c>
      <c r="P134" s="221"/>
      <c r="Q134" s="221">
        <f t="shared" si="169"/>
        <v>22700</v>
      </c>
      <c r="R134" s="221">
        <f t="shared" si="170"/>
        <v>454000</v>
      </c>
      <c r="S134" s="221">
        <f t="shared" si="171"/>
        <v>113500</v>
      </c>
      <c r="T134" s="222"/>
      <c r="U134" s="214">
        <f t="shared" si="161"/>
        <v>3770500</v>
      </c>
      <c r="V134" s="250"/>
      <c r="W134" s="224">
        <f t="shared" si="172"/>
        <v>314210</v>
      </c>
      <c r="X134" s="225">
        <f t="shared" si="162"/>
        <v>169670</v>
      </c>
      <c r="Y134" s="225">
        <f t="shared" si="107"/>
        <v>121790</v>
      </c>
      <c r="Z134" s="225">
        <f t="shared" si="108"/>
        <v>10370</v>
      </c>
      <c r="AA134" s="225">
        <f t="shared" si="165"/>
        <v>33930</v>
      </c>
      <c r="AB134" s="225">
        <f t="shared" si="166"/>
        <v>30160</v>
      </c>
      <c r="AC134" s="252">
        <f t="shared" si="167"/>
        <v>680130</v>
      </c>
    </row>
    <row r="135" spans="1:29" s="204" customFormat="1" ht="16.5" hidden="1" customHeight="1">
      <c r="A135" s="1240"/>
      <c r="B135" s="211"/>
      <c r="C135" s="212"/>
      <c r="D135" s="212"/>
      <c r="E135" s="219" t="s">
        <v>281</v>
      </c>
      <c r="F135" s="221">
        <f>F133</f>
        <v>3163000</v>
      </c>
      <c r="G135" s="221"/>
      <c r="H135" s="221"/>
      <c r="I135" s="222"/>
      <c r="J135" s="221"/>
      <c r="K135" s="221"/>
      <c r="L135" s="221"/>
      <c r="M135" s="221"/>
      <c r="N135" s="221"/>
      <c r="O135" s="221">
        <f t="shared" si="173"/>
        <v>40000</v>
      </c>
      <c r="P135" s="221"/>
      <c r="Q135" s="221">
        <f t="shared" si="169"/>
        <v>22700</v>
      </c>
      <c r="R135" s="221">
        <f>Q135*20*2</f>
        <v>908000</v>
      </c>
      <c r="S135" s="221">
        <f>(Q135*5)*2</f>
        <v>227000</v>
      </c>
      <c r="T135" s="222"/>
      <c r="U135" s="214">
        <f t="shared" si="161"/>
        <v>4338000</v>
      </c>
      <c r="V135" s="250"/>
      <c r="W135" s="224">
        <f t="shared" si="172"/>
        <v>361500</v>
      </c>
      <c r="X135" s="225">
        <f t="shared" si="162"/>
        <v>195210</v>
      </c>
      <c r="Y135" s="225">
        <f t="shared" si="107"/>
        <v>140120</v>
      </c>
      <c r="Z135" s="225">
        <f t="shared" si="108"/>
        <v>11930</v>
      </c>
      <c r="AA135" s="225">
        <f t="shared" si="165"/>
        <v>39040</v>
      </c>
      <c r="AB135" s="225">
        <f t="shared" si="166"/>
        <v>34700</v>
      </c>
      <c r="AC135" s="252">
        <f t="shared" si="167"/>
        <v>782500</v>
      </c>
    </row>
    <row r="136" spans="1:29" s="204" customFormat="1" ht="16.5" customHeight="1">
      <c r="A136" s="1240">
        <v>11</v>
      </c>
      <c r="B136" s="211" t="s">
        <v>920</v>
      </c>
      <c r="C136" s="212" t="s">
        <v>714</v>
      </c>
      <c r="D136" s="212">
        <v>1</v>
      </c>
      <c r="E136" s="213" t="s">
        <v>86</v>
      </c>
      <c r="F136" s="214">
        <f t="shared" ref="F136:N136" si="175">SUM(F137:F148)</f>
        <v>32420000</v>
      </c>
      <c r="G136" s="214">
        <f t="shared" si="175"/>
        <v>0</v>
      </c>
      <c r="H136" s="214">
        <f t="shared" si="175"/>
        <v>0</v>
      </c>
      <c r="I136" s="214">
        <f t="shared" si="175"/>
        <v>0</v>
      </c>
      <c r="J136" s="214">
        <f t="shared" si="175"/>
        <v>0</v>
      </c>
      <c r="K136" s="214">
        <f t="shared" si="175"/>
        <v>0</v>
      </c>
      <c r="L136" s="214">
        <f t="shared" si="175"/>
        <v>0</v>
      </c>
      <c r="M136" s="214">
        <f t="shared" si="175"/>
        <v>3256200</v>
      </c>
      <c r="N136" s="214">
        <f t="shared" si="175"/>
        <v>0</v>
      </c>
      <c r="O136" s="214">
        <f>SUM(O137:O148)</f>
        <v>720000</v>
      </c>
      <c r="P136" s="214">
        <f t="shared" ref="P136" si="176">SUM(P137:P148)</f>
        <v>0</v>
      </c>
      <c r="Q136" s="214"/>
      <c r="R136" s="214">
        <f t="shared" ref="R136" si="177">SUM(R137:R148)</f>
        <v>3722880</v>
      </c>
      <c r="S136" s="214">
        <f>SUM(S137:S148)</f>
        <v>1163400</v>
      </c>
      <c r="T136" s="214">
        <f t="shared" ref="T136:U136" si="178">SUM(T137:T148)</f>
        <v>0</v>
      </c>
      <c r="U136" s="214">
        <f t="shared" si="178"/>
        <v>41282480</v>
      </c>
      <c r="V136" s="250"/>
      <c r="W136" s="217">
        <f t="shared" ref="W136:AB136" si="179">SUM(W137:W148)</f>
        <v>3440290</v>
      </c>
      <c r="X136" s="214">
        <f t="shared" si="179"/>
        <v>1857690</v>
      </c>
      <c r="Y136" s="214">
        <f t="shared" si="179"/>
        <v>1333490</v>
      </c>
      <c r="Z136" s="214">
        <f t="shared" si="179"/>
        <v>113540</v>
      </c>
      <c r="AA136" s="214">
        <f t="shared" si="179"/>
        <v>371520</v>
      </c>
      <c r="AB136" s="214">
        <f t="shared" si="179"/>
        <v>330250</v>
      </c>
      <c r="AC136" s="266">
        <f>SUM(AC137:AC148)</f>
        <v>7446780</v>
      </c>
    </row>
    <row r="137" spans="1:29" s="204" customFormat="1" ht="16.5" hidden="1" customHeight="1">
      <c r="A137" s="1240"/>
      <c r="B137" s="211" t="s">
        <v>436</v>
      </c>
      <c r="C137" s="310">
        <v>12</v>
      </c>
      <c r="D137" s="310"/>
      <c r="E137" s="311" t="s">
        <v>273</v>
      </c>
      <c r="F137" s="312">
        <v>2678000</v>
      </c>
      <c r="G137" s="221"/>
      <c r="H137" s="220"/>
      <c r="I137" s="222"/>
      <c r="J137" s="221"/>
      <c r="K137" s="221"/>
      <c r="L137" s="221"/>
      <c r="M137" s="221" t="s">
        <v>60</v>
      </c>
      <c r="N137" s="221"/>
      <c r="O137" s="221">
        <v>60000</v>
      </c>
      <c r="P137" s="221"/>
      <c r="Q137" s="221"/>
      <c r="R137" s="221"/>
      <c r="S137" s="221"/>
      <c r="T137" s="222"/>
      <c r="U137" s="214">
        <f t="shared" ref="U137:U148" si="180">SUM(F137,M137,O137,R137,T137,S137)</f>
        <v>2738000</v>
      </c>
      <c r="V137" s="250"/>
      <c r="W137" s="224">
        <f>ROUNDUP(U137*1/12,-1)</f>
        <v>228170</v>
      </c>
      <c r="X137" s="225">
        <f t="shared" ref="X137:X148" si="181">ROUND(U137*4.5%,-1)</f>
        <v>123210</v>
      </c>
      <c r="Y137" s="225">
        <f t="shared" ref="Y137" si="182">ROUNDUP((U137-L137)*3.23%,-1)</f>
        <v>88440</v>
      </c>
      <c r="Z137" s="225">
        <f t="shared" ref="Z137" si="183">ROUNDUP(Y137*8.51%,-1)</f>
        <v>7530</v>
      </c>
      <c r="AA137" s="225">
        <f t="shared" ref="AA137:AA148" si="184">ROUND(U137*0.9%,-1)</f>
        <v>24640</v>
      </c>
      <c r="AB137" s="225">
        <f t="shared" ref="AB137:AB148" si="185">ROUND(U137*0.8%,-1)</f>
        <v>21900</v>
      </c>
      <c r="AC137" s="252">
        <f t="shared" ref="AC137:AC148" si="186">SUM(W137:AB137)</f>
        <v>493890</v>
      </c>
    </row>
    <row r="138" spans="1:29" s="204" customFormat="1" ht="16.5" hidden="1" customHeight="1">
      <c r="A138" s="1240"/>
      <c r="B138" s="211"/>
      <c r="C138" s="212"/>
      <c r="D138" s="212"/>
      <c r="E138" s="219" t="s">
        <v>274</v>
      </c>
      <c r="F138" s="221">
        <f>F137</f>
        <v>2678000</v>
      </c>
      <c r="G138" s="221"/>
      <c r="H138" s="221"/>
      <c r="I138" s="222"/>
      <c r="J138" s="221"/>
      <c r="K138" s="221"/>
      <c r="L138" s="221"/>
      <c r="M138" s="221">
        <f>F138*60%</f>
        <v>1606800</v>
      </c>
      <c r="N138" s="221"/>
      <c r="O138" s="221">
        <f>O137</f>
        <v>60000</v>
      </c>
      <c r="P138" s="221"/>
      <c r="Q138" s="221">
        <f t="shared" ref="Q138:Q148" si="187">ROUND((F137+T137)*1/209*1.5,-1)</f>
        <v>19220</v>
      </c>
      <c r="R138" s="221">
        <f>Q138*16</f>
        <v>307520</v>
      </c>
      <c r="S138" s="221">
        <f>Q138*5</f>
        <v>96100</v>
      </c>
      <c r="T138" s="222"/>
      <c r="U138" s="214">
        <f t="shared" si="180"/>
        <v>4748420</v>
      </c>
      <c r="V138" s="250"/>
      <c r="W138" s="224">
        <f>ROUNDUP((T138+U138)*1/12,-1)</f>
        <v>395710</v>
      </c>
      <c r="X138" s="225">
        <f t="shared" si="181"/>
        <v>213680</v>
      </c>
      <c r="Y138" s="225">
        <f t="shared" si="107"/>
        <v>153380</v>
      </c>
      <c r="Z138" s="225">
        <f t="shared" si="108"/>
        <v>13060</v>
      </c>
      <c r="AA138" s="225">
        <f t="shared" si="184"/>
        <v>42740</v>
      </c>
      <c r="AB138" s="225">
        <f t="shared" si="185"/>
        <v>37990</v>
      </c>
      <c r="AC138" s="252">
        <f t="shared" si="186"/>
        <v>856560</v>
      </c>
    </row>
    <row r="139" spans="1:29" s="204" customFormat="1" ht="16.5" hidden="1" customHeight="1">
      <c r="A139" s="1240"/>
      <c r="B139" s="211"/>
      <c r="C139" s="212"/>
      <c r="D139" s="212"/>
      <c r="E139" s="219" t="s">
        <v>275</v>
      </c>
      <c r="F139" s="221">
        <f>F137</f>
        <v>2678000</v>
      </c>
      <c r="G139" s="221"/>
      <c r="H139" s="221"/>
      <c r="I139" s="222"/>
      <c r="J139" s="221"/>
      <c r="K139" s="221"/>
      <c r="L139" s="221"/>
      <c r="M139" s="221"/>
      <c r="N139" s="221"/>
      <c r="O139" s="221">
        <f t="shared" ref="O139:O148" si="188">O138</f>
        <v>60000</v>
      </c>
      <c r="P139" s="221"/>
      <c r="Q139" s="221">
        <f t="shared" si="187"/>
        <v>19220</v>
      </c>
      <c r="R139" s="221">
        <f t="shared" ref="R139:R147" si="189">Q139*16</f>
        <v>307520</v>
      </c>
      <c r="S139" s="221">
        <f t="shared" ref="S139:S147" si="190">Q139*5</f>
        <v>96100</v>
      </c>
      <c r="T139" s="222"/>
      <c r="U139" s="214">
        <f t="shared" si="180"/>
        <v>3141620</v>
      </c>
      <c r="V139" s="250"/>
      <c r="W139" s="224">
        <f t="shared" ref="W139:W148" si="191">ROUNDUP(U139*1/12,-1)</f>
        <v>261810</v>
      </c>
      <c r="X139" s="225">
        <f t="shared" si="181"/>
        <v>141370</v>
      </c>
      <c r="Y139" s="225">
        <f t="shared" si="107"/>
        <v>101480</v>
      </c>
      <c r="Z139" s="225">
        <f t="shared" si="108"/>
        <v>8640</v>
      </c>
      <c r="AA139" s="225">
        <f t="shared" si="184"/>
        <v>28270</v>
      </c>
      <c r="AB139" s="225">
        <f t="shared" si="185"/>
        <v>25130</v>
      </c>
      <c r="AC139" s="252">
        <f t="shared" si="186"/>
        <v>566700</v>
      </c>
    </row>
    <row r="140" spans="1:29" s="204" customFormat="1" ht="16.5" hidden="1" customHeight="1">
      <c r="A140" s="1240"/>
      <c r="B140" s="211"/>
      <c r="C140" s="212"/>
      <c r="D140" s="212"/>
      <c r="E140" s="219" t="s">
        <v>276</v>
      </c>
      <c r="F140" s="221">
        <f>F137</f>
        <v>2678000</v>
      </c>
      <c r="G140" s="221"/>
      <c r="H140" s="221"/>
      <c r="I140" s="222"/>
      <c r="J140" s="221"/>
      <c r="K140" s="221"/>
      <c r="L140" s="221"/>
      <c r="M140" s="221"/>
      <c r="N140" s="221"/>
      <c r="O140" s="221">
        <f t="shared" si="188"/>
        <v>60000</v>
      </c>
      <c r="P140" s="221"/>
      <c r="Q140" s="221">
        <f t="shared" si="187"/>
        <v>19220</v>
      </c>
      <c r="R140" s="221">
        <f t="shared" si="189"/>
        <v>307520</v>
      </c>
      <c r="S140" s="221">
        <f t="shared" si="190"/>
        <v>96100</v>
      </c>
      <c r="T140" s="222"/>
      <c r="U140" s="214">
        <f t="shared" si="180"/>
        <v>3141620</v>
      </c>
      <c r="V140" s="250"/>
      <c r="W140" s="224">
        <f t="shared" si="191"/>
        <v>261810</v>
      </c>
      <c r="X140" s="225">
        <f t="shared" si="181"/>
        <v>141370</v>
      </c>
      <c r="Y140" s="225">
        <f t="shared" si="107"/>
        <v>101480</v>
      </c>
      <c r="Z140" s="225">
        <f t="shared" si="108"/>
        <v>8640</v>
      </c>
      <c r="AA140" s="225">
        <f t="shared" si="184"/>
        <v>28270</v>
      </c>
      <c r="AB140" s="225">
        <f t="shared" si="185"/>
        <v>25130</v>
      </c>
      <c r="AC140" s="252">
        <f t="shared" si="186"/>
        <v>566700</v>
      </c>
    </row>
    <row r="141" spans="1:29" s="204" customFormat="1" ht="16.5" hidden="1" customHeight="1">
      <c r="A141" s="1240"/>
      <c r="B141" s="211"/>
      <c r="C141" s="212"/>
      <c r="D141" s="212"/>
      <c r="E141" s="219" t="s">
        <v>277</v>
      </c>
      <c r="F141" s="221">
        <f>F137</f>
        <v>2678000</v>
      </c>
      <c r="G141" s="221"/>
      <c r="H141" s="221"/>
      <c r="I141" s="222"/>
      <c r="J141" s="221"/>
      <c r="K141" s="221"/>
      <c r="L141" s="221"/>
      <c r="M141" s="221"/>
      <c r="N141" s="221"/>
      <c r="O141" s="221">
        <f t="shared" si="188"/>
        <v>60000</v>
      </c>
      <c r="P141" s="221"/>
      <c r="Q141" s="221">
        <f t="shared" si="187"/>
        <v>19220</v>
      </c>
      <c r="R141" s="221">
        <f t="shared" si="189"/>
        <v>307520</v>
      </c>
      <c r="S141" s="221">
        <f t="shared" si="190"/>
        <v>96100</v>
      </c>
      <c r="T141" s="222"/>
      <c r="U141" s="214">
        <f t="shared" si="180"/>
        <v>3141620</v>
      </c>
      <c r="V141" s="250"/>
      <c r="W141" s="224">
        <f t="shared" si="191"/>
        <v>261810</v>
      </c>
      <c r="X141" s="225">
        <f t="shared" si="181"/>
        <v>141370</v>
      </c>
      <c r="Y141" s="225">
        <f t="shared" si="107"/>
        <v>101480</v>
      </c>
      <c r="Z141" s="225">
        <f t="shared" si="108"/>
        <v>8640</v>
      </c>
      <c r="AA141" s="225">
        <f t="shared" si="184"/>
        <v>28270</v>
      </c>
      <c r="AB141" s="225">
        <f t="shared" si="185"/>
        <v>25130</v>
      </c>
      <c r="AC141" s="252">
        <f t="shared" si="186"/>
        <v>566700</v>
      </c>
    </row>
    <row r="142" spans="1:29" s="204" customFormat="1" ht="16.5" hidden="1" customHeight="1">
      <c r="A142" s="1240"/>
      <c r="B142" s="211"/>
      <c r="C142" s="212"/>
      <c r="D142" s="212"/>
      <c r="E142" s="219" t="s">
        <v>278</v>
      </c>
      <c r="F142" s="221">
        <f>F137</f>
        <v>2678000</v>
      </c>
      <c r="G142" s="221"/>
      <c r="H142" s="221"/>
      <c r="I142" s="222"/>
      <c r="J142" s="221"/>
      <c r="K142" s="221"/>
      <c r="L142" s="221"/>
      <c r="M142" s="221"/>
      <c r="N142" s="221"/>
      <c r="O142" s="221">
        <f t="shared" si="188"/>
        <v>60000</v>
      </c>
      <c r="P142" s="221"/>
      <c r="Q142" s="221">
        <f t="shared" si="187"/>
        <v>19220</v>
      </c>
      <c r="R142" s="221">
        <f t="shared" si="189"/>
        <v>307520</v>
      </c>
      <c r="S142" s="221">
        <f t="shared" si="190"/>
        <v>96100</v>
      </c>
      <c r="T142" s="222"/>
      <c r="U142" s="214">
        <f t="shared" si="180"/>
        <v>3141620</v>
      </c>
      <c r="V142" s="250"/>
      <c r="W142" s="224">
        <f t="shared" si="191"/>
        <v>261810</v>
      </c>
      <c r="X142" s="225">
        <f t="shared" si="181"/>
        <v>141370</v>
      </c>
      <c r="Y142" s="225">
        <f t="shared" si="107"/>
        <v>101480</v>
      </c>
      <c r="Z142" s="225">
        <f t="shared" si="108"/>
        <v>8640</v>
      </c>
      <c r="AA142" s="225">
        <f t="shared" si="184"/>
        <v>28270</v>
      </c>
      <c r="AB142" s="225">
        <f t="shared" si="185"/>
        <v>25130</v>
      </c>
      <c r="AC142" s="252">
        <f t="shared" si="186"/>
        <v>566700</v>
      </c>
    </row>
    <row r="143" spans="1:29" s="204" customFormat="1" ht="16.5" hidden="1" customHeight="1">
      <c r="A143" s="1240"/>
      <c r="B143" s="211"/>
      <c r="C143" s="212"/>
      <c r="D143" s="212"/>
      <c r="E143" s="219" t="s">
        <v>279</v>
      </c>
      <c r="F143" s="225">
        <f>F142</f>
        <v>2678000</v>
      </c>
      <c r="G143" s="221"/>
      <c r="H143" s="220"/>
      <c r="I143" s="222"/>
      <c r="J143" s="221"/>
      <c r="K143" s="221"/>
      <c r="L143" s="221"/>
      <c r="M143" s="221"/>
      <c r="N143" s="221"/>
      <c r="O143" s="221">
        <f t="shared" si="188"/>
        <v>60000</v>
      </c>
      <c r="P143" s="221"/>
      <c r="Q143" s="221">
        <f t="shared" si="187"/>
        <v>19220</v>
      </c>
      <c r="R143" s="221">
        <f t="shared" si="189"/>
        <v>307520</v>
      </c>
      <c r="S143" s="221">
        <f t="shared" si="190"/>
        <v>96100</v>
      </c>
      <c r="T143" s="222"/>
      <c r="U143" s="214">
        <f t="shared" si="180"/>
        <v>3141620</v>
      </c>
      <c r="V143" s="250"/>
      <c r="W143" s="224">
        <f t="shared" si="191"/>
        <v>261810</v>
      </c>
      <c r="X143" s="225">
        <f t="shared" si="181"/>
        <v>141370</v>
      </c>
      <c r="Y143" s="225">
        <f t="shared" si="107"/>
        <v>101480</v>
      </c>
      <c r="Z143" s="225">
        <f t="shared" si="108"/>
        <v>8640</v>
      </c>
      <c r="AA143" s="225">
        <f t="shared" si="184"/>
        <v>28270</v>
      </c>
      <c r="AB143" s="225">
        <f t="shared" si="185"/>
        <v>25130</v>
      </c>
      <c r="AC143" s="252">
        <f t="shared" si="186"/>
        <v>566700</v>
      </c>
    </row>
    <row r="144" spans="1:29" s="204" customFormat="1" ht="16.5" hidden="1" customHeight="1">
      <c r="A144" s="1240"/>
      <c r="B144" s="211"/>
      <c r="C144" s="212"/>
      <c r="D144" s="212"/>
      <c r="E144" s="219" t="s">
        <v>280</v>
      </c>
      <c r="F144" s="221">
        <f>F143</f>
        <v>2678000</v>
      </c>
      <c r="G144" s="221"/>
      <c r="H144" s="221"/>
      <c r="I144" s="222"/>
      <c r="J144" s="221"/>
      <c r="K144" s="221"/>
      <c r="L144" s="221"/>
      <c r="M144" s="221"/>
      <c r="N144" s="221"/>
      <c r="O144" s="221">
        <f t="shared" si="188"/>
        <v>60000</v>
      </c>
      <c r="P144" s="221"/>
      <c r="Q144" s="221">
        <f t="shared" si="187"/>
        <v>19220</v>
      </c>
      <c r="R144" s="221">
        <f t="shared" si="189"/>
        <v>307520</v>
      </c>
      <c r="S144" s="221">
        <f t="shared" si="190"/>
        <v>96100</v>
      </c>
      <c r="T144" s="222"/>
      <c r="U144" s="214">
        <f t="shared" si="180"/>
        <v>3141620</v>
      </c>
      <c r="V144" s="250"/>
      <c r="W144" s="224">
        <f t="shared" si="191"/>
        <v>261810</v>
      </c>
      <c r="X144" s="225">
        <f t="shared" si="181"/>
        <v>141370</v>
      </c>
      <c r="Y144" s="225">
        <f t="shared" si="107"/>
        <v>101480</v>
      </c>
      <c r="Z144" s="225">
        <f t="shared" si="108"/>
        <v>8640</v>
      </c>
      <c r="AA144" s="225">
        <f t="shared" si="184"/>
        <v>28270</v>
      </c>
      <c r="AB144" s="225">
        <f t="shared" si="185"/>
        <v>25130</v>
      </c>
      <c r="AC144" s="252">
        <f t="shared" si="186"/>
        <v>566700</v>
      </c>
    </row>
    <row r="145" spans="1:29" s="204" customFormat="1" ht="16.5" hidden="1" customHeight="1">
      <c r="A145" s="1240"/>
      <c r="B145" s="211"/>
      <c r="C145" s="310">
        <f>C137+1</f>
        <v>13</v>
      </c>
      <c r="D145" s="310"/>
      <c r="E145" s="311" t="s">
        <v>54</v>
      </c>
      <c r="F145" s="312">
        <v>2749000</v>
      </c>
      <c r="G145" s="221"/>
      <c r="H145" s="221"/>
      <c r="I145" s="222"/>
      <c r="J145" s="221"/>
      <c r="K145" s="221"/>
      <c r="L145" s="221"/>
      <c r="M145" s="221">
        <f t="shared" ref="M145" si="192">F145*60%</f>
        <v>1649400</v>
      </c>
      <c r="N145" s="221"/>
      <c r="O145" s="221">
        <f t="shared" si="188"/>
        <v>60000</v>
      </c>
      <c r="P145" s="221"/>
      <c r="Q145" s="221">
        <f t="shared" si="187"/>
        <v>19220</v>
      </c>
      <c r="R145" s="221">
        <f t="shared" si="189"/>
        <v>307520</v>
      </c>
      <c r="S145" s="221">
        <f t="shared" si="190"/>
        <v>96100</v>
      </c>
      <c r="T145" s="222"/>
      <c r="U145" s="214">
        <f t="shared" si="180"/>
        <v>4862020</v>
      </c>
      <c r="V145" s="250"/>
      <c r="W145" s="224">
        <f t="shared" si="191"/>
        <v>405170</v>
      </c>
      <c r="X145" s="225">
        <f t="shared" si="181"/>
        <v>218790</v>
      </c>
      <c r="Y145" s="225">
        <f t="shared" si="107"/>
        <v>157050</v>
      </c>
      <c r="Z145" s="225">
        <f t="shared" si="108"/>
        <v>13370</v>
      </c>
      <c r="AA145" s="225">
        <f t="shared" si="184"/>
        <v>43760</v>
      </c>
      <c r="AB145" s="225">
        <f t="shared" si="185"/>
        <v>38900</v>
      </c>
      <c r="AC145" s="252">
        <f t="shared" si="186"/>
        <v>877040</v>
      </c>
    </row>
    <row r="146" spans="1:29" s="204" customFormat="1" ht="16.5" hidden="1" customHeight="1">
      <c r="A146" s="1240"/>
      <c r="B146" s="211"/>
      <c r="C146" s="212"/>
      <c r="D146" s="212"/>
      <c r="E146" s="219" t="s">
        <v>55</v>
      </c>
      <c r="F146" s="318">
        <f>F145</f>
        <v>2749000</v>
      </c>
      <c r="G146" s="221"/>
      <c r="H146" s="221"/>
      <c r="I146" s="222"/>
      <c r="J146" s="221"/>
      <c r="K146" s="221"/>
      <c r="L146" s="221"/>
      <c r="M146" s="221"/>
      <c r="N146" s="221"/>
      <c r="O146" s="221">
        <f t="shared" si="188"/>
        <v>60000</v>
      </c>
      <c r="P146" s="221"/>
      <c r="Q146" s="221">
        <f t="shared" si="187"/>
        <v>19730</v>
      </c>
      <c r="R146" s="221">
        <f t="shared" si="189"/>
        <v>315680</v>
      </c>
      <c r="S146" s="221">
        <f t="shared" si="190"/>
        <v>98650</v>
      </c>
      <c r="T146" s="222"/>
      <c r="U146" s="214">
        <f t="shared" si="180"/>
        <v>3223330</v>
      </c>
      <c r="V146" s="250"/>
      <c r="W146" s="224">
        <f t="shared" si="191"/>
        <v>268620</v>
      </c>
      <c r="X146" s="225">
        <f t="shared" si="181"/>
        <v>145050</v>
      </c>
      <c r="Y146" s="225">
        <f t="shared" si="107"/>
        <v>104120</v>
      </c>
      <c r="Z146" s="225">
        <f t="shared" si="108"/>
        <v>8870</v>
      </c>
      <c r="AA146" s="225">
        <f t="shared" si="184"/>
        <v>29010</v>
      </c>
      <c r="AB146" s="225">
        <f t="shared" si="185"/>
        <v>25790</v>
      </c>
      <c r="AC146" s="252">
        <f t="shared" si="186"/>
        <v>581460</v>
      </c>
    </row>
    <row r="147" spans="1:29" s="204" customFormat="1" ht="16.5" hidden="1" customHeight="1">
      <c r="A147" s="1240"/>
      <c r="B147" s="211"/>
      <c r="C147" s="212"/>
      <c r="D147" s="212"/>
      <c r="E147" s="219" t="s">
        <v>56</v>
      </c>
      <c r="F147" s="221">
        <f>F146</f>
        <v>2749000</v>
      </c>
      <c r="G147" s="221"/>
      <c r="H147" s="221"/>
      <c r="I147" s="222"/>
      <c r="J147" s="221"/>
      <c r="K147" s="221"/>
      <c r="L147" s="221"/>
      <c r="M147" s="221"/>
      <c r="N147" s="221"/>
      <c r="O147" s="221">
        <f t="shared" si="188"/>
        <v>60000</v>
      </c>
      <c r="P147" s="221"/>
      <c r="Q147" s="221">
        <f t="shared" si="187"/>
        <v>19730</v>
      </c>
      <c r="R147" s="221">
        <f t="shared" si="189"/>
        <v>315680</v>
      </c>
      <c r="S147" s="221">
        <f t="shared" si="190"/>
        <v>98650</v>
      </c>
      <c r="T147" s="222"/>
      <c r="U147" s="214">
        <f t="shared" si="180"/>
        <v>3223330</v>
      </c>
      <c r="V147" s="250"/>
      <c r="W147" s="224">
        <f t="shared" si="191"/>
        <v>268620</v>
      </c>
      <c r="X147" s="225">
        <f t="shared" si="181"/>
        <v>145050</v>
      </c>
      <c r="Y147" s="225">
        <f t="shared" si="107"/>
        <v>104120</v>
      </c>
      <c r="Z147" s="225">
        <f t="shared" si="108"/>
        <v>8870</v>
      </c>
      <c r="AA147" s="225">
        <f t="shared" si="184"/>
        <v>29010</v>
      </c>
      <c r="AB147" s="225">
        <f t="shared" si="185"/>
        <v>25790</v>
      </c>
      <c r="AC147" s="252">
        <f t="shared" si="186"/>
        <v>581460</v>
      </c>
    </row>
    <row r="148" spans="1:29" s="204" customFormat="1" ht="16.5" hidden="1" customHeight="1">
      <c r="A148" s="1240"/>
      <c r="B148" s="211"/>
      <c r="C148" s="212"/>
      <c r="D148" s="212"/>
      <c r="E148" s="219" t="s">
        <v>281</v>
      </c>
      <c r="F148" s="221">
        <f>F147</f>
        <v>2749000</v>
      </c>
      <c r="G148" s="221"/>
      <c r="H148" s="221"/>
      <c r="I148" s="222"/>
      <c r="J148" s="221"/>
      <c r="K148" s="221"/>
      <c r="L148" s="221"/>
      <c r="M148" s="221"/>
      <c r="N148" s="221"/>
      <c r="O148" s="221">
        <f t="shared" si="188"/>
        <v>60000</v>
      </c>
      <c r="P148" s="221"/>
      <c r="Q148" s="221">
        <f t="shared" si="187"/>
        <v>19730</v>
      </c>
      <c r="R148" s="221">
        <f>Q148*16*2</f>
        <v>631360</v>
      </c>
      <c r="S148" s="221">
        <f>(Q148*5)*2</f>
        <v>197300</v>
      </c>
      <c r="T148" s="222"/>
      <c r="U148" s="214">
        <f t="shared" si="180"/>
        <v>3637660</v>
      </c>
      <c r="V148" s="250"/>
      <c r="W148" s="224">
        <f t="shared" si="191"/>
        <v>303140</v>
      </c>
      <c r="X148" s="225">
        <f t="shared" si="181"/>
        <v>163690</v>
      </c>
      <c r="Y148" s="225">
        <f t="shared" si="107"/>
        <v>117500</v>
      </c>
      <c r="Z148" s="225">
        <f t="shared" si="108"/>
        <v>10000</v>
      </c>
      <c r="AA148" s="225">
        <f t="shared" si="184"/>
        <v>32740</v>
      </c>
      <c r="AB148" s="225">
        <f t="shared" si="185"/>
        <v>29100</v>
      </c>
      <c r="AC148" s="252">
        <f t="shared" si="186"/>
        <v>656170</v>
      </c>
    </row>
    <row r="149" spans="1:29" s="204" customFormat="1" ht="18" customHeight="1">
      <c r="A149" s="319">
        <v>12</v>
      </c>
      <c r="B149" s="211" t="s">
        <v>87</v>
      </c>
      <c r="C149" s="212" t="s">
        <v>785</v>
      </c>
      <c r="D149" s="212">
        <v>1</v>
      </c>
      <c r="E149" s="213" t="s">
        <v>86</v>
      </c>
      <c r="F149" s="214">
        <f t="shared" ref="F149:N149" si="193">SUM(F150:F161)</f>
        <v>23263000</v>
      </c>
      <c r="G149" s="214">
        <f t="shared" si="193"/>
        <v>0</v>
      </c>
      <c r="H149" s="214">
        <f t="shared" si="193"/>
        <v>0</v>
      </c>
      <c r="I149" s="214">
        <f t="shared" si="193"/>
        <v>0</v>
      </c>
      <c r="J149" s="214">
        <f t="shared" si="193"/>
        <v>0</v>
      </c>
      <c r="K149" s="214">
        <f t="shared" si="193"/>
        <v>0</v>
      </c>
      <c r="L149" s="214">
        <f t="shared" si="193"/>
        <v>0</v>
      </c>
      <c r="M149" s="214">
        <f t="shared" si="193"/>
        <v>1393200</v>
      </c>
      <c r="N149" s="214">
        <f t="shared" si="193"/>
        <v>0</v>
      </c>
      <c r="O149" s="214">
        <f>SUM(O150:O161)</f>
        <v>600000</v>
      </c>
      <c r="P149" s="214">
        <f t="shared" ref="P149" si="194">SUM(P150:P161)</f>
        <v>0</v>
      </c>
      <c r="Q149" s="214"/>
      <c r="R149" s="214">
        <f t="shared" ref="R149" si="195">SUM(R150:R161)</f>
        <v>2936800</v>
      </c>
      <c r="S149" s="214">
        <f>SUM(S150:S161)</f>
        <v>917750</v>
      </c>
      <c r="T149" s="214">
        <f t="shared" ref="T149" si="196">SUM(T150:T161)</f>
        <v>0</v>
      </c>
      <c r="U149" s="214">
        <f>SUM(U150:U161)</f>
        <v>29110750</v>
      </c>
      <c r="V149" s="250"/>
      <c r="W149" s="217">
        <f t="shared" ref="W149:AB149" si="197">SUM(W150:W161)</f>
        <v>4408680</v>
      </c>
      <c r="X149" s="214">
        <f t="shared" si="197"/>
        <v>1309970</v>
      </c>
      <c r="Y149" s="214">
        <f t="shared" si="197"/>
        <v>940310</v>
      </c>
      <c r="Z149" s="214">
        <f t="shared" si="197"/>
        <v>80060</v>
      </c>
      <c r="AA149" s="214">
        <f t="shared" si="197"/>
        <v>262010</v>
      </c>
      <c r="AB149" s="214">
        <f t="shared" si="197"/>
        <v>232910</v>
      </c>
      <c r="AC149" s="266">
        <f>SUM(AC150:AC161)</f>
        <v>7233940</v>
      </c>
    </row>
    <row r="150" spans="1:29" s="204" customFormat="1" ht="18" hidden="1" customHeight="1">
      <c r="A150" s="319"/>
      <c r="B150" s="211" t="s">
        <v>442</v>
      </c>
      <c r="C150" s="310">
        <v>10</v>
      </c>
      <c r="D150" s="310"/>
      <c r="E150" s="311" t="s">
        <v>273</v>
      </c>
      <c r="F150" s="312"/>
      <c r="G150" s="221"/>
      <c r="H150" s="220"/>
      <c r="I150" s="222"/>
      <c r="J150" s="221"/>
      <c r="K150" s="221"/>
      <c r="L150" s="221"/>
      <c r="M150" s="221" t="s">
        <v>60</v>
      </c>
      <c r="N150" s="221"/>
      <c r="O150" s="221"/>
      <c r="P150" s="221"/>
      <c r="Q150" s="221"/>
      <c r="R150" s="221"/>
      <c r="S150" s="221"/>
      <c r="T150" s="222"/>
      <c r="U150" s="214">
        <f t="shared" ref="U150:U161" si="198">SUM(F150,M150,O150,R150,T150,S150)</f>
        <v>0</v>
      </c>
      <c r="V150" s="250"/>
      <c r="W150" s="224">
        <f>ROUNDUP(U150*1/12,-1)+1982750</f>
        <v>1982750</v>
      </c>
      <c r="X150" s="225">
        <f t="shared" ref="X150:X161" si="199">ROUND(U150*4.5%,-1)</f>
        <v>0</v>
      </c>
      <c r="Y150" s="225">
        <f t="shared" ref="Y150:Y213" si="200">ROUNDUP((U150-L150)*3.23%,-1)</f>
        <v>0</v>
      </c>
      <c r="Z150" s="225">
        <f t="shared" ref="Z150:Z213" si="201">ROUNDUP(Y150*8.51%,-1)</f>
        <v>0</v>
      </c>
      <c r="AA150" s="225">
        <f t="shared" ref="AA150:AA161" si="202">ROUND(U150*0.9%,-1)</f>
        <v>0</v>
      </c>
      <c r="AB150" s="225">
        <f t="shared" ref="AB150:AB161" si="203">ROUND(U150*0.8%,-1)</f>
        <v>0</v>
      </c>
      <c r="AC150" s="252">
        <f t="shared" ref="AC150:AC161" si="204">SUM(W150:AB150)</f>
        <v>1982750</v>
      </c>
    </row>
    <row r="151" spans="1:29" s="204" customFormat="1" ht="16.5" hidden="1" customHeight="1">
      <c r="A151" s="319"/>
      <c r="B151" s="211"/>
      <c r="C151" s="212"/>
      <c r="D151" s="212"/>
      <c r="E151" s="219" t="s">
        <v>274</v>
      </c>
      <c r="F151" s="221"/>
      <c r="G151" s="221"/>
      <c r="H151" s="221"/>
      <c r="I151" s="222"/>
      <c r="J151" s="221"/>
      <c r="K151" s="221"/>
      <c r="L151" s="221"/>
      <c r="M151" s="221">
        <f>F151*60%</f>
        <v>0</v>
      </c>
      <c r="N151" s="221"/>
      <c r="O151" s="221"/>
      <c r="P151" s="221"/>
      <c r="Q151" s="221">
        <f t="shared" ref="Q151" si="205">ROUND((F150+T150)*1/209*1.5,-1)</f>
        <v>0</v>
      </c>
      <c r="R151" s="221">
        <f>Q151*20</f>
        <v>0</v>
      </c>
      <c r="S151" s="221">
        <f>Q151*5</f>
        <v>0</v>
      </c>
      <c r="T151" s="222"/>
      <c r="U151" s="214">
        <f t="shared" si="198"/>
        <v>0</v>
      </c>
      <c r="V151" s="250"/>
      <c r="W151" s="224">
        <f>ROUNDUP((T151+U151)*1/12,-1)</f>
        <v>0</v>
      </c>
      <c r="X151" s="225">
        <f t="shared" si="199"/>
        <v>0</v>
      </c>
      <c r="Y151" s="225">
        <f t="shared" si="200"/>
        <v>0</v>
      </c>
      <c r="Z151" s="225">
        <f t="shared" si="201"/>
        <v>0</v>
      </c>
      <c r="AA151" s="225">
        <f t="shared" si="202"/>
        <v>0</v>
      </c>
      <c r="AB151" s="225">
        <f t="shared" si="203"/>
        <v>0</v>
      </c>
      <c r="AC151" s="252">
        <f t="shared" si="204"/>
        <v>0</v>
      </c>
    </row>
    <row r="152" spans="1:29" s="204" customFormat="1" ht="16.5" hidden="1" customHeight="1">
      <c r="A152" s="319"/>
      <c r="B152" s="211"/>
      <c r="C152" s="212"/>
      <c r="D152" s="212"/>
      <c r="E152" s="219" t="s">
        <v>275</v>
      </c>
      <c r="F152" s="221">
        <v>2319000</v>
      </c>
      <c r="G152" s="221"/>
      <c r="H152" s="221"/>
      <c r="I152" s="222"/>
      <c r="J152" s="221"/>
      <c r="K152" s="221"/>
      <c r="L152" s="221"/>
      <c r="M152" s="221"/>
      <c r="N152" s="221"/>
      <c r="O152" s="221">
        <v>60000</v>
      </c>
      <c r="P152" s="221"/>
      <c r="Q152" s="221">
        <v>16590</v>
      </c>
      <c r="R152" s="221">
        <f>Q152*16</f>
        <v>265440</v>
      </c>
      <c r="S152" s="221">
        <f t="shared" ref="S152:S160" si="206">Q152*5</f>
        <v>82950</v>
      </c>
      <c r="T152" s="222"/>
      <c r="U152" s="214">
        <f t="shared" si="198"/>
        <v>2727390</v>
      </c>
      <c r="V152" s="250"/>
      <c r="W152" s="224">
        <f t="shared" ref="W152:W161" si="207">ROUNDUP(U152*1/12,-1)</f>
        <v>227290</v>
      </c>
      <c r="X152" s="225">
        <f t="shared" si="199"/>
        <v>122730</v>
      </c>
      <c r="Y152" s="225">
        <f t="shared" si="200"/>
        <v>88100</v>
      </c>
      <c r="Z152" s="225">
        <f t="shared" si="201"/>
        <v>7500</v>
      </c>
      <c r="AA152" s="225">
        <f t="shared" si="202"/>
        <v>24550</v>
      </c>
      <c r="AB152" s="225">
        <f t="shared" si="203"/>
        <v>21820</v>
      </c>
      <c r="AC152" s="252">
        <f t="shared" si="204"/>
        <v>491990</v>
      </c>
    </row>
    <row r="153" spans="1:29" s="204" customFormat="1" ht="16.5" hidden="1" customHeight="1">
      <c r="A153" s="319"/>
      <c r="B153" s="211"/>
      <c r="C153" s="212"/>
      <c r="D153" s="212"/>
      <c r="E153" s="219" t="s">
        <v>276</v>
      </c>
      <c r="F153" s="221">
        <f>F152</f>
        <v>2319000</v>
      </c>
      <c r="G153" s="221"/>
      <c r="H153" s="221"/>
      <c r="I153" s="222"/>
      <c r="J153" s="221"/>
      <c r="K153" s="221"/>
      <c r="L153" s="221"/>
      <c r="M153" s="221"/>
      <c r="N153" s="221"/>
      <c r="O153" s="221">
        <f t="shared" ref="O153:O161" si="208">O152</f>
        <v>60000</v>
      </c>
      <c r="P153" s="221"/>
      <c r="Q153" s="221">
        <f t="shared" ref="Q153:Q161" si="209">ROUND((F152+T152)*1/209*1.5,-1)</f>
        <v>16640</v>
      </c>
      <c r="R153" s="221">
        <f t="shared" ref="R153:R160" si="210">Q153*16</f>
        <v>266240</v>
      </c>
      <c r="S153" s="221">
        <f t="shared" si="206"/>
        <v>83200</v>
      </c>
      <c r="T153" s="222"/>
      <c r="U153" s="214">
        <f t="shared" si="198"/>
        <v>2728440</v>
      </c>
      <c r="V153" s="250"/>
      <c r="W153" s="224">
        <f t="shared" si="207"/>
        <v>227370</v>
      </c>
      <c r="X153" s="225">
        <f t="shared" si="199"/>
        <v>122780</v>
      </c>
      <c r="Y153" s="225">
        <f t="shared" si="200"/>
        <v>88130</v>
      </c>
      <c r="Z153" s="225">
        <f t="shared" si="201"/>
        <v>7500</v>
      </c>
      <c r="AA153" s="225">
        <f t="shared" si="202"/>
        <v>24560</v>
      </c>
      <c r="AB153" s="225">
        <f t="shared" si="203"/>
        <v>21830</v>
      </c>
      <c r="AC153" s="252">
        <f t="shared" si="204"/>
        <v>492170</v>
      </c>
    </row>
    <row r="154" spans="1:29" s="204" customFormat="1" ht="16.5" hidden="1" customHeight="1">
      <c r="A154" s="319"/>
      <c r="B154" s="211"/>
      <c r="C154" s="212"/>
      <c r="D154" s="212"/>
      <c r="E154" s="219" t="s">
        <v>277</v>
      </c>
      <c r="F154" s="221">
        <f t="shared" ref="F154:F156" si="211">F153</f>
        <v>2319000</v>
      </c>
      <c r="G154" s="221"/>
      <c r="H154" s="221"/>
      <c r="I154" s="222"/>
      <c r="J154" s="221"/>
      <c r="K154" s="221"/>
      <c r="L154" s="221"/>
      <c r="M154" s="221"/>
      <c r="N154" s="221"/>
      <c r="O154" s="221">
        <f t="shared" si="208"/>
        <v>60000</v>
      </c>
      <c r="P154" s="221"/>
      <c r="Q154" s="221">
        <f t="shared" si="209"/>
        <v>16640</v>
      </c>
      <c r="R154" s="221">
        <f t="shared" si="210"/>
        <v>266240</v>
      </c>
      <c r="S154" s="221">
        <f t="shared" si="206"/>
        <v>83200</v>
      </c>
      <c r="T154" s="222"/>
      <c r="U154" s="214">
        <f t="shared" si="198"/>
        <v>2728440</v>
      </c>
      <c r="V154" s="250"/>
      <c r="W154" s="224">
        <f t="shared" si="207"/>
        <v>227370</v>
      </c>
      <c r="X154" s="225">
        <f t="shared" si="199"/>
        <v>122780</v>
      </c>
      <c r="Y154" s="225">
        <f t="shared" si="200"/>
        <v>88130</v>
      </c>
      <c r="Z154" s="225">
        <f t="shared" si="201"/>
        <v>7500</v>
      </c>
      <c r="AA154" s="225">
        <f t="shared" si="202"/>
        <v>24560</v>
      </c>
      <c r="AB154" s="225">
        <f t="shared" si="203"/>
        <v>21830</v>
      </c>
      <c r="AC154" s="252">
        <f t="shared" si="204"/>
        <v>492170</v>
      </c>
    </row>
    <row r="155" spans="1:29" s="204" customFormat="1" ht="16.5" hidden="1" customHeight="1">
      <c r="A155" s="319"/>
      <c r="B155" s="211"/>
      <c r="C155" s="212"/>
      <c r="D155" s="212"/>
      <c r="E155" s="219" t="s">
        <v>278</v>
      </c>
      <c r="F155" s="221">
        <f t="shared" si="211"/>
        <v>2319000</v>
      </c>
      <c r="G155" s="221"/>
      <c r="H155" s="221"/>
      <c r="I155" s="222"/>
      <c r="J155" s="221"/>
      <c r="K155" s="221"/>
      <c r="L155" s="221"/>
      <c r="M155" s="221"/>
      <c r="N155" s="221"/>
      <c r="O155" s="221">
        <f t="shared" si="208"/>
        <v>60000</v>
      </c>
      <c r="P155" s="221"/>
      <c r="Q155" s="221">
        <f t="shared" si="209"/>
        <v>16640</v>
      </c>
      <c r="R155" s="221">
        <f t="shared" si="210"/>
        <v>266240</v>
      </c>
      <c r="S155" s="221">
        <f t="shared" si="206"/>
        <v>83200</v>
      </c>
      <c r="T155" s="222"/>
      <c r="U155" s="214">
        <f t="shared" si="198"/>
        <v>2728440</v>
      </c>
      <c r="V155" s="250"/>
      <c r="W155" s="224">
        <f t="shared" si="207"/>
        <v>227370</v>
      </c>
      <c r="X155" s="225">
        <f t="shared" si="199"/>
        <v>122780</v>
      </c>
      <c r="Y155" s="225">
        <f t="shared" si="200"/>
        <v>88130</v>
      </c>
      <c r="Z155" s="225">
        <f t="shared" si="201"/>
        <v>7500</v>
      </c>
      <c r="AA155" s="225">
        <f t="shared" si="202"/>
        <v>24560</v>
      </c>
      <c r="AB155" s="225">
        <f t="shared" si="203"/>
        <v>21830</v>
      </c>
      <c r="AC155" s="252">
        <f t="shared" si="204"/>
        <v>492170</v>
      </c>
    </row>
    <row r="156" spans="1:29" s="204" customFormat="1" ht="16.5" hidden="1" customHeight="1">
      <c r="A156" s="319"/>
      <c r="B156" s="211"/>
      <c r="C156" s="212"/>
      <c r="D156" s="212"/>
      <c r="E156" s="219" t="s">
        <v>279</v>
      </c>
      <c r="F156" s="221">
        <f t="shared" si="211"/>
        <v>2319000</v>
      </c>
      <c r="G156" s="221"/>
      <c r="H156" s="220"/>
      <c r="I156" s="222"/>
      <c r="J156" s="221"/>
      <c r="K156" s="221"/>
      <c r="L156" s="221"/>
      <c r="M156" s="221"/>
      <c r="N156" s="221"/>
      <c r="O156" s="221">
        <f t="shared" si="208"/>
        <v>60000</v>
      </c>
      <c r="P156" s="221"/>
      <c r="Q156" s="221">
        <f t="shared" si="209"/>
        <v>16640</v>
      </c>
      <c r="R156" s="221">
        <f t="shared" si="210"/>
        <v>266240</v>
      </c>
      <c r="S156" s="221">
        <f t="shared" si="206"/>
        <v>83200</v>
      </c>
      <c r="T156" s="222"/>
      <c r="U156" s="214">
        <f t="shared" si="198"/>
        <v>2728440</v>
      </c>
      <c r="V156" s="250"/>
      <c r="W156" s="224">
        <f t="shared" si="207"/>
        <v>227370</v>
      </c>
      <c r="X156" s="225">
        <f t="shared" si="199"/>
        <v>122780</v>
      </c>
      <c r="Y156" s="225">
        <f t="shared" si="200"/>
        <v>88130</v>
      </c>
      <c r="Z156" s="225">
        <f t="shared" si="201"/>
        <v>7500</v>
      </c>
      <c r="AA156" s="225">
        <f t="shared" si="202"/>
        <v>24560</v>
      </c>
      <c r="AB156" s="225">
        <f t="shared" si="203"/>
        <v>21830</v>
      </c>
      <c r="AC156" s="252">
        <f t="shared" si="204"/>
        <v>492170</v>
      </c>
    </row>
    <row r="157" spans="1:29" s="204" customFormat="1" ht="16.5" hidden="1" customHeight="1">
      <c r="A157" s="319"/>
      <c r="B157" s="211"/>
      <c r="C157" s="310">
        <f>C150+1</f>
        <v>11</v>
      </c>
      <c r="D157" s="310"/>
      <c r="E157" s="311" t="s">
        <v>280</v>
      </c>
      <c r="F157" s="312">
        <v>2380000</v>
      </c>
      <c r="G157" s="221"/>
      <c r="H157" s="221"/>
      <c r="I157" s="222"/>
      <c r="J157" s="221"/>
      <c r="K157" s="221"/>
      <c r="L157" s="221"/>
      <c r="M157" s="221"/>
      <c r="N157" s="221"/>
      <c r="O157" s="221">
        <f t="shared" si="208"/>
        <v>60000</v>
      </c>
      <c r="P157" s="221"/>
      <c r="Q157" s="221">
        <f t="shared" si="209"/>
        <v>16640</v>
      </c>
      <c r="R157" s="221">
        <f t="shared" si="210"/>
        <v>266240</v>
      </c>
      <c r="S157" s="221">
        <f t="shared" si="206"/>
        <v>83200</v>
      </c>
      <c r="T157" s="222"/>
      <c r="U157" s="214">
        <f t="shared" si="198"/>
        <v>2789440</v>
      </c>
      <c r="V157" s="250"/>
      <c r="W157" s="224">
        <f t="shared" si="207"/>
        <v>232460</v>
      </c>
      <c r="X157" s="225">
        <f t="shared" si="199"/>
        <v>125520</v>
      </c>
      <c r="Y157" s="225">
        <f t="shared" si="200"/>
        <v>90100</v>
      </c>
      <c r="Z157" s="225">
        <f t="shared" si="201"/>
        <v>7670</v>
      </c>
      <c r="AA157" s="225">
        <f t="shared" si="202"/>
        <v>25100</v>
      </c>
      <c r="AB157" s="225">
        <f t="shared" si="203"/>
        <v>22320</v>
      </c>
      <c r="AC157" s="252">
        <f t="shared" si="204"/>
        <v>503170</v>
      </c>
    </row>
    <row r="158" spans="1:29" s="324" customFormat="1" ht="16.5" hidden="1" customHeight="1">
      <c r="A158" s="319"/>
      <c r="B158" s="212"/>
      <c r="C158" s="212"/>
      <c r="D158" s="212"/>
      <c r="E158" s="219" t="s">
        <v>54</v>
      </c>
      <c r="F158" s="222">
        <v>2322000</v>
      </c>
      <c r="G158" s="222"/>
      <c r="H158" s="222"/>
      <c r="I158" s="222"/>
      <c r="J158" s="222"/>
      <c r="K158" s="222"/>
      <c r="L158" s="222"/>
      <c r="M158" s="222">
        <f t="shared" ref="M158" si="212">F158*60%</f>
        <v>1393200</v>
      </c>
      <c r="N158" s="222"/>
      <c r="O158" s="222">
        <f t="shared" si="208"/>
        <v>60000</v>
      </c>
      <c r="P158" s="222"/>
      <c r="Q158" s="222">
        <f t="shared" si="209"/>
        <v>17080</v>
      </c>
      <c r="R158" s="221">
        <f t="shared" si="210"/>
        <v>273280</v>
      </c>
      <c r="S158" s="222">
        <f t="shared" si="206"/>
        <v>85400</v>
      </c>
      <c r="T158" s="222"/>
      <c r="U158" s="320">
        <f t="shared" si="198"/>
        <v>4133880</v>
      </c>
      <c r="V158" s="321"/>
      <c r="W158" s="322">
        <f t="shared" si="207"/>
        <v>344490</v>
      </c>
      <c r="X158" s="222">
        <f t="shared" si="199"/>
        <v>186020</v>
      </c>
      <c r="Y158" s="225">
        <f t="shared" si="200"/>
        <v>133530</v>
      </c>
      <c r="Z158" s="225">
        <f t="shared" si="201"/>
        <v>11370</v>
      </c>
      <c r="AA158" s="222">
        <f t="shared" si="202"/>
        <v>37200</v>
      </c>
      <c r="AB158" s="222">
        <f t="shared" si="203"/>
        <v>33070</v>
      </c>
      <c r="AC158" s="323">
        <f t="shared" si="204"/>
        <v>745680</v>
      </c>
    </row>
    <row r="159" spans="1:29" s="324" customFormat="1" ht="16.5" hidden="1" customHeight="1">
      <c r="A159" s="319"/>
      <c r="B159" s="212"/>
      <c r="C159" s="212"/>
      <c r="D159" s="212"/>
      <c r="E159" s="219" t="s">
        <v>55</v>
      </c>
      <c r="F159" s="222">
        <f>F158</f>
        <v>2322000</v>
      </c>
      <c r="G159" s="222"/>
      <c r="H159" s="222"/>
      <c r="I159" s="222"/>
      <c r="J159" s="222"/>
      <c r="K159" s="222"/>
      <c r="L159" s="222"/>
      <c r="M159" s="222"/>
      <c r="N159" s="222"/>
      <c r="O159" s="222">
        <f t="shared" si="208"/>
        <v>60000</v>
      </c>
      <c r="P159" s="222"/>
      <c r="Q159" s="222">
        <f t="shared" si="209"/>
        <v>16670</v>
      </c>
      <c r="R159" s="221">
        <f t="shared" si="210"/>
        <v>266720</v>
      </c>
      <c r="S159" s="222">
        <f t="shared" si="206"/>
        <v>83350</v>
      </c>
      <c r="T159" s="222"/>
      <c r="U159" s="320">
        <f t="shared" si="198"/>
        <v>2732070</v>
      </c>
      <c r="V159" s="321"/>
      <c r="W159" s="322">
        <f t="shared" si="207"/>
        <v>227680</v>
      </c>
      <c r="X159" s="222">
        <f t="shared" si="199"/>
        <v>122940</v>
      </c>
      <c r="Y159" s="225">
        <f t="shared" si="200"/>
        <v>88250</v>
      </c>
      <c r="Z159" s="225">
        <f t="shared" si="201"/>
        <v>7520</v>
      </c>
      <c r="AA159" s="222">
        <f t="shared" si="202"/>
        <v>24590</v>
      </c>
      <c r="AB159" s="222">
        <f t="shared" si="203"/>
        <v>21860</v>
      </c>
      <c r="AC159" s="323">
        <f t="shared" si="204"/>
        <v>492840</v>
      </c>
    </row>
    <row r="160" spans="1:29" s="204" customFormat="1" ht="16.5" hidden="1" customHeight="1">
      <c r="A160" s="319"/>
      <c r="B160" s="211"/>
      <c r="C160" s="212"/>
      <c r="D160" s="212"/>
      <c r="E160" s="219" t="s">
        <v>56</v>
      </c>
      <c r="F160" s="221">
        <f>F159</f>
        <v>2322000</v>
      </c>
      <c r="G160" s="221"/>
      <c r="H160" s="221"/>
      <c r="I160" s="222"/>
      <c r="J160" s="221"/>
      <c r="K160" s="221"/>
      <c r="L160" s="221"/>
      <c r="M160" s="221"/>
      <c r="N160" s="221"/>
      <c r="O160" s="221">
        <f t="shared" si="208"/>
        <v>60000</v>
      </c>
      <c r="P160" s="221"/>
      <c r="Q160" s="221">
        <f t="shared" si="209"/>
        <v>16670</v>
      </c>
      <c r="R160" s="221">
        <f t="shared" si="210"/>
        <v>266720</v>
      </c>
      <c r="S160" s="221">
        <f t="shared" si="206"/>
        <v>83350</v>
      </c>
      <c r="T160" s="222"/>
      <c r="U160" s="214">
        <f t="shared" si="198"/>
        <v>2732070</v>
      </c>
      <c r="V160" s="250"/>
      <c r="W160" s="224">
        <f t="shared" si="207"/>
        <v>227680</v>
      </c>
      <c r="X160" s="225">
        <f t="shared" si="199"/>
        <v>122940</v>
      </c>
      <c r="Y160" s="225">
        <f t="shared" si="200"/>
        <v>88250</v>
      </c>
      <c r="Z160" s="225">
        <f t="shared" si="201"/>
        <v>7520</v>
      </c>
      <c r="AA160" s="225">
        <f t="shared" si="202"/>
        <v>24590</v>
      </c>
      <c r="AB160" s="225">
        <f t="shared" si="203"/>
        <v>21860</v>
      </c>
      <c r="AC160" s="252">
        <f t="shared" si="204"/>
        <v>492840</v>
      </c>
    </row>
    <row r="161" spans="1:29" s="204" customFormat="1" ht="16.5" hidden="1" customHeight="1">
      <c r="A161" s="319"/>
      <c r="B161" s="211"/>
      <c r="C161" s="212"/>
      <c r="D161" s="212"/>
      <c r="E161" s="219" t="s">
        <v>281</v>
      </c>
      <c r="F161" s="221">
        <f>F160</f>
        <v>2322000</v>
      </c>
      <c r="G161" s="221"/>
      <c r="H161" s="221"/>
      <c r="I161" s="222"/>
      <c r="J161" s="221"/>
      <c r="K161" s="221"/>
      <c r="L161" s="221"/>
      <c r="M161" s="221"/>
      <c r="N161" s="221"/>
      <c r="O161" s="221">
        <f t="shared" si="208"/>
        <v>60000</v>
      </c>
      <c r="P161" s="221"/>
      <c r="Q161" s="221">
        <f t="shared" si="209"/>
        <v>16670</v>
      </c>
      <c r="R161" s="221">
        <f>Q161*16*2</f>
        <v>533440</v>
      </c>
      <c r="S161" s="221">
        <f>(Q161*5)*2</f>
        <v>166700</v>
      </c>
      <c r="T161" s="222"/>
      <c r="U161" s="214">
        <f t="shared" si="198"/>
        <v>3082140</v>
      </c>
      <c r="V161" s="250"/>
      <c r="W161" s="224">
        <f t="shared" si="207"/>
        <v>256850</v>
      </c>
      <c r="X161" s="225">
        <f t="shared" si="199"/>
        <v>138700</v>
      </c>
      <c r="Y161" s="225">
        <f t="shared" si="200"/>
        <v>99560</v>
      </c>
      <c r="Z161" s="225">
        <f t="shared" si="201"/>
        <v>8480</v>
      </c>
      <c r="AA161" s="225">
        <f t="shared" si="202"/>
        <v>27740</v>
      </c>
      <c r="AB161" s="225">
        <f t="shared" si="203"/>
        <v>24660</v>
      </c>
      <c r="AC161" s="252">
        <f t="shared" si="204"/>
        <v>555990</v>
      </c>
    </row>
    <row r="162" spans="1:29" s="204" customFormat="1" ht="16.5" customHeight="1">
      <c r="A162" s="319">
        <v>13</v>
      </c>
      <c r="B162" s="211" t="s">
        <v>921</v>
      </c>
      <c r="C162" s="212" t="s">
        <v>714</v>
      </c>
      <c r="D162" s="212">
        <v>1</v>
      </c>
      <c r="E162" s="213" t="s">
        <v>86</v>
      </c>
      <c r="F162" s="214">
        <f t="shared" ref="F162:N162" si="213">SUM(F163:F174)</f>
        <v>29904000</v>
      </c>
      <c r="G162" s="214">
        <f t="shared" si="213"/>
        <v>0</v>
      </c>
      <c r="H162" s="214">
        <f t="shared" si="213"/>
        <v>0</v>
      </c>
      <c r="I162" s="214">
        <f t="shared" si="213"/>
        <v>0</v>
      </c>
      <c r="J162" s="214">
        <f t="shared" si="213"/>
        <v>0</v>
      </c>
      <c r="K162" s="214">
        <f t="shared" si="213"/>
        <v>0</v>
      </c>
      <c r="L162" s="214">
        <f t="shared" si="213"/>
        <v>0</v>
      </c>
      <c r="M162" s="214">
        <f t="shared" si="213"/>
        <v>2971200</v>
      </c>
      <c r="N162" s="214">
        <f t="shared" si="213"/>
        <v>0</v>
      </c>
      <c r="O162" s="214">
        <f>SUM(O163:O174)</f>
        <v>0</v>
      </c>
      <c r="P162" s="214">
        <f t="shared" ref="P162" si="214">SUM(P163:P174)</f>
        <v>0</v>
      </c>
      <c r="Q162" s="214"/>
      <c r="R162" s="214">
        <f>SUM(R163:R174)</f>
        <v>4292400</v>
      </c>
      <c r="S162" s="214">
        <f>SUM(S163:S174)</f>
        <v>1073100</v>
      </c>
      <c r="T162" s="214">
        <f t="shared" ref="T162" si="215">SUM(T163:T174)</f>
        <v>0</v>
      </c>
      <c r="U162" s="214">
        <f>SUM(U163:U174)</f>
        <v>38240700</v>
      </c>
      <c r="V162" s="250"/>
      <c r="W162" s="217">
        <f t="shared" ref="W162:AB162" si="216">SUM(W163:W174)</f>
        <v>3186740</v>
      </c>
      <c r="X162" s="214">
        <f t="shared" si="216"/>
        <v>1720830</v>
      </c>
      <c r="Y162" s="214">
        <f t="shared" ref="Y162" si="217">SUM(Y163:Y174)</f>
        <v>1235240</v>
      </c>
      <c r="Z162" s="214">
        <f t="shared" ref="Z162" si="218">SUM(Z163:Z174)</f>
        <v>105190</v>
      </c>
      <c r="AA162" s="214">
        <f t="shared" si="216"/>
        <v>344160</v>
      </c>
      <c r="AB162" s="214">
        <f t="shared" si="216"/>
        <v>305890</v>
      </c>
      <c r="AC162" s="266">
        <f>SUM(AC163:AC174)</f>
        <v>6898050</v>
      </c>
    </row>
    <row r="163" spans="1:29" s="204" customFormat="1" ht="16.5" hidden="1" customHeight="1">
      <c r="A163" s="319"/>
      <c r="B163" s="211" t="s">
        <v>814</v>
      </c>
      <c r="C163" s="310">
        <v>12</v>
      </c>
      <c r="D163" s="310"/>
      <c r="E163" s="311" t="s">
        <v>273</v>
      </c>
      <c r="F163" s="312">
        <v>2444000</v>
      </c>
      <c r="G163" s="221"/>
      <c r="H163" s="220"/>
      <c r="I163" s="222"/>
      <c r="J163" s="221"/>
      <c r="K163" s="221"/>
      <c r="L163" s="221"/>
      <c r="M163" s="221" t="s">
        <v>60</v>
      </c>
      <c r="N163" s="221"/>
      <c r="O163" s="221">
        <v>0</v>
      </c>
      <c r="P163" s="221"/>
      <c r="Q163" s="221"/>
      <c r="R163" s="221"/>
      <c r="S163" s="221"/>
      <c r="T163" s="222"/>
      <c r="U163" s="214">
        <f t="shared" ref="U163:U174" si="219">SUM(F163,M163,O163,R163,T163,S163)</f>
        <v>2444000</v>
      </c>
      <c r="V163" s="250"/>
      <c r="W163" s="224">
        <f>ROUNDUP(U163*1/12,-1)</f>
        <v>203670</v>
      </c>
      <c r="X163" s="225">
        <f t="shared" ref="X163:X174" si="220">ROUND(U163*4.5%,-1)</f>
        <v>109980</v>
      </c>
      <c r="Y163" s="225">
        <f t="shared" ref="Y163" si="221">ROUNDUP((U163-L163)*3.23%,-1)</f>
        <v>78950</v>
      </c>
      <c r="Z163" s="225">
        <f t="shared" ref="Z163" si="222">ROUNDUP(Y163*8.51%,-1)</f>
        <v>6720</v>
      </c>
      <c r="AA163" s="225">
        <f t="shared" ref="AA163:AA174" si="223">ROUND(U163*0.9%,-1)</f>
        <v>22000</v>
      </c>
      <c r="AB163" s="225">
        <f t="shared" ref="AB163:AB174" si="224">ROUND(U163*0.8%,-1)</f>
        <v>19550</v>
      </c>
      <c r="AC163" s="252">
        <f t="shared" ref="AC163:AC174" si="225">SUM(W163:AB163)</f>
        <v>440870</v>
      </c>
    </row>
    <row r="164" spans="1:29" s="204" customFormat="1" ht="16.5" hidden="1" customHeight="1">
      <c r="A164" s="319"/>
      <c r="B164" s="211"/>
      <c r="C164" s="212"/>
      <c r="D164" s="212"/>
      <c r="E164" s="219" t="s">
        <v>274</v>
      </c>
      <c r="F164" s="221">
        <f>F163</f>
        <v>2444000</v>
      </c>
      <c r="G164" s="221"/>
      <c r="H164" s="221"/>
      <c r="I164" s="222"/>
      <c r="J164" s="221"/>
      <c r="K164" s="221"/>
      <c r="L164" s="221"/>
      <c r="M164" s="221">
        <f>F164*60%</f>
        <v>1466400</v>
      </c>
      <c r="N164" s="221"/>
      <c r="O164" s="221">
        <f t="shared" ref="O164:O174" si="226">O163</f>
        <v>0</v>
      </c>
      <c r="P164" s="221"/>
      <c r="Q164" s="221">
        <f t="shared" ref="Q164:Q174" si="227">ROUND((F163+T163)*1/209*1.5,-1)</f>
        <v>17540</v>
      </c>
      <c r="R164" s="221">
        <f>Q164*20</f>
        <v>350800</v>
      </c>
      <c r="S164" s="221">
        <f>Q164*5</f>
        <v>87700</v>
      </c>
      <c r="T164" s="222"/>
      <c r="U164" s="214">
        <f t="shared" si="219"/>
        <v>4348900</v>
      </c>
      <c r="V164" s="250"/>
      <c r="W164" s="224">
        <f>ROUNDUP((T164+U164)*1/12,-1)</f>
        <v>362410</v>
      </c>
      <c r="X164" s="225">
        <f t="shared" si="220"/>
        <v>195700</v>
      </c>
      <c r="Y164" s="225">
        <f t="shared" si="200"/>
        <v>140470</v>
      </c>
      <c r="Z164" s="225">
        <f t="shared" si="201"/>
        <v>11960</v>
      </c>
      <c r="AA164" s="225">
        <f t="shared" si="223"/>
        <v>39140</v>
      </c>
      <c r="AB164" s="225">
        <f t="shared" si="224"/>
        <v>34790</v>
      </c>
      <c r="AC164" s="252">
        <f t="shared" si="225"/>
        <v>784470</v>
      </c>
    </row>
    <row r="165" spans="1:29" s="204" customFormat="1" ht="16.5" hidden="1" customHeight="1">
      <c r="A165" s="319"/>
      <c r="B165" s="211"/>
      <c r="C165" s="212"/>
      <c r="D165" s="212"/>
      <c r="E165" s="219" t="s">
        <v>275</v>
      </c>
      <c r="F165" s="221">
        <f>F163</f>
        <v>2444000</v>
      </c>
      <c r="G165" s="221"/>
      <c r="H165" s="221"/>
      <c r="I165" s="222"/>
      <c r="J165" s="221"/>
      <c r="K165" s="221"/>
      <c r="L165" s="221"/>
      <c r="M165" s="221"/>
      <c r="N165" s="221"/>
      <c r="O165" s="221">
        <f t="shared" si="226"/>
        <v>0</v>
      </c>
      <c r="P165" s="221"/>
      <c r="Q165" s="221">
        <f t="shared" si="227"/>
        <v>17540</v>
      </c>
      <c r="R165" s="221">
        <f t="shared" ref="R165:R173" si="228">Q165*20</f>
        <v>350800</v>
      </c>
      <c r="S165" s="221">
        <f t="shared" ref="S165:S173" si="229">Q165*5</f>
        <v>87700</v>
      </c>
      <c r="T165" s="222"/>
      <c r="U165" s="214">
        <f t="shared" si="219"/>
        <v>2882500</v>
      </c>
      <c r="V165" s="250"/>
      <c r="W165" s="224">
        <f t="shared" ref="W165:W174" si="230">ROUNDUP(U165*1/12,-1)</f>
        <v>240210</v>
      </c>
      <c r="X165" s="225">
        <f t="shared" si="220"/>
        <v>129710</v>
      </c>
      <c r="Y165" s="225">
        <f t="shared" si="200"/>
        <v>93110</v>
      </c>
      <c r="Z165" s="225">
        <f t="shared" si="201"/>
        <v>7930</v>
      </c>
      <c r="AA165" s="225">
        <f t="shared" si="223"/>
        <v>25940</v>
      </c>
      <c r="AB165" s="225">
        <f t="shared" si="224"/>
        <v>23060</v>
      </c>
      <c r="AC165" s="252">
        <f t="shared" si="225"/>
        <v>519960</v>
      </c>
    </row>
    <row r="166" spans="1:29" s="204" customFormat="1" ht="16.5" hidden="1" customHeight="1">
      <c r="A166" s="319"/>
      <c r="B166" s="211"/>
      <c r="C166" s="310">
        <f>C163+1</f>
        <v>13</v>
      </c>
      <c r="D166" s="310"/>
      <c r="E166" s="311" t="s">
        <v>276</v>
      </c>
      <c r="F166" s="312">
        <v>2508000</v>
      </c>
      <c r="G166" s="221"/>
      <c r="H166" s="221"/>
      <c r="I166" s="222"/>
      <c r="J166" s="221"/>
      <c r="K166" s="221"/>
      <c r="L166" s="221"/>
      <c r="M166" s="221"/>
      <c r="N166" s="221"/>
      <c r="O166" s="221">
        <f t="shared" si="226"/>
        <v>0</v>
      </c>
      <c r="P166" s="221"/>
      <c r="Q166" s="221">
        <f t="shared" si="227"/>
        <v>17540</v>
      </c>
      <c r="R166" s="221">
        <f t="shared" si="228"/>
        <v>350800</v>
      </c>
      <c r="S166" s="221">
        <f t="shared" si="229"/>
        <v>87700</v>
      </c>
      <c r="T166" s="222"/>
      <c r="U166" s="214">
        <f t="shared" si="219"/>
        <v>2946500</v>
      </c>
      <c r="V166" s="250"/>
      <c r="W166" s="224">
        <f t="shared" si="230"/>
        <v>245550</v>
      </c>
      <c r="X166" s="225">
        <f t="shared" si="220"/>
        <v>132590</v>
      </c>
      <c r="Y166" s="225">
        <f t="shared" si="200"/>
        <v>95180</v>
      </c>
      <c r="Z166" s="225">
        <f t="shared" si="201"/>
        <v>8100</v>
      </c>
      <c r="AA166" s="225">
        <f t="shared" si="223"/>
        <v>26520</v>
      </c>
      <c r="AB166" s="225">
        <f t="shared" si="224"/>
        <v>23570</v>
      </c>
      <c r="AC166" s="252">
        <f t="shared" si="225"/>
        <v>531510</v>
      </c>
    </row>
    <row r="167" spans="1:29" s="204" customFormat="1" ht="16.5" hidden="1" customHeight="1">
      <c r="A167" s="319"/>
      <c r="B167" s="211"/>
      <c r="C167" s="212"/>
      <c r="D167" s="212"/>
      <c r="E167" s="219" t="s">
        <v>277</v>
      </c>
      <c r="F167" s="221">
        <f>F166</f>
        <v>2508000</v>
      </c>
      <c r="G167" s="221"/>
      <c r="H167" s="221"/>
      <c r="I167" s="222"/>
      <c r="J167" s="221"/>
      <c r="K167" s="221"/>
      <c r="L167" s="221"/>
      <c r="M167" s="221"/>
      <c r="N167" s="221"/>
      <c r="O167" s="221">
        <f t="shared" si="226"/>
        <v>0</v>
      </c>
      <c r="P167" s="221"/>
      <c r="Q167" s="221">
        <f t="shared" si="227"/>
        <v>18000</v>
      </c>
      <c r="R167" s="221">
        <f t="shared" si="228"/>
        <v>360000</v>
      </c>
      <c r="S167" s="221">
        <f t="shared" si="229"/>
        <v>90000</v>
      </c>
      <c r="T167" s="222"/>
      <c r="U167" s="214">
        <f t="shared" si="219"/>
        <v>2958000</v>
      </c>
      <c r="V167" s="250"/>
      <c r="W167" s="224">
        <f t="shared" si="230"/>
        <v>246500</v>
      </c>
      <c r="X167" s="225">
        <f t="shared" si="220"/>
        <v>133110</v>
      </c>
      <c r="Y167" s="225">
        <f t="shared" si="200"/>
        <v>95550</v>
      </c>
      <c r="Z167" s="225">
        <f t="shared" si="201"/>
        <v>8140</v>
      </c>
      <c r="AA167" s="225">
        <f t="shared" si="223"/>
        <v>26620</v>
      </c>
      <c r="AB167" s="225">
        <f t="shared" si="224"/>
        <v>23660</v>
      </c>
      <c r="AC167" s="252">
        <f t="shared" si="225"/>
        <v>533580</v>
      </c>
    </row>
    <row r="168" spans="1:29" s="204" customFormat="1" ht="16.5" hidden="1" customHeight="1">
      <c r="A168" s="319"/>
      <c r="B168" s="211"/>
      <c r="C168" s="212"/>
      <c r="D168" s="212"/>
      <c r="E168" s="219" t="s">
        <v>278</v>
      </c>
      <c r="F168" s="221">
        <f>F166</f>
        <v>2508000</v>
      </c>
      <c r="G168" s="221"/>
      <c r="H168" s="221"/>
      <c r="I168" s="222"/>
      <c r="J168" s="221"/>
      <c r="K168" s="221"/>
      <c r="L168" s="221"/>
      <c r="M168" s="221"/>
      <c r="N168" s="221"/>
      <c r="O168" s="221">
        <f t="shared" si="226"/>
        <v>0</v>
      </c>
      <c r="P168" s="221"/>
      <c r="Q168" s="221">
        <f t="shared" si="227"/>
        <v>18000</v>
      </c>
      <c r="R168" s="221">
        <f t="shared" si="228"/>
        <v>360000</v>
      </c>
      <c r="S168" s="221">
        <f t="shared" si="229"/>
        <v>90000</v>
      </c>
      <c r="T168" s="222"/>
      <c r="U168" s="214">
        <f t="shared" si="219"/>
        <v>2958000</v>
      </c>
      <c r="V168" s="250"/>
      <c r="W168" s="224">
        <f t="shared" si="230"/>
        <v>246500</v>
      </c>
      <c r="X168" s="225">
        <f t="shared" si="220"/>
        <v>133110</v>
      </c>
      <c r="Y168" s="225">
        <f t="shared" si="200"/>
        <v>95550</v>
      </c>
      <c r="Z168" s="225">
        <f t="shared" si="201"/>
        <v>8140</v>
      </c>
      <c r="AA168" s="225">
        <f t="shared" si="223"/>
        <v>26620</v>
      </c>
      <c r="AB168" s="225">
        <f t="shared" si="224"/>
        <v>23660</v>
      </c>
      <c r="AC168" s="252">
        <f t="shared" si="225"/>
        <v>533580</v>
      </c>
    </row>
    <row r="169" spans="1:29" s="204" customFormat="1" ht="16.5" hidden="1" customHeight="1">
      <c r="A169" s="319"/>
      <c r="B169" s="211"/>
      <c r="C169" s="212"/>
      <c r="D169" s="212"/>
      <c r="E169" s="219" t="s">
        <v>279</v>
      </c>
      <c r="F169" s="222">
        <f>F166</f>
        <v>2508000</v>
      </c>
      <c r="G169" s="221"/>
      <c r="H169" s="220"/>
      <c r="I169" s="222"/>
      <c r="J169" s="221"/>
      <c r="K169" s="221"/>
      <c r="L169" s="221"/>
      <c r="M169" s="221"/>
      <c r="N169" s="221"/>
      <c r="O169" s="221">
        <f t="shared" si="226"/>
        <v>0</v>
      </c>
      <c r="P169" s="221"/>
      <c r="Q169" s="221">
        <f t="shared" si="227"/>
        <v>18000</v>
      </c>
      <c r="R169" s="221">
        <f t="shared" si="228"/>
        <v>360000</v>
      </c>
      <c r="S169" s="221">
        <f t="shared" si="229"/>
        <v>90000</v>
      </c>
      <c r="T169" s="222"/>
      <c r="U169" s="214">
        <f t="shared" si="219"/>
        <v>2958000</v>
      </c>
      <c r="V169" s="250"/>
      <c r="W169" s="224">
        <f t="shared" si="230"/>
        <v>246500</v>
      </c>
      <c r="X169" s="225">
        <f t="shared" si="220"/>
        <v>133110</v>
      </c>
      <c r="Y169" s="225">
        <f t="shared" si="200"/>
        <v>95550</v>
      </c>
      <c r="Z169" s="225">
        <f t="shared" si="201"/>
        <v>8140</v>
      </c>
      <c r="AA169" s="225">
        <f t="shared" si="223"/>
        <v>26620</v>
      </c>
      <c r="AB169" s="225">
        <f t="shared" si="224"/>
        <v>23660</v>
      </c>
      <c r="AC169" s="252">
        <f t="shared" si="225"/>
        <v>533580</v>
      </c>
    </row>
    <row r="170" spans="1:29" s="204" customFormat="1" ht="16.5" hidden="1" customHeight="1">
      <c r="A170" s="319"/>
      <c r="B170" s="211"/>
      <c r="C170" s="212"/>
      <c r="D170" s="212"/>
      <c r="E170" s="219" t="s">
        <v>280</v>
      </c>
      <c r="F170" s="221">
        <f>F166</f>
        <v>2508000</v>
      </c>
      <c r="G170" s="221"/>
      <c r="H170" s="221"/>
      <c r="I170" s="222"/>
      <c r="J170" s="221"/>
      <c r="K170" s="221"/>
      <c r="L170" s="221"/>
      <c r="M170" s="221"/>
      <c r="N170" s="221"/>
      <c r="O170" s="221">
        <f t="shared" si="226"/>
        <v>0</v>
      </c>
      <c r="P170" s="221"/>
      <c r="Q170" s="221">
        <f t="shared" si="227"/>
        <v>18000</v>
      </c>
      <c r="R170" s="221">
        <f t="shared" si="228"/>
        <v>360000</v>
      </c>
      <c r="S170" s="221">
        <f t="shared" si="229"/>
        <v>90000</v>
      </c>
      <c r="T170" s="222"/>
      <c r="U170" s="214">
        <f t="shared" si="219"/>
        <v>2958000</v>
      </c>
      <c r="V170" s="250"/>
      <c r="W170" s="224">
        <f t="shared" si="230"/>
        <v>246500</v>
      </c>
      <c r="X170" s="225">
        <f t="shared" si="220"/>
        <v>133110</v>
      </c>
      <c r="Y170" s="225">
        <f t="shared" si="200"/>
        <v>95550</v>
      </c>
      <c r="Z170" s="225">
        <f t="shared" si="201"/>
        <v>8140</v>
      </c>
      <c r="AA170" s="225">
        <f t="shared" si="223"/>
        <v>26620</v>
      </c>
      <c r="AB170" s="225">
        <f t="shared" si="224"/>
        <v>23660</v>
      </c>
      <c r="AC170" s="252">
        <f t="shared" si="225"/>
        <v>533580</v>
      </c>
    </row>
    <row r="171" spans="1:29" s="204" customFormat="1" ht="16.5" hidden="1" customHeight="1">
      <c r="A171" s="319"/>
      <c r="B171" s="211"/>
      <c r="C171" s="212"/>
      <c r="D171" s="212"/>
      <c r="E171" s="219" t="s">
        <v>54</v>
      </c>
      <c r="F171" s="221">
        <f>F166</f>
        <v>2508000</v>
      </c>
      <c r="G171" s="221"/>
      <c r="H171" s="221"/>
      <c r="I171" s="222"/>
      <c r="J171" s="221"/>
      <c r="K171" s="221"/>
      <c r="L171" s="221"/>
      <c r="M171" s="221">
        <f t="shared" ref="M171" si="231">F171*60%</f>
        <v>1504800</v>
      </c>
      <c r="N171" s="221"/>
      <c r="O171" s="221">
        <f t="shared" si="226"/>
        <v>0</v>
      </c>
      <c r="P171" s="221"/>
      <c r="Q171" s="221">
        <f t="shared" si="227"/>
        <v>18000</v>
      </c>
      <c r="R171" s="221">
        <f t="shared" si="228"/>
        <v>360000</v>
      </c>
      <c r="S171" s="221">
        <f t="shared" si="229"/>
        <v>90000</v>
      </c>
      <c r="T171" s="222"/>
      <c r="U171" s="214">
        <f t="shared" si="219"/>
        <v>4462800</v>
      </c>
      <c r="V171" s="250"/>
      <c r="W171" s="224">
        <f t="shared" si="230"/>
        <v>371900</v>
      </c>
      <c r="X171" s="225">
        <f t="shared" si="220"/>
        <v>200830</v>
      </c>
      <c r="Y171" s="225">
        <f t="shared" si="200"/>
        <v>144150</v>
      </c>
      <c r="Z171" s="225">
        <f t="shared" si="201"/>
        <v>12270</v>
      </c>
      <c r="AA171" s="225">
        <f t="shared" si="223"/>
        <v>40170</v>
      </c>
      <c r="AB171" s="225">
        <f t="shared" si="224"/>
        <v>35700</v>
      </c>
      <c r="AC171" s="252">
        <f t="shared" si="225"/>
        <v>805020</v>
      </c>
    </row>
    <row r="172" spans="1:29" s="204" customFormat="1" ht="16.5" hidden="1" customHeight="1">
      <c r="A172" s="319"/>
      <c r="B172" s="211"/>
      <c r="C172" s="212"/>
      <c r="D172" s="212"/>
      <c r="E172" s="219" t="s">
        <v>55</v>
      </c>
      <c r="F172" s="221">
        <f>F166</f>
        <v>2508000</v>
      </c>
      <c r="G172" s="221"/>
      <c r="H172" s="221"/>
      <c r="I172" s="222"/>
      <c r="J172" s="221"/>
      <c r="K172" s="221"/>
      <c r="L172" s="221"/>
      <c r="M172" s="221"/>
      <c r="N172" s="221"/>
      <c r="O172" s="221">
        <f t="shared" si="226"/>
        <v>0</v>
      </c>
      <c r="P172" s="221"/>
      <c r="Q172" s="221">
        <f t="shared" si="227"/>
        <v>18000</v>
      </c>
      <c r="R172" s="221">
        <f t="shared" si="228"/>
        <v>360000</v>
      </c>
      <c r="S172" s="221">
        <f t="shared" si="229"/>
        <v>90000</v>
      </c>
      <c r="T172" s="222"/>
      <c r="U172" s="214">
        <f t="shared" si="219"/>
        <v>2958000</v>
      </c>
      <c r="V172" s="250"/>
      <c r="W172" s="224">
        <f t="shared" si="230"/>
        <v>246500</v>
      </c>
      <c r="X172" s="225">
        <f t="shared" si="220"/>
        <v>133110</v>
      </c>
      <c r="Y172" s="225">
        <f t="shared" si="200"/>
        <v>95550</v>
      </c>
      <c r="Z172" s="225">
        <f t="shared" si="201"/>
        <v>8140</v>
      </c>
      <c r="AA172" s="225">
        <f t="shared" si="223"/>
        <v>26620</v>
      </c>
      <c r="AB172" s="225">
        <f t="shared" si="224"/>
        <v>23660</v>
      </c>
      <c r="AC172" s="252">
        <f t="shared" si="225"/>
        <v>533580</v>
      </c>
    </row>
    <row r="173" spans="1:29" s="204" customFormat="1" ht="16.5" hidden="1" customHeight="1">
      <c r="A173" s="319"/>
      <c r="B173" s="211"/>
      <c r="C173" s="212"/>
      <c r="D173" s="212"/>
      <c r="E173" s="219" t="s">
        <v>56</v>
      </c>
      <c r="F173" s="221">
        <f>F166</f>
        <v>2508000</v>
      </c>
      <c r="G173" s="221"/>
      <c r="H173" s="221"/>
      <c r="I173" s="222"/>
      <c r="J173" s="221"/>
      <c r="K173" s="221"/>
      <c r="L173" s="221"/>
      <c r="M173" s="221"/>
      <c r="N173" s="221"/>
      <c r="O173" s="221">
        <f t="shared" si="226"/>
        <v>0</v>
      </c>
      <c r="P173" s="221"/>
      <c r="Q173" s="221">
        <f t="shared" si="227"/>
        <v>18000</v>
      </c>
      <c r="R173" s="221">
        <f t="shared" si="228"/>
        <v>360000</v>
      </c>
      <c r="S173" s="221">
        <f t="shared" si="229"/>
        <v>90000</v>
      </c>
      <c r="T173" s="222"/>
      <c r="U173" s="214">
        <f t="shared" si="219"/>
        <v>2958000</v>
      </c>
      <c r="V173" s="250"/>
      <c r="W173" s="224">
        <f t="shared" si="230"/>
        <v>246500</v>
      </c>
      <c r="X173" s="225">
        <f t="shared" si="220"/>
        <v>133110</v>
      </c>
      <c r="Y173" s="225">
        <f t="shared" si="200"/>
        <v>95550</v>
      </c>
      <c r="Z173" s="225">
        <f t="shared" si="201"/>
        <v>8140</v>
      </c>
      <c r="AA173" s="225">
        <f t="shared" si="223"/>
        <v>26620</v>
      </c>
      <c r="AB173" s="225">
        <f t="shared" si="224"/>
        <v>23660</v>
      </c>
      <c r="AC173" s="252">
        <f t="shared" si="225"/>
        <v>533580</v>
      </c>
    </row>
    <row r="174" spans="1:29" s="204" customFormat="1" ht="16.5" hidden="1" customHeight="1">
      <c r="A174" s="319"/>
      <c r="B174" s="211"/>
      <c r="C174" s="212"/>
      <c r="D174" s="212"/>
      <c r="E174" s="219" t="s">
        <v>281</v>
      </c>
      <c r="F174" s="221">
        <f>F166</f>
        <v>2508000</v>
      </c>
      <c r="G174" s="221"/>
      <c r="H174" s="221"/>
      <c r="I174" s="222"/>
      <c r="J174" s="221"/>
      <c r="K174" s="221"/>
      <c r="L174" s="221"/>
      <c r="M174" s="221"/>
      <c r="N174" s="221"/>
      <c r="O174" s="221">
        <f t="shared" si="226"/>
        <v>0</v>
      </c>
      <c r="P174" s="221"/>
      <c r="Q174" s="221">
        <f t="shared" si="227"/>
        <v>18000</v>
      </c>
      <c r="R174" s="221">
        <f>Q174*20*2</f>
        <v>720000</v>
      </c>
      <c r="S174" s="221">
        <f>(Q174*5)*2</f>
        <v>180000</v>
      </c>
      <c r="T174" s="222"/>
      <c r="U174" s="214">
        <f t="shared" si="219"/>
        <v>3408000</v>
      </c>
      <c r="V174" s="250"/>
      <c r="W174" s="224">
        <f t="shared" si="230"/>
        <v>284000</v>
      </c>
      <c r="X174" s="225">
        <f t="shared" si="220"/>
        <v>153360</v>
      </c>
      <c r="Y174" s="225">
        <f t="shared" si="200"/>
        <v>110080</v>
      </c>
      <c r="Z174" s="225">
        <f t="shared" si="201"/>
        <v>9370</v>
      </c>
      <c r="AA174" s="225">
        <f t="shared" si="223"/>
        <v>30670</v>
      </c>
      <c r="AB174" s="225">
        <f t="shared" si="224"/>
        <v>27260</v>
      </c>
      <c r="AC174" s="252">
        <f t="shared" si="225"/>
        <v>614740</v>
      </c>
    </row>
    <row r="175" spans="1:29" s="204" customFormat="1" ht="16.5" customHeight="1">
      <c r="A175" s="319">
        <v>14</v>
      </c>
      <c r="B175" s="211" t="s">
        <v>87</v>
      </c>
      <c r="C175" s="212" t="s">
        <v>609</v>
      </c>
      <c r="D175" s="212">
        <v>1</v>
      </c>
      <c r="E175" s="213" t="s">
        <v>86</v>
      </c>
      <c r="F175" s="214">
        <f t="shared" ref="F175:N175" si="232">SUM(F176:F187)</f>
        <v>28962000</v>
      </c>
      <c r="G175" s="214">
        <f t="shared" si="232"/>
        <v>0</v>
      </c>
      <c r="H175" s="214">
        <f t="shared" si="232"/>
        <v>0</v>
      </c>
      <c r="I175" s="214">
        <f t="shared" si="232"/>
        <v>0</v>
      </c>
      <c r="J175" s="214">
        <f t="shared" si="232"/>
        <v>0</v>
      </c>
      <c r="K175" s="214">
        <f t="shared" si="232"/>
        <v>0</v>
      </c>
      <c r="L175" s="214">
        <f t="shared" si="232"/>
        <v>0</v>
      </c>
      <c r="M175" s="214">
        <f t="shared" si="232"/>
        <v>2894400</v>
      </c>
      <c r="N175" s="214">
        <f t="shared" si="232"/>
        <v>0</v>
      </c>
      <c r="O175" s="214">
        <f>SUM(O176:O187)</f>
        <v>240000</v>
      </c>
      <c r="P175" s="214">
        <f t="shared" ref="P175" si="233">SUM(P176:P187)</f>
        <v>0</v>
      </c>
      <c r="Q175" s="214"/>
      <c r="R175" s="214">
        <f>SUM(R176:R187)</f>
        <v>8314000</v>
      </c>
      <c r="S175" s="214">
        <f>SUM(S176:S187)</f>
        <v>0</v>
      </c>
      <c r="T175" s="214">
        <f t="shared" ref="T175:U175" si="234">SUM(T176:T187)</f>
        <v>0</v>
      </c>
      <c r="U175" s="214">
        <f t="shared" si="234"/>
        <v>40410400</v>
      </c>
      <c r="V175" s="250"/>
      <c r="W175" s="217">
        <f t="shared" ref="W175:AB175" si="235">SUM(W176:W187)</f>
        <v>3367580</v>
      </c>
      <c r="X175" s="214">
        <f t="shared" si="235"/>
        <v>1818440</v>
      </c>
      <c r="Y175" s="214">
        <f t="shared" si="235"/>
        <v>1305300</v>
      </c>
      <c r="Z175" s="214">
        <f t="shared" si="235"/>
        <v>111160</v>
      </c>
      <c r="AA175" s="214">
        <f t="shared" si="235"/>
        <v>363700</v>
      </c>
      <c r="AB175" s="214">
        <f t="shared" si="235"/>
        <v>323300</v>
      </c>
      <c r="AC175" s="266">
        <f>SUM(AC176:AC187)</f>
        <v>7289480</v>
      </c>
    </row>
    <row r="176" spans="1:29" s="204" customFormat="1" ht="16.5" hidden="1" customHeight="1">
      <c r="A176" s="319"/>
      <c r="B176" s="211" t="s">
        <v>815</v>
      </c>
      <c r="C176" s="310">
        <v>11</v>
      </c>
      <c r="D176" s="310"/>
      <c r="E176" s="311" t="s">
        <v>273</v>
      </c>
      <c r="F176" s="312">
        <v>2380000</v>
      </c>
      <c r="G176" s="221"/>
      <c r="H176" s="220"/>
      <c r="I176" s="222"/>
      <c r="J176" s="221"/>
      <c r="K176" s="221"/>
      <c r="L176" s="221"/>
      <c r="M176" s="221" t="s">
        <v>60</v>
      </c>
      <c r="N176" s="221"/>
      <c r="O176" s="221">
        <v>20000</v>
      </c>
      <c r="P176" s="221"/>
      <c r="Q176" s="221"/>
      <c r="R176" s="221"/>
      <c r="S176" s="221"/>
      <c r="T176" s="222"/>
      <c r="U176" s="214">
        <f t="shared" ref="U176:U187" si="236">SUM(F176,M176,O176,R176,T176,S176)</f>
        <v>2400000</v>
      </c>
      <c r="V176" s="250"/>
      <c r="W176" s="224">
        <f>ROUNDUP(U176*1/12,-1)</f>
        <v>200000</v>
      </c>
      <c r="X176" s="225">
        <f t="shared" ref="X176:X187" si="237">ROUND(U176*4.5%,-1)</f>
        <v>108000</v>
      </c>
      <c r="Y176" s="225">
        <f t="shared" ref="Y176" si="238">ROUNDUP((U176-L176)*3.23%,-1)</f>
        <v>77520</v>
      </c>
      <c r="Z176" s="225">
        <f t="shared" ref="Z176" si="239">ROUNDUP(Y176*8.51%,-1)</f>
        <v>6600</v>
      </c>
      <c r="AA176" s="225">
        <f t="shared" ref="AA176:AA187" si="240">ROUND(U176*0.9%,-1)</f>
        <v>21600</v>
      </c>
      <c r="AB176" s="225">
        <f t="shared" ref="AB176:AB187" si="241">ROUND(U176*0.8%,-1)</f>
        <v>19200</v>
      </c>
      <c r="AC176" s="252">
        <f t="shared" ref="AC176:AC187" si="242">SUM(W176:AB176)</f>
        <v>432920</v>
      </c>
    </row>
    <row r="177" spans="1:29" s="204" customFormat="1" ht="16.5" hidden="1" customHeight="1">
      <c r="A177" s="319"/>
      <c r="B177" s="211"/>
      <c r="C177" s="212"/>
      <c r="D177" s="212"/>
      <c r="E177" s="219" t="s">
        <v>274</v>
      </c>
      <c r="F177" s="221">
        <f>F176</f>
        <v>2380000</v>
      </c>
      <c r="G177" s="221"/>
      <c r="H177" s="221"/>
      <c r="I177" s="222"/>
      <c r="J177" s="221"/>
      <c r="K177" s="221"/>
      <c r="L177" s="221"/>
      <c r="M177" s="221">
        <f>F177*60%</f>
        <v>1428000</v>
      </c>
      <c r="N177" s="221"/>
      <c r="O177" s="221">
        <f t="shared" ref="O177:O187" si="243">O176</f>
        <v>20000</v>
      </c>
      <c r="P177" s="221"/>
      <c r="Q177" s="221">
        <f t="shared" ref="Q177:Q187" si="244">ROUND((F176+T176)*1/209*1.5,-1)</f>
        <v>17080</v>
      </c>
      <c r="R177" s="221">
        <f>Q177*40</f>
        <v>683200</v>
      </c>
      <c r="S177" s="221"/>
      <c r="T177" s="222"/>
      <c r="U177" s="214">
        <f t="shared" si="236"/>
        <v>4511200</v>
      </c>
      <c r="V177" s="250"/>
      <c r="W177" s="224">
        <f>ROUNDUP((T177+U177)*1/12,-1)</f>
        <v>375940</v>
      </c>
      <c r="X177" s="225">
        <f t="shared" si="237"/>
        <v>203000</v>
      </c>
      <c r="Y177" s="225">
        <f t="shared" si="200"/>
        <v>145720</v>
      </c>
      <c r="Z177" s="225">
        <f t="shared" si="201"/>
        <v>12410</v>
      </c>
      <c r="AA177" s="225">
        <f t="shared" si="240"/>
        <v>40600</v>
      </c>
      <c r="AB177" s="225">
        <f t="shared" si="241"/>
        <v>36090</v>
      </c>
      <c r="AC177" s="252">
        <f t="shared" si="242"/>
        <v>813760</v>
      </c>
    </row>
    <row r="178" spans="1:29" s="204" customFormat="1" ht="16.5" hidden="1" customHeight="1">
      <c r="A178" s="319"/>
      <c r="B178" s="211"/>
      <c r="C178" s="212"/>
      <c r="D178" s="212"/>
      <c r="E178" s="219" t="s">
        <v>275</v>
      </c>
      <c r="F178" s="221">
        <f>F177</f>
        <v>2380000</v>
      </c>
      <c r="G178" s="221"/>
      <c r="H178" s="221"/>
      <c r="I178" s="222"/>
      <c r="J178" s="221"/>
      <c r="K178" s="221"/>
      <c r="L178" s="221"/>
      <c r="M178" s="221"/>
      <c r="N178" s="221"/>
      <c r="O178" s="221">
        <f t="shared" si="243"/>
        <v>20000</v>
      </c>
      <c r="P178" s="221"/>
      <c r="Q178" s="221">
        <f t="shared" si="244"/>
        <v>17080</v>
      </c>
      <c r="R178" s="221">
        <f t="shared" ref="R178:R186" si="245">Q178*40</f>
        <v>683200</v>
      </c>
      <c r="S178" s="221"/>
      <c r="T178" s="222"/>
      <c r="U178" s="214">
        <f t="shared" si="236"/>
        <v>3083200</v>
      </c>
      <c r="V178" s="250"/>
      <c r="W178" s="224">
        <f t="shared" ref="W178:W187" si="246">ROUNDUP(U178*1/12,-1)</f>
        <v>256940</v>
      </c>
      <c r="X178" s="225">
        <f t="shared" si="237"/>
        <v>138740</v>
      </c>
      <c r="Y178" s="225">
        <f t="shared" si="200"/>
        <v>99590</v>
      </c>
      <c r="Z178" s="225">
        <f t="shared" si="201"/>
        <v>8480</v>
      </c>
      <c r="AA178" s="225">
        <f t="shared" si="240"/>
        <v>27750</v>
      </c>
      <c r="AB178" s="225">
        <f t="shared" si="241"/>
        <v>24670</v>
      </c>
      <c r="AC178" s="252">
        <f t="shared" si="242"/>
        <v>556170</v>
      </c>
    </row>
    <row r="179" spans="1:29" s="204" customFormat="1" ht="16.5" hidden="1" customHeight="1">
      <c r="A179" s="319"/>
      <c r="B179" s="211"/>
      <c r="C179" s="212"/>
      <c r="D179" s="212"/>
      <c r="E179" s="219" t="s">
        <v>276</v>
      </c>
      <c r="F179" s="221">
        <f>F178</f>
        <v>2380000</v>
      </c>
      <c r="G179" s="221"/>
      <c r="H179" s="221"/>
      <c r="I179" s="222"/>
      <c r="J179" s="221"/>
      <c r="K179" s="221"/>
      <c r="L179" s="221"/>
      <c r="M179" s="221"/>
      <c r="N179" s="221"/>
      <c r="O179" s="221">
        <f t="shared" si="243"/>
        <v>20000</v>
      </c>
      <c r="P179" s="221"/>
      <c r="Q179" s="221">
        <f t="shared" si="244"/>
        <v>17080</v>
      </c>
      <c r="R179" s="221">
        <f t="shared" si="245"/>
        <v>683200</v>
      </c>
      <c r="S179" s="221"/>
      <c r="T179" s="222"/>
      <c r="U179" s="214">
        <f t="shared" si="236"/>
        <v>3083200</v>
      </c>
      <c r="V179" s="250"/>
      <c r="W179" s="224">
        <f t="shared" si="246"/>
        <v>256940</v>
      </c>
      <c r="X179" s="225">
        <f t="shared" si="237"/>
        <v>138740</v>
      </c>
      <c r="Y179" s="225">
        <f t="shared" si="200"/>
        <v>99590</v>
      </c>
      <c r="Z179" s="225">
        <f t="shared" si="201"/>
        <v>8480</v>
      </c>
      <c r="AA179" s="225">
        <f t="shared" si="240"/>
        <v>27750</v>
      </c>
      <c r="AB179" s="225">
        <f t="shared" si="241"/>
        <v>24670</v>
      </c>
      <c r="AC179" s="252">
        <f t="shared" si="242"/>
        <v>556170</v>
      </c>
    </row>
    <row r="180" spans="1:29" s="204" customFormat="1" ht="16.5" hidden="1" customHeight="1">
      <c r="A180" s="319"/>
      <c r="B180" s="211"/>
      <c r="C180" s="212"/>
      <c r="D180" s="212"/>
      <c r="E180" s="219" t="s">
        <v>277</v>
      </c>
      <c r="F180" s="221">
        <f>F179</f>
        <v>2380000</v>
      </c>
      <c r="G180" s="221"/>
      <c r="H180" s="221"/>
      <c r="I180" s="222"/>
      <c r="J180" s="221"/>
      <c r="K180" s="221"/>
      <c r="L180" s="221"/>
      <c r="M180" s="221"/>
      <c r="N180" s="221"/>
      <c r="O180" s="221">
        <f t="shared" si="243"/>
        <v>20000</v>
      </c>
      <c r="P180" s="221"/>
      <c r="Q180" s="221">
        <f t="shared" si="244"/>
        <v>17080</v>
      </c>
      <c r="R180" s="221">
        <f t="shared" si="245"/>
        <v>683200</v>
      </c>
      <c r="S180" s="221"/>
      <c r="T180" s="222"/>
      <c r="U180" s="214">
        <f t="shared" si="236"/>
        <v>3083200</v>
      </c>
      <c r="V180" s="250"/>
      <c r="W180" s="224">
        <f t="shared" si="246"/>
        <v>256940</v>
      </c>
      <c r="X180" s="225">
        <f t="shared" si="237"/>
        <v>138740</v>
      </c>
      <c r="Y180" s="225">
        <f t="shared" si="200"/>
        <v>99590</v>
      </c>
      <c r="Z180" s="225">
        <f t="shared" si="201"/>
        <v>8480</v>
      </c>
      <c r="AA180" s="225">
        <f t="shared" si="240"/>
        <v>27750</v>
      </c>
      <c r="AB180" s="225">
        <f t="shared" si="241"/>
        <v>24670</v>
      </c>
      <c r="AC180" s="252">
        <f t="shared" si="242"/>
        <v>556170</v>
      </c>
    </row>
    <row r="181" spans="1:29" s="204" customFormat="1" ht="16.5" hidden="1" customHeight="1">
      <c r="A181" s="319"/>
      <c r="B181" s="211"/>
      <c r="C181" s="212"/>
      <c r="D181" s="212"/>
      <c r="E181" s="219" t="s">
        <v>278</v>
      </c>
      <c r="F181" s="221">
        <f>F180</f>
        <v>2380000</v>
      </c>
      <c r="G181" s="221"/>
      <c r="H181" s="221"/>
      <c r="I181" s="222"/>
      <c r="J181" s="221"/>
      <c r="K181" s="221"/>
      <c r="L181" s="221"/>
      <c r="M181" s="221"/>
      <c r="N181" s="221"/>
      <c r="O181" s="221">
        <f t="shared" si="243"/>
        <v>20000</v>
      </c>
      <c r="P181" s="221"/>
      <c r="Q181" s="221">
        <f t="shared" si="244"/>
        <v>17080</v>
      </c>
      <c r="R181" s="221">
        <f t="shared" si="245"/>
        <v>683200</v>
      </c>
      <c r="S181" s="221"/>
      <c r="T181" s="222"/>
      <c r="U181" s="214">
        <f t="shared" si="236"/>
        <v>3083200</v>
      </c>
      <c r="V181" s="250"/>
      <c r="W181" s="224">
        <f t="shared" si="246"/>
        <v>256940</v>
      </c>
      <c r="X181" s="225">
        <f t="shared" si="237"/>
        <v>138740</v>
      </c>
      <c r="Y181" s="225">
        <f t="shared" si="200"/>
        <v>99590</v>
      </c>
      <c r="Z181" s="225">
        <f t="shared" si="201"/>
        <v>8480</v>
      </c>
      <c r="AA181" s="225">
        <f t="shared" si="240"/>
        <v>27750</v>
      </c>
      <c r="AB181" s="225">
        <f t="shared" si="241"/>
        <v>24670</v>
      </c>
      <c r="AC181" s="252">
        <f t="shared" si="242"/>
        <v>556170</v>
      </c>
    </row>
    <row r="182" spans="1:29" s="204" customFormat="1" ht="16.5" hidden="1" customHeight="1">
      <c r="A182" s="319"/>
      <c r="B182" s="211"/>
      <c r="C182" s="310">
        <f>C176+1</f>
        <v>12</v>
      </c>
      <c r="D182" s="310"/>
      <c r="E182" s="311" t="s">
        <v>279</v>
      </c>
      <c r="F182" s="312">
        <v>2462000</v>
      </c>
      <c r="G182" s="221"/>
      <c r="H182" s="220"/>
      <c r="I182" s="222"/>
      <c r="J182" s="221"/>
      <c r="K182" s="221"/>
      <c r="L182" s="221"/>
      <c r="M182" s="221"/>
      <c r="N182" s="221"/>
      <c r="O182" s="221">
        <f t="shared" si="243"/>
        <v>20000</v>
      </c>
      <c r="P182" s="221"/>
      <c r="Q182" s="221">
        <f t="shared" si="244"/>
        <v>17080</v>
      </c>
      <c r="R182" s="221">
        <f t="shared" si="245"/>
        <v>683200</v>
      </c>
      <c r="S182" s="221"/>
      <c r="T182" s="222"/>
      <c r="U182" s="214">
        <f t="shared" si="236"/>
        <v>3165200</v>
      </c>
      <c r="V182" s="250"/>
      <c r="W182" s="224">
        <f t="shared" si="246"/>
        <v>263770</v>
      </c>
      <c r="X182" s="225">
        <f t="shared" si="237"/>
        <v>142430</v>
      </c>
      <c r="Y182" s="225">
        <f t="shared" si="200"/>
        <v>102240</v>
      </c>
      <c r="Z182" s="225">
        <f t="shared" si="201"/>
        <v>8710</v>
      </c>
      <c r="AA182" s="225">
        <f t="shared" si="240"/>
        <v>28490</v>
      </c>
      <c r="AB182" s="225">
        <f t="shared" si="241"/>
        <v>25320</v>
      </c>
      <c r="AC182" s="252">
        <f t="shared" si="242"/>
        <v>570960</v>
      </c>
    </row>
    <row r="183" spans="1:29" s="204" customFormat="1" ht="16.5" hidden="1" customHeight="1">
      <c r="A183" s="319"/>
      <c r="B183" s="211"/>
      <c r="C183" s="212"/>
      <c r="D183" s="212"/>
      <c r="E183" s="219" t="s">
        <v>280</v>
      </c>
      <c r="F183" s="221">
        <v>2444000</v>
      </c>
      <c r="G183" s="221"/>
      <c r="H183" s="221"/>
      <c r="I183" s="222"/>
      <c r="J183" s="221"/>
      <c r="K183" s="221"/>
      <c r="L183" s="221"/>
      <c r="M183" s="221"/>
      <c r="N183" s="221"/>
      <c r="O183" s="221">
        <v>20000</v>
      </c>
      <c r="P183" s="221"/>
      <c r="Q183" s="221">
        <f t="shared" si="244"/>
        <v>17670</v>
      </c>
      <c r="R183" s="221">
        <f t="shared" si="245"/>
        <v>706800</v>
      </c>
      <c r="S183" s="221"/>
      <c r="T183" s="222"/>
      <c r="U183" s="214">
        <f t="shared" si="236"/>
        <v>3170800</v>
      </c>
      <c r="V183" s="250"/>
      <c r="W183" s="224">
        <f t="shared" si="246"/>
        <v>264240</v>
      </c>
      <c r="X183" s="225">
        <f t="shared" si="237"/>
        <v>142690</v>
      </c>
      <c r="Y183" s="225">
        <f t="shared" si="200"/>
        <v>102420</v>
      </c>
      <c r="Z183" s="225">
        <f t="shared" si="201"/>
        <v>8720</v>
      </c>
      <c r="AA183" s="225">
        <f t="shared" si="240"/>
        <v>28540</v>
      </c>
      <c r="AB183" s="225">
        <f t="shared" si="241"/>
        <v>25370</v>
      </c>
      <c r="AC183" s="252">
        <f t="shared" si="242"/>
        <v>571980</v>
      </c>
    </row>
    <row r="184" spans="1:29" s="204" customFormat="1" ht="16.5" hidden="1" customHeight="1">
      <c r="A184" s="319"/>
      <c r="B184" s="211"/>
      <c r="C184" s="212"/>
      <c r="D184" s="212"/>
      <c r="E184" s="219" t="s">
        <v>54</v>
      </c>
      <c r="F184" s="221">
        <f>F183</f>
        <v>2444000</v>
      </c>
      <c r="G184" s="221"/>
      <c r="H184" s="221"/>
      <c r="I184" s="222"/>
      <c r="J184" s="221"/>
      <c r="K184" s="221"/>
      <c r="L184" s="221"/>
      <c r="M184" s="221">
        <f t="shared" ref="M184" si="247">F184*60%</f>
        <v>1466400</v>
      </c>
      <c r="N184" s="221"/>
      <c r="O184" s="221">
        <f t="shared" si="243"/>
        <v>20000</v>
      </c>
      <c r="P184" s="221"/>
      <c r="Q184" s="221">
        <f t="shared" si="244"/>
        <v>17540</v>
      </c>
      <c r="R184" s="221">
        <f t="shared" si="245"/>
        <v>701600</v>
      </c>
      <c r="S184" s="221"/>
      <c r="T184" s="222"/>
      <c r="U184" s="214">
        <f t="shared" si="236"/>
        <v>4632000</v>
      </c>
      <c r="V184" s="250"/>
      <c r="W184" s="224">
        <f t="shared" si="246"/>
        <v>386000</v>
      </c>
      <c r="X184" s="225">
        <f t="shared" si="237"/>
        <v>208440</v>
      </c>
      <c r="Y184" s="225">
        <f t="shared" si="200"/>
        <v>149620</v>
      </c>
      <c r="Z184" s="225">
        <f t="shared" si="201"/>
        <v>12740</v>
      </c>
      <c r="AA184" s="225">
        <f t="shared" si="240"/>
        <v>41690</v>
      </c>
      <c r="AB184" s="225">
        <f t="shared" si="241"/>
        <v>37060</v>
      </c>
      <c r="AC184" s="252">
        <f t="shared" si="242"/>
        <v>835550</v>
      </c>
    </row>
    <row r="185" spans="1:29" s="204" customFormat="1" ht="16.5" hidden="1" customHeight="1">
      <c r="A185" s="319"/>
      <c r="B185" s="211"/>
      <c r="C185" s="212"/>
      <c r="D185" s="212"/>
      <c r="E185" s="219" t="s">
        <v>55</v>
      </c>
      <c r="F185" s="221">
        <f>F184</f>
        <v>2444000</v>
      </c>
      <c r="G185" s="221"/>
      <c r="H185" s="221"/>
      <c r="I185" s="222"/>
      <c r="J185" s="221"/>
      <c r="K185" s="221"/>
      <c r="L185" s="221"/>
      <c r="M185" s="221"/>
      <c r="N185" s="221"/>
      <c r="O185" s="221">
        <f t="shared" si="243"/>
        <v>20000</v>
      </c>
      <c r="P185" s="221"/>
      <c r="Q185" s="221">
        <f t="shared" si="244"/>
        <v>17540</v>
      </c>
      <c r="R185" s="221">
        <f t="shared" si="245"/>
        <v>701600</v>
      </c>
      <c r="S185" s="221"/>
      <c r="T185" s="222"/>
      <c r="U185" s="214">
        <f t="shared" si="236"/>
        <v>3165600</v>
      </c>
      <c r="V185" s="250"/>
      <c r="W185" s="224">
        <f t="shared" si="246"/>
        <v>263800</v>
      </c>
      <c r="X185" s="225">
        <f t="shared" si="237"/>
        <v>142450</v>
      </c>
      <c r="Y185" s="225">
        <f t="shared" si="200"/>
        <v>102250</v>
      </c>
      <c r="Z185" s="225">
        <f t="shared" si="201"/>
        <v>8710</v>
      </c>
      <c r="AA185" s="225">
        <f t="shared" si="240"/>
        <v>28490</v>
      </c>
      <c r="AB185" s="225">
        <f t="shared" si="241"/>
        <v>25320</v>
      </c>
      <c r="AC185" s="252">
        <f t="shared" si="242"/>
        <v>571020</v>
      </c>
    </row>
    <row r="186" spans="1:29" s="204" customFormat="1" ht="16.5" hidden="1" customHeight="1">
      <c r="A186" s="319"/>
      <c r="B186" s="211"/>
      <c r="C186" s="212"/>
      <c r="D186" s="212"/>
      <c r="E186" s="219" t="s">
        <v>56</v>
      </c>
      <c r="F186" s="221">
        <f>F185</f>
        <v>2444000</v>
      </c>
      <c r="G186" s="221"/>
      <c r="H186" s="221"/>
      <c r="I186" s="222"/>
      <c r="J186" s="221"/>
      <c r="K186" s="221"/>
      <c r="L186" s="221"/>
      <c r="M186" s="221"/>
      <c r="N186" s="221"/>
      <c r="O186" s="221">
        <f t="shared" si="243"/>
        <v>20000</v>
      </c>
      <c r="P186" s="221"/>
      <c r="Q186" s="221">
        <f t="shared" si="244"/>
        <v>17540</v>
      </c>
      <c r="R186" s="221">
        <f t="shared" si="245"/>
        <v>701600</v>
      </c>
      <c r="S186" s="221"/>
      <c r="T186" s="222"/>
      <c r="U186" s="214">
        <f t="shared" si="236"/>
        <v>3165600</v>
      </c>
      <c r="V186" s="250"/>
      <c r="W186" s="224">
        <f t="shared" si="246"/>
        <v>263800</v>
      </c>
      <c r="X186" s="225">
        <f t="shared" si="237"/>
        <v>142450</v>
      </c>
      <c r="Y186" s="225">
        <f t="shared" si="200"/>
        <v>102250</v>
      </c>
      <c r="Z186" s="225">
        <f t="shared" si="201"/>
        <v>8710</v>
      </c>
      <c r="AA186" s="225">
        <f t="shared" si="240"/>
        <v>28490</v>
      </c>
      <c r="AB186" s="225">
        <f t="shared" si="241"/>
        <v>25320</v>
      </c>
      <c r="AC186" s="252">
        <f t="shared" si="242"/>
        <v>571020</v>
      </c>
    </row>
    <row r="187" spans="1:29" s="204" customFormat="1" ht="16.5" hidden="1" customHeight="1">
      <c r="A187" s="319"/>
      <c r="B187" s="211"/>
      <c r="C187" s="212"/>
      <c r="D187" s="212"/>
      <c r="E187" s="219" t="s">
        <v>281</v>
      </c>
      <c r="F187" s="221">
        <f>F186</f>
        <v>2444000</v>
      </c>
      <c r="G187" s="221"/>
      <c r="H187" s="221"/>
      <c r="I187" s="222"/>
      <c r="J187" s="221"/>
      <c r="K187" s="221"/>
      <c r="L187" s="221"/>
      <c r="M187" s="221"/>
      <c r="N187" s="221"/>
      <c r="O187" s="221">
        <f t="shared" si="243"/>
        <v>20000</v>
      </c>
      <c r="P187" s="221"/>
      <c r="Q187" s="221">
        <f t="shared" si="244"/>
        <v>17540</v>
      </c>
      <c r="R187" s="221">
        <f>Q187*40*2</f>
        <v>1403200</v>
      </c>
      <c r="S187" s="221"/>
      <c r="T187" s="222"/>
      <c r="U187" s="214">
        <f t="shared" si="236"/>
        <v>3867200</v>
      </c>
      <c r="V187" s="250"/>
      <c r="W187" s="224">
        <f t="shared" si="246"/>
        <v>322270</v>
      </c>
      <c r="X187" s="225">
        <f t="shared" si="237"/>
        <v>174020</v>
      </c>
      <c r="Y187" s="225">
        <f t="shared" si="200"/>
        <v>124920</v>
      </c>
      <c r="Z187" s="225">
        <f t="shared" si="201"/>
        <v>10640</v>
      </c>
      <c r="AA187" s="225">
        <f t="shared" si="240"/>
        <v>34800</v>
      </c>
      <c r="AB187" s="225">
        <f t="shared" si="241"/>
        <v>30940</v>
      </c>
      <c r="AC187" s="252">
        <f t="shared" si="242"/>
        <v>697590</v>
      </c>
    </row>
    <row r="188" spans="1:29" s="204" customFormat="1" ht="16.5" hidden="1" customHeight="1">
      <c r="A188" s="319">
        <v>15</v>
      </c>
      <c r="B188" s="211" t="s">
        <v>87</v>
      </c>
      <c r="C188" s="212" t="s">
        <v>609</v>
      </c>
      <c r="D188" s="212">
        <v>1</v>
      </c>
      <c r="E188" s="213" t="s">
        <v>86</v>
      </c>
      <c r="F188" s="214">
        <f t="shared" ref="F188:N188" si="248">SUM(F189:F200)</f>
        <v>29264000</v>
      </c>
      <c r="G188" s="214">
        <f t="shared" si="248"/>
        <v>0</v>
      </c>
      <c r="H188" s="214">
        <f t="shared" si="248"/>
        <v>0</v>
      </c>
      <c r="I188" s="214">
        <f t="shared" si="248"/>
        <v>0</v>
      </c>
      <c r="J188" s="214">
        <f t="shared" si="248"/>
        <v>0</v>
      </c>
      <c r="K188" s="214">
        <f t="shared" si="248"/>
        <v>0</v>
      </c>
      <c r="L188" s="214">
        <f t="shared" si="248"/>
        <v>0</v>
      </c>
      <c r="M188" s="214">
        <f t="shared" si="248"/>
        <v>2932800</v>
      </c>
      <c r="N188" s="214">
        <f t="shared" si="248"/>
        <v>0</v>
      </c>
      <c r="O188" s="214">
        <f>SUM(O189:O200)</f>
        <v>480000</v>
      </c>
      <c r="P188" s="214">
        <f t="shared" ref="P188" si="249">SUM(P189:P200)</f>
        <v>0</v>
      </c>
      <c r="Q188" s="214"/>
      <c r="R188" s="214">
        <f t="shared" ref="R188" si="250">SUM(R189:R200)</f>
        <v>3360320</v>
      </c>
      <c r="S188" s="214">
        <f>SUM(S189:S200)</f>
        <v>1050100</v>
      </c>
      <c r="T188" s="214">
        <f t="shared" ref="T188:U188" si="251">SUM(T189:T200)</f>
        <v>0</v>
      </c>
      <c r="U188" s="214">
        <f t="shared" si="251"/>
        <v>37087220</v>
      </c>
      <c r="V188" s="250"/>
      <c r="W188" s="217">
        <f t="shared" ref="W188:AB188" si="252">SUM(W189:W200)</f>
        <v>3090650</v>
      </c>
      <c r="X188" s="214">
        <f t="shared" si="252"/>
        <v>1668960</v>
      </c>
      <c r="Y188" s="214">
        <f t="shared" si="252"/>
        <v>1198010</v>
      </c>
      <c r="Z188" s="214">
        <f t="shared" si="252"/>
        <v>102050</v>
      </c>
      <c r="AA188" s="214">
        <f t="shared" si="252"/>
        <v>333780</v>
      </c>
      <c r="AB188" s="214">
        <f t="shared" si="252"/>
        <v>296710</v>
      </c>
      <c r="AC188" s="266">
        <f>SUM(AC189:AC200)</f>
        <v>6690160</v>
      </c>
    </row>
    <row r="189" spans="1:29" s="204" customFormat="1" ht="16.5" hidden="1" customHeight="1">
      <c r="A189" s="319"/>
      <c r="B189" s="211" t="s">
        <v>444</v>
      </c>
      <c r="C189" s="310">
        <v>11</v>
      </c>
      <c r="D189" s="310"/>
      <c r="E189" s="311" t="s">
        <v>273</v>
      </c>
      <c r="F189" s="312">
        <v>2380000</v>
      </c>
      <c r="G189" s="221"/>
      <c r="H189" s="220"/>
      <c r="I189" s="222"/>
      <c r="J189" s="221"/>
      <c r="K189" s="221"/>
      <c r="L189" s="221"/>
      <c r="M189" s="221" t="s">
        <v>60</v>
      </c>
      <c r="N189" s="221"/>
      <c r="O189" s="221">
        <v>40000</v>
      </c>
      <c r="P189" s="221"/>
      <c r="Q189" s="221"/>
      <c r="R189" s="221"/>
      <c r="S189" s="221"/>
      <c r="T189" s="222"/>
      <c r="U189" s="214">
        <f t="shared" ref="U189:U200" si="253">SUM(F189,M189,O189,R189,T189,S189)</f>
        <v>2420000</v>
      </c>
      <c r="V189" s="250"/>
      <c r="W189" s="224">
        <f>ROUNDUP(U189*1/12,-1)</f>
        <v>201670</v>
      </c>
      <c r="X189" s="225">
        <f t="shared" ref="X189:X200" si="254">ROUND(U189*4.5%,-1)</f>
        <v>108900</v>
      </c>
      <c r="Y189" s="225">
        <f t="shared" ref="Y189" si="255">ROUNDUP((U189-L189)*3.23%,-1)</f>
        <v>78170</v>
      </c>
      <c r="Z189" s="225">
        <f t="shared" ref="Z189" si="256">ROUNDUP(Y189*8.51%,-1)</f>
        <v>6660</v>
      </c>
      <c r="AA189" s="225">
        <f t="shared" ref="AA189:AA200" si="257">ROUND(U189*0.9%,-1)</f>
        <v>21780</v>
      </c>
      <c r="AB189" s="225">
        <f t="shared" ref="AB189:AB200" si="258">ROUND(U189*0.8%,-1)</f>
        <v>19360</v>
      </c>
      <c r="AC189" s="252">
        <f t="shared" ref="AC189:AC200" si="259">SUM(W189:AB189)</f>
        <v>436540</v>
      </c>
    </row>
    <row r="190" spans="1:29" s="204" customFormat="1" ht="16.5" hidden="1" customHeight="1">
      <c r="A190" s="319"/>
      <c r="B190" s="211"/>
      <c r="C190" s="310">
        <f>C189+1</f>
        <v>12</v>
      </c>
      <c r="D190" s="310"/>
      <c r="E190" s="311" t="s">
        <v>274</v>
      </c>
      <c r="F190" s="312">
        <v>2444000</v>
      </c>
      <c r="G190" s="221"/>
      <c r="H190" s="221"/>
      <c r="I190" s="222"/>
      <c r="J190" s="221"/>
      <c r="K190" s="221"/>
      <c r="L190" s="221"/>
      <c r="M190" s="221">
        <f>F190*60%</f>
        <v>1466400</v>
      </c>
      <c r="N190" s="221"/>
      <c r="O190" s="221">
        <f t="shared" ref="O190:O200" si="260">O189</f>
        <v>40000</v>
      </c>
      <c r="P190" s="221"/>
      <c r="Q190" s="221">
        <f t="shared" ref="Q190:Q200" si="261">ROUND((F189+T189)*1/209*1.5,-1)</f>
        <v>17080</v>
      </c>
      <c r="R190" s="221">
        <f>Q190*16</f>
        <v>273280</v>
      </c>
      <c r="S190" s="221">
        <f>Q190*5</f>
        <v>85400</v>
      </c>
      <c r="T190" s="222"/>
      <c r="U190" s="214">
        <f t="shared" si="253"/>
        <v>4309080</v>
      </c>
      <c r="V190" s="250"/>
      <c r="W190" s="224">
        <f>ROUNDUP((T190+U190)*1/12,-1)</f>
        <v>359090</v>
      </c>
      <c r="X190" s="225">
        <f t="shared" si="254"/>
        <v>193910</v>
      </c>
      <c r="Y190" s="225">
        <f t="shared" si="200"/>
        <v>139190</v>
      </c>
      <c r="Z190" s="225">
        <f t="shared" si="201"/>
        <v>11850</v>
      </c>
      <c r="AA190" s="225">
        <f t="shared" si="257"/>
        <v>38780</v>
      </c>
      <c r="AB190" s="225">
        <f t="shared" si="258"/>
        <v>34470</v>
      </c>
      <c r="AC190" s="252">
        <f t="shared" si="259"/>
        <v>777290</v>
      </c>
    </row>
    <row r="191" spans="1:29" s="204" customFormat="1" ht="16.5" hidden="1" customHeight="1">
      <c r="A191" s="319"/>
      <c r="B191" s="211"/>
      <c r="C191" s="212"/>
      <c r="D191" s="212"/>
      <c r="E191" s="219" t="s">
        <v>275</v>
      </c>
      <c r="F191" s="221">
        <f t="shared" ref="F191:F200" si="262">F190</f>
        <v>2444000</v>
      </c>
      <c r="G191" s="221"/>
      <c r="H191" s="221"/>
      <c r="I191" s="222"/>
      <c r="J191" s="221"/>
      <c r="K191" s="221"/>
      <c r="L191" s="221"/>
      <c r="M191" s="221"/>
      <c r="N191" s="221"/>
      <c r="O191" s="221">
        <f t="shared" si="260"/>
        <v>40000</v>
      </c>
      <c r="P191" s="221"/>
      <c r="Q191" s="221">
        <f t="shared" si="261"/>
        <v>17540</v>
      </c>
      <c r="R191" s="221">
        <f t="shared" ref="R191:R199" si="263">Q191*16</f>
        <v>280640</v>
      </c>
      <c r="S191" s="221">
        <f t="shared" ref="S191:S199" si="264">Q191*5</f>
        <v>87700</v>
      </c>
      <c r="T191" s="222"/>
      <c r="U191" s="214">
        <f t="shared" si="253"/>
        <v>2852340</v>
      </c>
      <c r="V191" s="250"/>
      <c r="W191" s="224">
        <f t="shared" ref="W191:W200" si="265">ROUNDUP(U191*1/12,-1)</f>
        <v>237700</v>
      </c>
      <c r="X191" s="225">
        <f t="shared" si="254"/>
        <v>128360</v>
      </c>
      <c r="Y191" s="225">
        <f t="shared" si="200"/>
        <v>92140</v>
      </c>
      <c r="Z191" s="225">
        <f t="shared" si="201"/>
        <v>7850</v>
      </c>
      <c r="AA191" s="225">
        <f t="shared" si="257"/>
        <v>25670</v>
      </c>
      <c r="AB191" s="225">
        <f t="shared" si="258"/>
        <v>22820</v>
      </c>
      <c r="AC191" s="252">
        <f t="shared" si="259"/>
        <v>514540</v>
      </c>
    </row>
    <row r="192" spans="1:29" s="204" customFormat="1" ht="16.5" hidden="1" customHeight="1">
      <c r="A192" s="319"/>
      <c r="B192" s="211"/>
      <c r="C192" s="212"/>
      <c r="D192" s="212"/>
      <c r="E192" s="219" t="s">
        <v>276</v>
      </c>
      <c r="F192" s="221">
        <f t="shared" si="262"/>
        <v>2444000</v>
      </c>
      <c r="G192" s="221"/>
      <c r="H192" s="221"/>
      <c r="I192" s="222"/>
      <c r="J192" s="221"/>
      <c r="K192" s="221"/>
      <c r="L192" s="221"/>
      <c r="M192" s="221"/>
      <c r="N192" s="221"/>
      <c r="O192" s="221">
        <v>40000</v>
      </c>
      <c r="P192" s="221"/>
      <c r="Q192" s="221">
        <f t="shared" si="261"/>
        <v>17540</v>
      </c>
      <c r="R192" s="221">
        <f t="shared" si="263"/>
        <v>280640</v>
      </c>
      <c r="S192" s="221">
        <f t="shared" si="264"/>
        <v>87700</v>
      </c>
      <c r="T192" s="222"/>
      <c r="U192" s="214">
        <f t="shared" si="253"/>
        <v>2852340</v>
      </c>
      <c r="V192" s="250"/>
      <c r="W192" s="224">
        <f t="shared" si="265"/>
        <v>237700</v>
      </c>
      <c r="X192" s="225">
        <f t="shared" si="254"/>
        <v>128360</v>
      </c>
      <c r="Y192" s="225">
        <f t="shared" si="200"/>
        <v>92140</v>
      </c>
      <c r="Z192" s="225">
        <f t="shared" si="201"/>
        <v>7850</v>
      </c>
      <c r="AA192" s="225">
        <f t="shared" si="257"/>
        <v>25670</v>
      </c>
      <c r="AB192" s="225">
        <f t="shared" si="258"/>
        <v>22820</v>
      </c>
      <c r="AC192" s="252">
        <f t="shared" si="259"/>
        <v>514540</v>
      </c>
    </row>
    <row r="193" spans="1:29" s="204" customFormat="1" ht="16.5" hidden="1" customHeight="1">
      <c r="A193" s="319"/>
      <c r="B193" s="211"/>
      <c r="C193" s="212"/>
      <c r="D193" s="212"/>
      <c r="E193" s="219" t="s">
        <v>277</v>
      </c>
      <c r="F193" s="221">
        <f t="shared" si="262"/>
        <v>2444000</v>
      </c>
      <c r="G193" s="221"/>
      <c r="H193" s="221"/>
      <c r="I193" s="222"/>
      <c r="J193" s="221"/>
      <c r="K193" s="221"/>
      <c r="L193" s="221"/>
      <c r="M193" s="221"/>
      <c r="N193" s="221"/>
      <c r="O193" s="221">
        <f t="shared" si="260"/>
        <v>40000</v>
      </c>
      <c r="P193" s="221"/>
      <c r="Q193" s="221">
        <f t="shared" si="261"/>
        <v>17540</v>
      </c>
      <c r="R193" s="221">
        <f t="shared" si="263"/>
        <v>280640</v>
      </c>
      <c r="S193" s="221">
        <f t="shared" si="264"/>
        <v>87700</v>
      </c>
      <c r="T193" s="222"/>
      <c r="U193" s="214">
        <f t="shared" si="253"/>
        <v>2852340</v>
      </c>
      <c r="V193" s="250"/>
      <c r="W193" s="224">
        <f t="shared" si="265"/>
        <v>237700</v>
      </c>
      <c r="X193" s="225">
        <f t="shared" si="254"/>
        <v>128360</v>
      </c>
      <c r="Y193" s="225">
        <f t="shared" si="200"/>
        <v>92140</v>
      </c>
      <c r="Z193" s="225">
        <f t="shared" si="201"/>
        <v>7850</v>
      </c>
      <c r="AA193" s="225">
        <f t="shared" si="257"/>
        <v>25670</v>
      </c>
      <c r="AB193" s="225">
        <f t="shared" si="258"/>
        <v>22820</v>
      </c>
      <c r="AC193" s="252">
        <f t="shared" si="259"/>
        <v>514540</v>
      </c>
    </row>
    <row r="194" spans="1:29" s="204" customFormat="1" ht="16.5" hidden="1" customHeight="1">
      <c r="A194" s="319"/>
      <c r="B194" s="211"/>
      <c r="C194" s="212"/>
      <c r="D194" s="212"/>
      <c r="E194" s="219" t="s">
        <v>278</v>
      </c>
      <c r="F194" s="221">
        <f t="shared" si="262"/>
        <v>2444000</v>
      </c>
      <c r="G194" s="221"/>
      <c r="H194" s="221"/>
      <c r="I194" s="222"/>
      <c r="J194" s="221"/>
      <c r="K194" s="221"/>
      <c r="L194" s="221"/>
      <c r="M194" s="221"/>
      <c r="N194" s="221"/>
      <c r="O194" s="221">
        <f t="shared" si="260"/>
        <v>40000</v>
      </c>
      <c r="P194" s="221"/>
      <c r="Q194" s="221">
        <f t="shared" si="261"/>
        <v>17540</v>
      </c>
      <c r="R194" s="221">
        <f t="shared" si="263"/>
        <v>280640</v>
      </c>
      <c r="S194" s="221">
        <f t="shared" si="264"/>
        <v>87700</v>
      </c>
      <c r="T194" s="222"/>
      <c r="U194" s="214">
        <f t="shared" si="253"/>
        <v>2852340</v>
      </c>
      <c r="V194" s="250"/>
      <c r="W194" s="224">
        <f t="shared" si="265"/>
        <v>237700</v>
      </c>
      <c r="X194" s="225">
        <f t="shared" si="254"/>
        <v>128360</v>
      </c>
      <c r="Y194" s="225">
        <f t="shared" si="200"/>
        <v>92140</v>
      </c>
      <c r="Z194" s="225">
        <f t="shared" si="201"/>
        <v>7850</v>
      </c>
      <c r="AA194" s="225">
        <f t="shared" si="257"/>
        <v>25670</v>
      </c>
      <c r="AB194" s="225">
        <f t="shared" si="258"/>
        <v>22820</v>
      </c>
      <c r="AC194" s="252">
        <f t="shared" si="259"/>
        <v>514540</v>
      </c>
    </row>
    <row r="195" spans="1:29" s="204" customFormat="1" ht="16.5" hidden="1" customHeight="1">
      <c r="A195" s="319"/>
      <c r="B195" s="211"/>
      <c r="C195" s="212"/>
      <c r="D195" s="212"/>
      <c r="E195" s="219" t="s">
        <v>279</v>
      </c>
      <c r="F195" s="221">
        <f t="shared" si="262"/>
        <v>2444000</v>
      </c>
      <c r="G195" s="221"/>
      <c r="H195" s="220"/>
      <c r="I195" s="222"/>
      <c r="J195" s="221"/>
      <c r="K195" s="221"/>
      <c r="L195" s="221"/>
      <c r="M195" s="221"/>
      <c r="N195" s="221"/>
      <c r="O195" s="221">
        <f t="shared" si="260"/>
        <v>40000</v>
      </c>
      <c r="P195" s="221"/>
      <c r="Q195" s="221">
        <f t="shared" si="261"/>
        <v>17540</v>
      </c>
      <c r="R195" s="221">
        <f t="shared" si="263"/>
        <v>280640</v>
      </c>
      <c r="S195" s="221">
        <f t="shared" si="264"/>
        <v>87700</v>
      </c>
      <c r="T195" s="222"/>
      <c r="U195" s="214">
        <f t="shared" si="253"/>
        <v>2852340</v>
      </c>
      <c r="V195" s="250"/>
      <c r="W195" s="224">
        <f t="shared" si="265"/>
        <v>237700</v>
      </c>
      <c r="X195" s="225">
        <f t="shared" si="254"/>
        <v>128360</v>
      </c>
      <c r="Y195" s="225">
        <f t="shared" si="200"/>
        <v>92140</v>
      </c>
      <c r="Z195" s="225">
        <f t="shared" si="201"/>
        <v>7850</v>
      </c>
      <c r="AA195" s="225">
        <f t="shared" si="257"/>
        <v>25670</v>
      </c>
      <c r="AB195" s="225">
        <f t="shared" si="258"/>
        <v>22820</v>
      </c>
      <c r="AC195" s="252">
        <f t="shared" si="259"/>
        <v>514540</v>
      </c>
    </row>
    <row r="196" spans="1:29" s="204" customFormat="1" ht="16.5" hidden="1" customHeight="1">
      <c r="A196" s="319"/>
      <c r="B196" s="211"/>
      <c r="C196" s="212"/>
      <c r="D196" s="212"/>
      <c r="E196" s="219" t="s">
        <v>280</v>
      </c>
      <c r="F196" s="221">
        <f t="shared" si="262"/>
        <v>2444000</v>
      </c>
      <c r="G196" s="221"/>
      <c r="H196" s="221"/>
      <c r="I196" s="222"/>
      <c r="J196" s="221"/>
      <c r="K196" s="221"/>
      <c r="L196" s="221"/>
      <c r="M196" s="221"/>
      <c r="N196" s="221"/>
      <c r="O196" s="221">
        <f t="shared" si="260"/>
        <v>40000</v>
      </c>
      <c r="P196" s="221"/>
      <c r="Q196" s="221">
        <f t="shared" si="261"/>
        <v>17540</v>
      </c>
      <c r="R196" s="221">
        <f t="shared" si="263"/>
        <v>280640</v>
      </c>
      <c r="S196" s="221">
        <f t="shared" si="264"/>
        <v>87700</v>
      </c>
      <c r="T196" s="222"/>
      <c r="U196" s="214">
        <f t="shared" si="253"/>
        <v>2852340</v>
      </c>
      <c r="V196" s="250"/>
      <c r="W196" s="224">
        <f t="shared" si="265"/>
        <v>237700</v>
      </c>
      <c r="X196" s="225">
        <f t="shared" si="254"/>
        <v>128360</v>
      </c>
      <c r="Y196" s="225">
        <f t="shared" si="200"/>
        <v>92140</v>
      </c>
      <c r="Z196" s="225">
        <f t="shared" si="201"/>
        <v>7850</v>
      </c>
      <c r="AA196" s="225">
        <f t="shared" si="257"/>
        <v>25670</v>
      </c>
      <c r="AB196" s="225">
        <f t="shared" si="258"/>
        <v>22820</v>
      </c>
      <c r="AC196" s="252">
        <f t="shared" si="259"/>
        <v>514540</v>
      </c>
    </row>
    <row r="197" spans="1:29" s="204" customFormat="1" ht="16.5" hidden="1" customHeight="1">
      <c r="A197" s="319"/>
      <c r="B197" s="211"/>
      <c r="C197" s="212"/>
      <c r="D197" s="212"/>
      <c r="E197" s="219" t="s">
        <v>54</v>
      </c>
      <c r="F197" s="221">
        <f t="shared" si="262"/>
        <v>2444000</v>
      </c>
      <c r="G197" s="221"/>
      <c r="H197" s="221"/>
      <c r="I197" s="222"/>
      <c r="J197" s="221"/>
      <c r="K197" s="221"/>
      <c r="L197" s="221"/>
      <c r="M197" s="221">
        <f t="shared" ref="M197" si="266">F197*60%</f>
        <v>1466400</v>
      </c>
      <c r="N197" s="221"/>
      <c r="O197" s="221">
        <f t="shared" si="260"/>
        <v>40000</v>
      </c>
      <c r="P197" s="221"/>
      <c r="Q197" s="221">
        <f t="shared" si="261"/>
        <v>17540</v>
      </c>
      <c r="R197" s="221">
        <f t="shared" si="263"/>
        <v>280640</v>
      </c>
      <c r="S197" s="221">
        <f t="shared" si="264"/>
        <v>87700</v>
      </c>
      <c r="T197" s="222"/>
      <c r="U197" s="214">
        <f t="shared" si="253"/>
        <v>4318740</v>
      </c>
      <c r="V197" s="250"/>
      <c r="W197" s="224">
        <f t="shared" si="265"/>
        <v>359900</v>
      </c>
      <c r="X197" s="225">
        <f t="shared" si="254"/>
        <v>194340</v>
      </c>
      <c r="Y197" s="225">
        <f t="shared" si="200"/>
        <v>139500</v>
      </c>
      <c r="Z197" s="225">
        <f t="shared" si="201"/>
        <v>11880</v>
      </c>
      <c r="AA197" s="225">
        <f t="shared" si="257"/>
        <v>38870</v>
      </c>
      <c r="AB197" s="225">
        <f t="shared" si="258"/>
        <v>34550</v>
      </c>
      <c r="AC197" s="252">
        <f t="shared" si="259"/>
        <v>779040</v>
      </c>
    </row>
    <row r="198" spans="1:29" s="204" customFormat="1" ht="16.5" hidden="1" customHeight="1">
      <c r="A198" s="319"/>
      <c r="B198" s="211"/>
      <c r="C198" s="212"/>
      <c r="D198" s="212"/>
      <c r="E198" s="219" t="s">
        <v>55</v>
      </c>
      <c r="F198" s="221">
        <f t="shared" si="262"/>
        <v>2444000</v>
      </c>
      <c r="G198" s="221"/>
      <c r="H198" s="221"/>
      <c r="I198" s="222"/>
      <c r="J198" s="221"/>
      <c r="K198" s="221"/>
      <c r="L198" s="221"/>
      <c r="M198" s="221"/>
      <c r="N198" s="221"/>
      <c r="O198" s="221">
        <f t="shared" si="260"/>
        <v>40000</v>
      </c>
      <c r="P198" s="221"/>
      <c r="Q198" s="221">
        <f t="shared" si="261"/>
        <v>17540</v>
      </c>
      <c r="R198" s="221">
        <f t="shared" si="263"/>
        <v>280640</v>
      </c>
      <c r="S198" s="221">
        <f t="shared" si="264"/>
        <v>87700</v>
      </c>
      <c r="T198" s="222"/>
      <c r="U198" s="214">
        <f t="shared" si="253"/>
        <v>2852340</v>
      </c>
      <c r="V198" s="250"/>
      <c r="W198" s="224">
        <f t="shared" si="265"/>
        <v>237700</v>
      </c>
      <c r="X198" s="225">
        <f t="shared" si="254"/>
        <v>128360</v>
      </c>
      <c r="Y198" s="225">
        <f t="shared" si="200"/>
        <v>92140</v>
      </c>
      <c r="Z198" s="225">
        <f t="shared" si="201"/>
        <v>7850</v>
      </c>
      <c r="AA198" s="225">
        <f t="shared" si="257"/>
        <v>25670</v>
      </c>
      <c r="AB198" s="225">
        <f t="shared" si="258"/>
        <v>22820</v>
      </c>
      <c r="AC198" s="252">
        <f t="shared" si="259"/>
        <v>514540</v>
      </c>
    </row>
    <row r="199" spans="1:29" s="204" customFormat="1" ht="16.5" hidden="1" customHeight="1">
      <c r="A199" s="319"/>
      <c r="B199" s="211"/>
      <c r="C199" s="212"/>
      <c r="D199" s="212"/>
      <c r="E199" s="219" t="s">
        <v>56</v>
      </c>
      <c r="F199" s="221">
        <f t="shared" si="262"/>
        <v>2444000</v>
      </c>
      <c r="G199" s="221"/>
      <c r="H199" s="221"/>
      <c r="I199" s="222"/>
      <c r="J199" s="221"/>
      <c r="K199" s="221"/>
      <c r="L199" s="221"/>
      <c r="M199" s="221"/>
      <c r="N199" s="221"/>
      <c r="O199" s="221">
        <f t="shared" si="260"/>
        <v>40000</v>
      </c>
      <c r="P199" s="221"/>
      <c r="Q199" s="221">
        <f t="shared" si="261"/>
        <v>17540</v>
      </c>
      <c r="R199" s="221">
        <f t="shared" si="263"/>
        <v>280640</v>
      </c>
      <c r="S199" s="221">
        <f t="shared" si="264"/>
        <v>87700</v>
      </c>
      <c r="T199" s="222"/>
      <c r="U199" s="214">
        <f t="shared" si="253"/>
        <v>2852340</v>
      </c>
      <c r="V199" s="250"/>
      <c r="W199" s="224">
        <f t="shared" si="265"/>
        <v>237700</v>
      </c>
      <c r="X199" s="225">
        <f t="shared" si="254"/>
        <v>128360</v>
      </c>
      <c r="Y199" s="225">
        <f t="shared" si="200"/>
        <v>92140</v>
      </c>
      <c r="Z199" s="225">
        <f t="shared" si="201"/>
        <v>7850</v>
      </c>
      <c r="AA199" s="225">
        <f t="shared" si="257"/>
        <v>25670</v>
      </c>
      <c r="AB199" s="225">
        <f t="shared" si="258"/>
        <v>22820</v>
      </c>
      <c r="AC199" s="252">
        <f t="shared" si="259"/>
        <v>514540</v>
      </c>
    </row>
    <row r="200" spans="1:29" s="204" customFormat="1" ht="16.5" hidden="1" customHeight="1">
      <c r="A200" s="319"/>
      <c r="B200" s="211"/>
      <c r="C200" s="212"/>
      <c r="D200" s="212"/>
      <c r="E200" s="219" t="s">
        <v>281</v>
      </c>
      <c r="F200" s="221">
        <f t="shared" si="262"/>
        <v>2444000</v>
      </c>
      <c r="G200" s="221"/>
      <c r="H200" s="221"/>
      <c r="I200" s="222"/>
      <c r="J200" s="221"/>
      <c r="K200" s="221"/>
      <c r="L200" s="221"/>
      <c r="M200" s="221"/>
      <c r="N200" s="221"/>
      <c r="O200" s="221">
        <f t="shared" si="260"/>
        <v>40000</v>
      </c>
      <c r="P200" s="221"/>
      <c r="Q200" s="221">
        <f t="shared" si="261"/>
        <v>17540</v>
      </c>
      <c r="R200" s="221">
        <f>Q200*16*2</f>
        <v>561280</v>
      </c>
      <c r="S200" s="221">
        <f>(Q200*5)*2</f>
        <v>175400</v>
      </c>
      <c r="T200" s="222"/>
      <c r="U200" s="214">
        <f t="shared" si="253"/>
        <v>3220680</v>
      </c>
      <c r="V200" s="250"/>
      <c r="W200" s="224">
        <f t="shared" si="265"/>
        <v>268390</v>
      </c>
      <c r="X200" s="225">
        <f t="shared" si="254"/>
        <v>144930</v>
      </c>
      <c r="Y200" s="225">
        <f t="shared" si="200"/>
        <v>104030</v>
      </c>
      <c r="Z200" s="225">
        <f t="shared" si="201"/>
        <v>8860</v>
      </c>
      <c r="AA200" s="225">
        <f t="shared" si="257"/>
        <v>28990</v>
      </c>
      <c r="AB200" s="225">
        <f t="shared" si="258"/>
        <v>25770</v>
      </c>
      <c r="AC200" s="252">
        <f t="shared" si="259"/>
        <v>580970</v>
      </c>
    </row>
    <row r="201" spans="1:29" s="204" customFormat="1" ht="16.5" hidden="1" customHeight="1">
      <c r="A201" s="319">
        <v>16</v>
      </c>
      <c r="B201" s="211" t="s">
        <v>87</v>
      </c>
      <c r="C201" s="212" t="s">
        <v>899</v>
      </c>
      <c r="D201" s="212">
        <v>1</v>
      </c>
      <c r="E201" s="213" t="s">
        <v>86</v>
      </c>
      <c r="F201" s="214">
        <f t="shared" ref="F201:N201" si="267">SUM(F202:F213)</f>
        <v>31282000</v>
      </c>
      <c r="G201" s="214">
        <f t="shared" si="267"/>
        <v>0</v>
      </c>
      <c r="H201" s="214">
        <f t="shared" si="267"/>
        <v>0</v>
      </c>
      <c r="I201" s="214">
        <f t="shared" si="267"/>
        <v>0</v>
      </c>
      <c r="J201" s="214">
        <f t="shared" si="267"/>
        <v>0</v>
      </c>
      <c r="K201" s="214">
        <f t="shared" si="267"/>
        <v>0</v>
      </c>
      <c r="L201" s="214">
        <f t="shared" si="267"/>
        <v>0</v>
      </c>
      <c r="M201" s="214">
        <f t="shared" si="267"/>
        <v>3122400</v>
      </c>
      <c r="N201" s="214">
        <f t="shared" si="267"/>
        <v>0</v>
      </c>
      <c r="O201" s="214">
        <f>SUM(O202:O213)</f>
        <v>1440000</v>
      </c>
      <c r="P201" s="214">
        <f t="shared" ref="P201" si="268">SUM(P202:P213)</f>
        <v>0</v>
      </c>
      <c r="Q201" s="214"/>
      <c r="R201" s="214">
        <f t="shared" ref="R201" si="269">SUM(R202:R213)</f>
        <v>8980400</v>
      </c>
      <c r="S201" s="214">
        <f>SUM(S202:S213)</f>
        <v>0</v>
      </c>
      <c r="T201" s="214">
        <f t="shared" ref="T201:U201" si="270">SUM(T202:T213)</f>
        <v>0</v>
      </c>
      <c r="U201" s="214">
        <f t="shared" si="270"/>
        <v>44824800</v>
      </c>
      <c r="V201" s="250"/>
      <c r="W201" s="217">
        <f t="shared" ref="W201:AB201" si="271">SUM(W202:W213)</f>
        <v>3735470</v>
      </c>
      <c r="X201" s="214">
        <f t="shared" si="271"/>
        <v>2017120</v>
      </c>
      <c r="Y201" s="214">
        <f t="shared" si="271"/>
        <v>1447920</v>
      </c>
      <c r="Z201" s="214">
        <f t="shared" si="271"/>
        <v>123270</v>
      </c>
      <c r="AA201" s="214">
        <f t="shared" si="271"/>
        <v>403450</v>
      </c>
      <c r="AB201" s="214">
        <f t="shared" si="271"/>
        <v>358580</v>
      </c>
      <c r="AC201" s="266">
        <f>SUM(AC202:AC213)</f>
        <v>8085810</v>
      </c>
    </row>
    <row r="202" spans="1:29" s="204" customFormat="1" ht="16.5" hidden="1" customHeight="1">
      <c r="A202" s="319"/>
      <c r="B202" s="211" t="s">
        <v>816</v>
      </c>
      <c r="C202" s="310">
        <v>14</v>
      </c>
      <c r="D202" s="310"/>
      <c r="E202" s="311" t="s">
        <v>273</v>
      </c>
      <c r="F202" s="312">
        <v>2573000</v>
      </c>
      <c r="G202" s="221"/>
      <c r="H202" s="220"/>
      <c r="I202" s="222"/>
      <c r="J202" s="221"/>
      <c r="K202" s="221"/>
      <c r="L202" s="221"/>
      <c r="M202" s="221" t="s">
        <v>60</v>
      </c>
      <c r="N202" s="221"/>
      <c r="O202" s="221">
        <f>40000+20000+60000</f>
        <v>120000</v>
      </c>
      <c r="P202" s="221"/>
      <c r="Q202" s="221"/>
      <c r="R202" s="221"/>
      <c r="S202" s="221"/>
      <c r="T202" s="222"/>
      <c r="U202" s="214">
        <f t="shared" ref="U202:U213" si="272">SUM(F202,M202,O202,R202,T202,S202)</f>
        <v>2693000</v>
      </c>
      <c r="V202" s="250"/>
      <c r="W202" s="224">
        <f>ROUNDUP(U202*1/12,-1)</f>
        <v>224420</v>
      </c>
      <c r="X202" s="225">
        <f t="shared" ref="X202:X213" si="273">ROUND(U202*4.5%,-1)</f>
        <v>121190</v>
      </c>
      <c r="Y202" s="225">
        <f t="shared" ref="Y202" si="274">ROUNDUP((U202-L202)*3.23%,-1)</f>
        <v>86990</v>
      </c>
      <c r="Z202" s="225">
        <f t="shared" ref="Z202" si="275">ROUNDUP(Y202*8.51%,-1)</f>
        <v>7410</v>
      </c>
      <c r="AA202" s="225">
        <f t="shared" ref="AA202:AA213" si="276">ROUND(U202*0.9%,-1)</f>
        <v>24240</v>
      </c>
      <c r="AB202" s="225">
        <f t="shared" ref="AB202:AB213" si="277">ROUND(U202*0.8%,-1)</f>
        <v>21540</v>
      </c>
      <c r="AC202" s="252">
        <f t="shared" ref="AC202:AC213" si="278">SUM(W202:AB202)</f>
        <v>485790</v>
      </c>
    </row>
    <row r="203" spans="1:29" s="204" customFormat="1" ht="16.5" hidden="1" customHeight="1">
      <c r="A203" s="319"/>
      <c r="B203" s="211"/>
      <c r="C203" s="212"/>
      <c r="D203" s="212"/>
      <c r="E203" s="219" t="s">
        <v>274</v>
      </c>
      <c r="F203" s="221">
        <f>F202</f>
        <v>2573000</v>
      </c>
      <c r="G203" s="221"/>
      <c r="H203" s="221"/>
      <c r="I203" s="222"/>
      <c r="J203" s="221"/>
      <c r="K203" s="221"/>
      <c r="L203" s="221"/>
      <c r="M203" s="221">
        <f>F203*60%</f>
        <v>1543800</v>
      </c>
      <c r="N203" s="221"/>
      <c r="O203" s="221">
        <f>O202</f>
        <v>120000</v>
      </c>
      <c r="P203" s="221"/>
      <c r="Q203" s="221">
        <f t="shared" ref="Q203:Q213" si="279">ROUND((F202+T202)*1/209*1.5,-1)</f>
        <v>18470</v>
      </c>
      <c r="R203" s="221">
        <f>Q203*40</f>
        <v>738800</v>
      </c>
      <c r="S203" s="221"/>
      <c r="T203" s="222"/>
      <c r="U203" s="214">
        <f t="shared" si="272"/>
        <v>4975600</v>
      </c>
      <c r="V203" s="250"/>
      <c r="W203" s="224">
        <f>ROUNDUP((T203+U203)*1/12,-1)</f>
        <v>414640</v>
      </c>
      <c r="X203" s="225">
        <f t="shared" si="273"/>
        <v>223900</v>
      </c>
      <c r="Y203" s="225">
        <f t="shared" si="200"/>
        <v>160720</v>
      </c>
      <c r="Z203" s="225">
        <f t="shared" si="201"/>
        <v>13680</v>
      </c>
      <c r="AA203" s="225">
        <f t="shared" si="276"/>
        <v>44780</v>
      </c>
      <c r="AB203" s="225">
        <f t="shared" si="277"/>
        <v>39800</v>
      </c>
      <c r="AC203" s="252">
        <f t="shared" si="278"/>
        <v>897520</v>
      </c>
    </row>
    <row r="204" spans="1:29" s="204" customFormat="1" ht="16.5" hidden="1" customHeight="1">
      <c r="A204" s="319"/>
      <c r="B204" s="211"/>
      <c r="C204" s="212"/>
      <c r="D204" s="212"/>
      <c r="E204" s="219" t="s">
        <v>275</v>
      </c>
      <c r="F204" s="221">
        <f>F203</f>
        <v>2573000</v>
      </c>
      <c r="G204" s="221"/>
      <c r="H204" s="221"/>
      <c r="I204" s="222"/>
      <c r="J204" s="221"/>
      <c r="K204" s="221"/>
      <c r="L204" s="221"/>
      <c r="M204" s="221"/>
      <c r="N204" s="221"/>
      <c r="O204" s="221">
        <f>O203</f>
        <v>120000</v>
      </c>
      <c r="P204" s="221"/>
      <c r="Q204" s="221">
        <f t="shared" si="279"/>
        <v>18470</v>
      </c>
      <c r="R204" s="221">
        <f t="shared" ref="R204:R212" si="280">Q204*40</f>
        <v>738800</v>
      </c>
      <c r="S204" s="221"/>
      <c r="T204" s="222"/>
      <c r="U204" s="214">
        <f t="shared" si="272"/>
        <v>3431800</v>
      </c>
      <c r="V204" s="250"/>
      <c r="W204" s="224">
        <f t="shared" ref="W204:W213" si="281">ROUNDUP(U204*1/12,-1)</f>
        <v>285990</v>
      </c>
      <c r="X204" s="225">
        <f t="shared" si="273"/>
        <v>154430</v>
      </c>
      <c r="Y204" s="225">
        <f t="shared" si="200"/>
        <v>110850</v>
      </c>
      <c r="Z204" s="225">
        <f t="shared" si="201"/>
        <v>9440</v>
      </c>
      <c r="AA204" s="225">
        <f t="shared" si="276"/>
        <v>30890</v>
      </c>
      <c r="AB204" s="225">
        <f t="shared" si="277"/>
        <v>27450</v>
      </c>
      <c r="AC204" s="252">
        <f t="shared" si="278"/>
        <v>619050</v>
      </c>
    </row>
    <row r="205" spans="1:29" s="204" customFormat="1" ht="16.5" hidden="1" customHeight="1">
      <c r="A205" s="319"/>
      <c r="B205" s="211"/>
      <c r="C205" s="212"/>
      <c r="D205" s="212"/>
      <c r="E205" s="219" t="s">
        <v>276</v>
      </c>
      <c r="F205" s="221">
        <f>F204</f>
        <v>2573000</v>
      </c>
      <c r="G205" s="221"/>
      <c r="H205" s="221"/>
      <c r="I205" s="222"/>
      <c r="J205" s="221"/>
      <c r="K205" s="221"/>
      <c r="L205" s="221"/>
      <c r="M205" s="221"/>
      <c r="N205" s="221"/>
      <c r="O205" s="221">
        <f>O204</f>
        <v>120000</v>
      </c>
      <c r="P205" s="221"/>
      <c r="Q205" s="221">
        <f t="shared" si="279"/>
        <v>18470</v>
      </c>
      <c r="R205" s="221">
        <f t="shared" si="280"/>
        <v>738800</v>
      </c>
      <c r="S205" s="221"/>
      <c r="T205" s="222"/>
      <c r="U205" s="214">
        <f t="shared" si="272"/>
        <v>3431800</v>
      </c>
      <c r="V205" s="250"/>
      <c r="W205" s="224">
        <f t="shared" si="281"/>
        <v>285990</v>
      </c>
      <c r="X205" s="225">
        <f t="shared" si="273"/>
        <v>154430</v>
      </c>
      <c r="Y205" s="225">
        <f t="shared" si="200"/>
        <v>110850</v>
      </c>
      <c r="Z205" s="225">
        <f t="shared" si="201"/>
        <v>9440</v>
      </c>
      <c r="AA205" s="225">
        <f t="shared" si="276"/>
        <v>30890</v>
      </c>
      <c r="AB205" s="225">
        <f t="shared" si="277"/>
        <v>27450</v>
      </c>
      <c r="AC205" s="252">
        <f t="shared" si="278"/>
        <v>619050</v>
      </c>
    </row>
    <row r="206" spans="1:29" s="204" customFormat="1" ht="16.5" hidden="1" customHeight="1">
      <c r="A206" s="319"/>
      <c r="B206" s="211"/>
      <c r="C206" s="212"/>
      <c r="D206" s="212"/>
      <c r="E206" s="219" t="s">
        <v>277</v>
      </c>
      <c r="F206" s="221">
        <f>F205</f>
        <v>2573000</v>
      </c>
      <c r="G206" s="221"/>
      <c r="H206" s="221"/>
      <c r="I206" s="222"/>
      <c r="J206" s="221"/>
      <c r="K206" s="221"/>
      <c r="L206" s="221"/>
      <c r="M206" s="221"/>
      <c r="N206" s="221"/>
      <c r="O206" s="221">
        <f t="shared" ref="O206:O213" si="282">O205</f>
        <v>120000</v>
      </c>
      <c r="P206" s="221"/>
      <c r="Q206" s="221">
        <f t="shared" si="279"/>
        <v>18470</v>
      </c>
      <c r="R206" s="221">
        <f t="shared" si="280"/>
        <v>738800</v>
      </c>
      <c r="S206" s="221"/>
      <c r="T206" s="222"/>
      <c r="U206" s="214">
        <f t="shared" si="272"/>
        <v>3431800</v>
      </c>
      <c r="V206" s="250"/>
      <c r="W206" s="224">
        <f t="shared" si="281"/>
        <v>285990</v>
      </c>
      <c r="X206" s="225">
        <f t="shared" si="273"/>
        <v>154430</v>
      </c>
      <c r="Y206" s="225">
        <f t="shared" si="200"/>
        <v>110850</v>
      </c>
      <c r="Z206" s="225">
        <f t="shared" si="201"/>
        <v>9440</v>
      </c>
      <c r="AA206" s="225">
        <f t="shared" si="276"/>
        <v>30890</v>
      </c>
      <c r="AB206" s="225">
        <f t="shared" si="277"/>
        <v>27450</v>
      </c>
      <c r="AC206" s="252">
        <f t="shared" si="278"/>
        <v>619050</v>
      </c>
    </row>
    <row r="207" spans="1:29" s="204" customFormat="1" ht="16.5" hidden="1" customHeight="1">
      <c r="A207" s="319"/>
      <c r="B207" s="211"/>
      <c r="C207" s="310">
        <f>C202+1</f>
        <v>15</v>
      </c>
      <c r="D207" s="310"/>
      <c r="E207" s="311" t="s">
        <v>278</v>
      </c>
      <c r="F207" s="312">
        <v>2631000</v>
      </c>
      <c r="G207" s="221"/>
      <c r="H207" s="221"/>
      <c r="I207" s="222"/>
      <c r="J207" s="221"/>
      <c r="K207" s="221"/>
      <c r="L207" s="221"/>
      <c r="M207" s="221"/>
      <c r="N207" s="221"/>
      <c r="O207" s="221">
        <f t="shared" si="282"/>
        <v>120000</v>
      </c>
      <c r="P207" s="221"/>
      <c r="Q207" s="221">
        <f t="shared" si="279"/>
        <v>18470</v>
      </c>
      <c r="R207" s="221">
        <f t="shared" si="280"/>
        <v>738800</v>
      </c>
      <c r="S207" s="221"/>
      <c r="T207" s="222"/>
      <c r="U207" s="214">
        <f t="shared" si="272"/>
        <v>3489800</v>
      </c>
      <c r="V207" s="250"/>
      <c r="W207" s="224">
        <f t="shared" si="281"/>
        <v>290820</v>
      </c>
      <c r="X207" s="225">
        <f t="shared" si="273"/>
        <v>157040</v>
      </c>
      <c r="Y207" s="225">
        <f t="shared" si="200"/>
        <v>112730</v>
      </c>
      <c r="Z207" s="225">
        <f t="shared" si="201"/>
        <v>9600</v>
      </c>
      <c r="AA207" s="225">
        <f t="shared" si="276"/>
        <v>31410</v>
      </c>
      <c r="AB207" s="225">
        <f t="shared" si="277"/>
        <v>27920</v>
      </c>
      <c r="AC207" s="252">
        <f t="shared" si="278"/>
        <v>629520</v>
      </c>
    </row>
    <row r="208" spans="1:29" s="204" customFormat="1" ht="16.5" hidden="1" customHeight="1">
      <c r="A208" s="319"/>
      <c r="B208" s="211"/>
      <c r="C208" s="212"/>
      <c r="D208" s="212"/>
      <c r="E208" s="219" t="s">
        <v>279</v>
      </c>
      <c r="F208" s="221">
        <f t="shared" ref="F208:F213" si="283">F207</f>
        <v>2631000</v>
      </c>
      <c r="G208" s="221"/>
      <c r="H208" s="220"/>
      <c r="I208" s="222"/>
      <c r="J208" s="221"/>
      <c r="K208" s="221"/>
      <c r="L208" s="221"/>
      <c r="M208" s="221"/>
      <c r="N208" s="221"/>
      <c r="O208" s="221">
        <f t="shared" si="282"/>
        <v>120000</v>
      </c>
      <c r="P208" s="221"/>
      <c r="Q208" s="221">
        <f t="shared" si="279"/>
        <v>18880</v>
      </c>
      <c r="R208" s="221">
        <f t="shared" si="280"/>
        <v>755200</v>
      </c>
      <c r="S208" s="221"/>
      <c r="T208" s="222"/>
      <c r="U208" s="214">
        <f t="shared" si="272"/>
        <v>3506200</v>
      </c>
      <c r="V208" s="250"/>
      <c r="W208" s="224">
        <f t="shared" si="281"/>
        <v>292190</v>
      </c>
      <c r="X208" s="225">
        <f t="shared" si="273"/>
        <v>157780</v>
      </c>
      <c r="Y208" s="225">
        <f t="shared" si="200"/>
        <v>113260</v>
      </c>
      <c r="Z208" s="225">
        <f t="shared" si="201"/>
        <v>9640</v>
      </c>
      <c r="AA208" s="225">
        <f t="shared" si="276"/>
        <v>31560</v>
      </c>
      <c r="AB208" s="225">
        <f t="shared" si="277"/>
        <v>28050</v>
      </c>
      <c r="AC208" s="252">
        <f t="shared" si="278"/>
        <v>632480</v>
      </c>
    </row>
    <row r="209" spans="1:29" s="204" customFormat="1" ht="16.5" hidden="1" customHeight="1">
      <c r="A209" s="319"/>
      <c r="B209" s="211"/>
      <c r="C209" s="212"/>
      <c r="D209" s="212"/>
      <c r="E209" s="219" t="s">
        <v>280</v>
      </c>
      <c r="F209" s="221">
        <f t="shared" si="283"/>
        <v>2631000</v>
      </c>
      <c r="G209" s="221"/>
      <c r="H209" s="221"/>
      <c r="I209" s="222"/>
      <c r="J209" s="221"/>
      <c r="K209" s="221"/>
      <c r="L209" s="221"/>
      <c r="M209" s="221"/>
      <c r="N209" s="221"/>
      <c r="O209" s="221">
        <f t="shared" si="282"/>
        <v>120000</v>
      </c>
      <c r="P209" s="221"/>
      <c r="Q209" s="221">
        <f t="shared" si="279"/>
        <v>18880</v>
      </c>
      <c r="R209" s="221">
        <f t="shared" si="280"/>
        <v>755200</v>
      </c>
      <c r="S209" s="221"/>
      <c r="T209" s="222"/>
      <c r="U209" s="214">
        <f t="shared" si="272"/>
        <v>3506200</v>
      </c>
      <c r="V209" s="250"/>
      <c r="W209" s="224">
        <f t="shared" si="281"/>
        <v>292190</v>
      </c>
      <c r="X209" s="225">
        <f t="shared" si="273"/>
        <v>157780</v>
      </c>
      <c r="Y209" s="225">
        <f t="shared" si="200"/>
        <v>113260</v>
      </c>
      <c r="Z209" s="225">
        <f t="shared" si="201"/>
        <v>9640</v>
      </c>
      <c r="AA209" s="225">
        <f t="shared" si="276"/>
        <v>31560</v>
      </c>
      <c r="AB209" s="225">
        <f t="shared" si="277"/>
        <v>28050</v>
      </c>
      <c r="AC209" s="252">
        <f t="shared" si="278"/>
        <v>632480</v>
      </c>
    </row>
    <row r="210" spans="1:29" s="204" customFormat="1" ht="16.5" hidden="1" customHeight="1">
      <c r="A210" s="319"/>
      <c r="B210" s="211"/>
      <c r="C210" s="212"/>
      <c r="D210" s="212"/>
      <c r="E210" s="219" t="s">
        <v>54</v>
      </c>
      <c r="F210" s="221">
        <f t="shared" si="283"/>
        <v>2631000</v>
      </c>
      <c r="G210" s="221"/>
      <c r="H210" s="221"/>
      <c r="I210" s="222"/>
      <c r="J210" s="221"/>
      <c r="K210" s="221"/>
      <c r="L210" s="221"/>
      <c r="M210" s="221">
        <f t="shared" ref="M210" si="284">F210*60%</f>
        <v>1578600</v>
      </c>
      <c r="N210" s="221"/>
      <c r="O210" s="221">
        <f t="shared" si="282"/>
        <v>120000</v>
      </c>
      <c r="P210" s="221"/>
      <c r="Q210" s="221">
        <f t="shared" si="279"/>
        <v>18880</v>
      </c>
      <c r="R210" s="221">
        <f t="shared" si="280"/>
        <v>755200</v>
      </c>
      <c r="S210" s="221"/>
      <c r="T210" s="222"/>
      <c r="U210" s="214">
        <f t="shared" si="272"/>
        <v>5084800</v>
      </c>
      <c r="V210" s="250"/>
      <c r="W210" s="224">
        <f t="shared" si="281"/>
        <v>423740</v>
      </c>
      <c r="X210" s="225">
        <f t="shared" si="273"/>
        <v>228820</v>
      </c>
      <c r="Y210" s="225">
        <f t="shared" si="200"/>
        <v>164240</v>
      </c>
      <c r="Z210" s="225">
        <f t="shared" si="201"/>
        <v>13980</v>
      </c>
      <c r="AA210" s="225">
        <f t="shared" si="276"/>
        <v>45760</v>
      </c>
      <c r="AB210" s="225">
        <f t="shared" si="277"/>
        <v>40680</v>
      </c>
      <c r="AC210" s="252">
        <f t="shared" si="278"/>
        <v>917220</v>
      </c>
    </row>
    <row r="211" spans="1:29" s="204" customFormat="1" ht="16.5" hidden="1" customHeight="1">
      <c r="A211" s="319"/>
      <c r="B211" s="211"/>
      <c r="C211" s="212"/>
      <c r="D211" s="212"/>
      <c r="E211" s="219" t="s">
        <v>55</v>
      </c>
      <c r="F211" s="221">
        <f t="shared" si="283"/>
        <v>2631000</v>
      </c>
      <c r="G211" s="221"/>
      <c r="H211" s="221"/>
      <c r="I211" s="222"/>
      <c r="J211" s="221"/>
      <c r="K211" s="221"/>
      <c r="L211" s="221"/>
      <c r="M211" s="221"/>
      <c r="N211" s="221"/>
      <c r="O211" s="221">
        <f t="shared" si="282"/>
        <v>120000</v>
      </c>
      <c r="P211" s="221"/>
      <c r="Q211" s="221">
        <f t="shared" si="279"/>
        <v>18880</v>
      </c>
      <c r="R211" s="221">
        <f t="shared" si="280"/>
        <v>755200</v>
      </c>
      <c r="S211" s="221"/>
      <c r="T211" s="222"/>
      <c r="U211" s="214">
        <f t="shared" si="272"/>
        <v>3506200</v>
      </c>
      <c r="V211" s="250"/>
      <c r="W211" s="224">
        <f t="shared" si="281"/>
        <v>292190</v>
      </c>
      <c r="X211" s="225">
        <f t="shared" si="273"/>
        <v>157780</v>
      </c>
      <c r="Y211" s="225">
        <f t="shared" si="200"/>
        <v>113260</v>
      </c>
      <c r="Z211" s="225">
        <f t="shared" si="201"/>
        <v>9640</v>
      </c>
      <c r="AA211" s="225">
        <f t="shared" si="276"/>
        <v>31560</v>
      </c>
      <c r="AB211" s="225">
        <f t="shared" si="277"/>
        <v>28050</v>
      </c>
      <c r="AC211" s="252">
        <f t="shared" si="278"/>
        <v>632480</v>
      </c>
    </row>
    <row r="212" spans="1:29" s="204" customFormat="1" ht="16.5" hidden="1" customHeight="1">
      <c r="A212" s="319"/>
      <c r="B212" s="211"/>
      <c r="C212" s="212"/>
      <c r="D212" s="212"/>
      <c r="E212" s="219" t="s">
        <v>56</v>
      </c>
      <c r="F212" s="221">
        <f t="shared" si="283"/>
        <v>2631000</v>
      </c>
      <c r="G212" s="221"/>
      <c r="H212" s="221"/>
      <c r="I212" s="222"/>
      <c r="J212" s="221"/>
      <c r="K212" s="221"/>
      <c r="L212" s="221"/>
      <c r="M212" s="221"/>
      <c r="N212" s="221"/>
      <c r="O212" s="221">
        <f t="shared" si="282"/>
        <v>120000</v>
      </c>
      <c r="P212" s="221"/>
      <c r="Q212" s="221">
        <f t="shared" si="279"/>
        <v>18880</v>
      </c>
      <c r="R212" s="221">
        <f t="shared" si="280"/>
        <v>755200</v>
      </c>
      <c r="S212" s="221"/>
      <c r="T212" s="222"/>
      <c r="U212" s="214">
        <f t="shared" si="272"/>
        <v>3506200</v>
      </c>
      <c r="V212" s="250"/>
      <c r="W212" s="224">
        <f t="shared" si="281"/>
        <v>292190</v>
      </c>
      <c r="X212" s="225">
        <f t="shared" si="273"/>
        <v>157780</v>
      </c>
      <c r="Y212" s="225">
        <f t="shared" si="200"/>
        <v>113260</v>
      </c>
      <c r="Z212" s="225">
        <f t="shared" si="201"/>
        <v>9640</v>
      </c>
      <c r="AA212" s="225">
        <f t="shared" si="276"/>
        <v>31560</v>
      </c>
      <c r="AB212" s="225">
        <f t="shared" si="277"/>
        <v>28050</v>
      </c>
      <c r="AC212" s="252">
        <f t="shared" si="278"/>
        <v>632480</v>
      </c>
    </row>
    <row r="213" spans="1:29" s="204" customFormat="1" ht="16.5" hidden="1" customHeight="1">
      <c r="A213" s="319"/>
      <c r="B213" s="211"/>
      <c r="C213" s="212"/>
      <c r="D213" s="212"/>
      <c r="E213" s="219" t="s">
        <v>281</v>
      </c>
      <c r="F213" s="221">
        <f t="shared" si="283"/>
        <v>2631000</v>
      </c>
      <c r="G213" s="221"/>
      <c r="H213" s="221"/>
      <c r="I213" s="222"/>
      <c r="J213" s="221"/>
      <c r="K213" s="221"/>
      <c r="L213" s="221"/>
      <c r="M213" s="221"/>
      <c r="N213" s="221"/>
      <c r="O213" s="221">
        <f t="shared" si="282"/>
        <v>120000</v>
      </c>
      <c r="P213" s="221"/>
      <c r="Q213" s="221">
        <f t="shared" si="279"/>
        <v>18880</v>
      </c>
      <c r="R213" s="221">
        <f>Q213*40*2</f>
        <v>1510400</v>
      </c>
      <c r="S213" s="221"/>
      <c r="T213" s="222"/>
      <c r="U213" s="214">
        <f t="shared" si="272"/>
        <v>4261400</v>
      </c>
      <c r="V213" s="250"/>
      <c r="W213" s="224">
        <f t="shared" si="281"/>
        <v>355120</v>
      </c>
      <c r="X213" s="225">
        <f t="shared" si="273"/>
        <v>191760</v>
      </c>
      <c r="Y213" s="225">
        <f t="shared" si="200"/>
        <v>137650</v>
      </c>
      <c r="Z213" s="225">
        <f t="shared" si="201"/>
        <v>11720</v>
      </c>
      <c r="AA213" s="225">
        <f t="shared" si="276"/>
        <v>38350</v>
      </c>
      <c r="AB213" s="225">
        <f t="shared" si="277"/>
        <v>34090</v>
      </c>
      <c r="AC213" s="252">
        <f t="shared" si="278"/>
        <v>768690</v>
      </c>
    </row>
    <row r="214" spans="1:29" s="204" customFormat="1" ht="16.5" hidden="1" customHeight="1">
      <c r="A214" s="319">
        <v>17</v>
      </c>
      <c r="B214" s="211" t="s">
        <v>87</v>
      </c>
      <c r="C214" s="212" t="s">
        <v>523</v>
      </c>
      <c r="D214" s="212">
        <v>1</v>
      </c>
      <c r="E214" s="213" t="s">
        <v>86</v>
      </c>
      <c r="F214" s="214">
        <f t="shared" ref="F214:N214" si="285">SUM(F215:F226)</f>
        <v>27588000</v>
      </c>
      <c r="G214" s="214">
        <f t="shared" si="285"/>
        <v>0</v>
      </c>
      <c r="H214" s="214">
        <f t="shared" si="285"/>
        <v>0</v>
      </c>
      <c r="I214" s="214">
        <f t="shared" si="285"/>
        <v>0</v>
      </c>
      <c r="J214" s="214">
        <f t="shared" si="285"/>
        <v>0</v>
      </c>
      <c r="K214" s="214">
        <f t="shared" si="285"/>
        <v>0</v>
      </c>
      <c r="L214" s="214">
        <f t="shared" si="285"/>
        <v>0</v>
      </c>
      <c r="M214" s="214">
        <f t="shared" si="285"/>
        <v>2746800</v>
      </c>
      <c r="N214" s="214">
        <f t="shared" si="285"/>
        <v>0</v>
      </c>
      <c r="O214" s="214">
        <f>SUM(O215:O226)</f>
        <v>480000</v>
      </c>
      <c r="P214" s="214">
        <f t="shared" ref="P214" si="286">SUM(P215:P226)</f>
        <v>0</v>
      </c>
      <c r="Q214" s="214"/>
      <c r="R214" s="214">
        <f t="shared" ref="R214" si="287">SUM(R215:R226)</f>
        <v>3167360</v>
      </c>
      <c r="S214" s="214">
        <f>SUM(S215:S226)</f>
        <v>989800</v>
      </c>
      <c r="T214" s="214">
        <f t="shared" ref="T214:U214" si="288">SUM(T215:T226)</f>
        <v>0</v>
      </c>
      <c r="U214" s="214">
        <f t="shared" si="288"/>
        <v>34971960</v>
      </c>
      <c r="V214" s="250"/>
      <c r="W214" s="217">
        <f t="shared" ref="W214:AB214" si="289">SUM(W215:W226)</f>
        <v>2914420</v>
      </c>
      <c r="X214" s="214">
        <f t="shared" si="289"/>
        <v>1573730</v>
      </c>
      <c r="Y214" s="214">
        <f t="shared" si="289"/>
        <v>1129670</v>
      </c>
      <c r="Z214" s="214">
        <f t="shared" si="289"/>
        <v>96190</v>
      </c>
      <c r="AA214" s="214">
        <f t="shared" si="289"/>
        <v>314750</v>
      </c>
      <c r="AB214" s="214">
        <f t="shared" si="289"/>
        <v>279800</v>
      </c>
      <c r="AC214" s="266">
        <f>SUM(AC215:AC226)</f>
        <v>6308560</v>
      </c>
    </row>
    <row r="215" spans="1:29" s="204" customFormat="1" ht="16.5" hidden="1" customHeight="1">
      <c r="A215" s="319"/>
      <c r="B215" s="211" t="s">
        <v>445</v>
      </c>
      <c r="C215" s="310">
        <v>9</v>
      </c>
      <c r="D215" s="310"/>
      <c r="E215" s="311" t="s">
        <v>273</v>
      </c>
      <c r="F215" s="312">
        <v>2259000</v>
      </c>
      <c r="G215" s="221"/>
      <c r="H215" s="220"/>
      <c r="I215" s="222"/>
      <c r="J215" s="221"/>
      <c r="K215" s="221"/>
      <c r="L215" s="221"/>
      <c r="M215" s="221" t="s">
        <v>60</v>
      </c>
      <c r="N215" s="221"/>
      <c r="O215" s="221">
        <v>40000</v>
      </c>
      <c r="P215" s="221"/>
      <c r="Q215" s="221"/>
      <c r="R215" s="221"/>
      <c r="S215" s="221"/>
      <c r="T215" s="222"/>
      <c r="U215" s="214">
        <f t="shared" ref="U215:U226" si="290">SUM(F215,M215,O215,R215,T215,S215)</f>
        <v>2299000</v>
      </c>
      <c r="V215" s="250"/>
      <c r="W215" s="224">
        <f>ROUNDUP(U215*1/12,-1)</f>
        <v>191590</v>
      </c>
      <c r="X215" s="225">
        <f t="shared" ref="X215:X226" si="291">ROUND(U215*4.5%,-1)</f>
        <v>103460</v>
      </c>
      <c r="Y215" s="225">
        <f t="shared" ref="Y215:Y278" si="292">ROUNDUP((U215-L215)*3.23%,-1)</f>
        <v>74260</v>
      </c>
      <c r="Z215" s="225">
        <f t="shared" ref="Z215:Z278" si="293">ROUNDUP(Y215*8.51%,-1)</f>
        <v>6320</v>
      </c>
      <c r="AA215" s="225">
        <f t="shared" ref="AA215:AA226" si="294">ROUND(U215*0.9%,-1)</f>
        <v>20690</v>
      </c>
      <c r="AB215" s="225">
        <f t="shared" ref="AB215:AB226" si="295">ROUND(U215*0.8%,-1)</f>
        <v>18390</v>
      </c>
      <c r="AC215" s="252">
        <f t="shared" ref="AC215:AC226" si="296">SUM(W215:AB215)</f>
        <v>414710</v>
      </c>
    </row>
    <row r="216" spans="1:29" s="204" customFormat="1" ht="16.5" hidden="1" customHeight="1">
      <c r="A216" s="319"/>
      <c r="B216" s="211"/>
      <c r="C216" s="212"/>
      <c r="D216" s="212"/>
      <c r="E216" s="219" t="s">
        <v>274</v>
      </c>
      <c r="F216" s="221">
        <f>F215</f>
        <v>2259000</v>
      </c>
      <c r="G216" s="221"/>
      <c r="H216" s="221"/>
      <c r="I216" s="222"/>
      <c r="J216" s="221"/>
      <c r="K216" s="221"/>
      <c r="L216" s="221"/>
      <c r="M216" s="221">
        <f>F216*60%</f>
        <v>1355400</v>
      </c>
      <c r="N216" s="221"/>
      <c r="O216" s="221">
        <f>O215</f>
        <v>40000</v>
      </c>
      <c r="P216" s="221"/>
      <c r="Q216" s="221">
        <f t="shared" ref="Q216:Q226" si="297">ROUND((F215+T215)*1/209*1.5,-1)</f>
        <v>16210</v>
      </c>
      <c r="R216" s="221">
        <f>Q216*16</f>
        <v>259360</v>
      </c>
      <c r="S216" s="221">
        <f>Q216*5</f>
        <v>81050</v>
      </c>
      <c r="T216" s="222"/>
      <c r="U216" s="214">
        <f t="shared" si="290"/>
        <v>3994810</v>
      </c>
      <c r="V216" s="250"/>
      <c r="W216" s="224">
        <f>ROUNDUP((T216+U216)*1/12,-1)</f>
        <v>332910</v>
      </c>
      <c r="X216" s="225">
        <f t="shared" si="291"/>
        <v>179770</v>
      </c>
      <c r="Y216" s="225">
        <f t="shared" si="292"/>
        <v>129040</v>
      </c>
      <c r="Z216" s="225">
        <f t="shared" si="293"/>
        <v>10990</v>
      </c>
      <c r="AA216" s="225">
        <f t="shared" si="294"/>
        <v>35950</v>
      </c>
      <c r="AB216" s="225">
        <f t="shared" si="295"/>
        <v>31960</v>
      </c>
      <c r="AC216" s="252">
        <f t="shared" si="296"/>
        <v>720620</v>
      </c>
    </row>
    <row r="217" spans="1:29" s="204" customFormat="1" ht="16.5" hidden="1" customHeight="1">
      <c r="A217" s="319"/>
      <c r="B217" s="211"/>
      <c r="C217" s="212"/>
      <c r="D217" s="212"/>
      <c r="E217" s="219" t="s">
        <v>275</v>
      </c>
      <c r="F217" s="221">
        <f>F216</f>
        <v>2259000</v>
      </c>
      <c r="G217" s="221"/>
      <c r="H217" s="221"/>
      <c r="I217" s="222"/>
      <c r="J217" s="221"/>
      <c r="K217" s="221"/>
      <c r="L217" s="221"/>
      <c r="M217" s="221"/>
      <c r="N217" s="221"/>
      <c r="O217" s="221">
        <f t="shared" ref="O217:O226" si="298">O216</f>
        <v>40000</v>
      </c>
      <c r="P217" s="221"/>
      <c r="Q217" s="221">
        <f t="shared" si="297"/>
        <v>16210</v>
      </c>
      <c r="R217" s="221">
        <f t="shared" ref="R217:R225" si="299">Q217*16</f>
        <v>259360</v>
      </c>
      <c r="S217" s="221">
        <f t="shared" ref="S217:S225" si="300">Q217*5</f>
        <v>81050</v>
      </c>
      <c r="T217" s="222"/>
      <c r="U217" s="214">
        <f t="shared" si="290"/>
        <v>2639410</v>
      </c>
      <c r="V217" s="250"/>
      <c r="W217" s="224">
        <f t="shared" ref="W217:W226" si="301">ROUNDUP(U217*1/12,-1)</f>
        <v>219960</v>
      </c>
      <c r="X217" s="225">
        <f t="shared" si="291"/>
        <v>118770</v>
      </c>
      <c r="Y217" s="225">
        <f t="shared" si="292"/>
        <v>85260</v>
      </c>
      <c r="Z217" s="225">
        <f t="shared" si="293"/>
        <v>7260</v>
      </c>
      <c r="AA217" s="225">
        <f t="shared" si="294"/>
        <v>23750</v>
      </c>
      <c r="AB217" s="225">
        <f t="shared" si="295"/>
        <v>21120</v>
      </c>
      <c r="AC217" s="252">
        <f t="shared" si="296"/>
        <v>476120</v>
      </c>
    </row>
    <row r="218" spans="1:29" s="204" customFormat="1" ht="16.5" hidden="1" customHeight="1">
      <c r="A218" s="319"/>
      <c r="B218" s="211"/>
      <c r="C218" s="212"/>
      <c r="D218" s="212"/>
      <c r="E218" s="219" t="s">
        <v>276</v>
      </c>
      <c r="F218" s="221">
        <f>F217</f>
        <v>2259000</v>
      </c>
      <c r="G218" s="221"/>
      <c r="H218" s="221"/>
      <c r="I218" s="222"/>
      <c r="J218" s="221"/>
      <c r="K218" s="221"/>
      <c r="L218" s="221"/>
      <c r="M218" s="221"/>
      <c r="N218" s="221"/>
      <c r="O218" s="221">
        <f t="shared" si="298"/>
        <v>40000</v>
      </c>
      <c r="P218" s="221"/>
      <c r="Q218" s="221">
        <f t="shared" si="297"/>
        <v>16210</v>
      </c>
      <c r="R218" s="221">
        <f t="shared" si="299"/>
        <v>259360</v>
      </c>
      <c r="S218" s="221">
        <f t="shared" si="300"/>
        <v>81050</v>
      </c>
      <c r="T218" s="222"/>
      <c r="U218" s="214">
        <f t="shared" si="290"/>
        <v>2639410</v>
      </c>
      <c r="V218" s="250"/>
      <c r="W218" s="224">
        <f t="shared" si="301"/>
        <v>219960</v>
      </c>
      <c r="X218" s="225">
        <f t="shared" si="291"/>
        <v>118770</v>
      </c>
      <c r="Y218" s="225">
        <f t="shared" si="292"/>
        <v>85260</v>
      </c>
      <c r="Z218" s="225">
        <f t="shared" si="293"/>
        <v>7260</v>
      </c>
      <c r="AA218" s="225">
        <f t="shared" si="294"/>
        <v>23750</v>
      </c>
      <c r="AB218" s="225">
        <f t="shared" si="295"/>
        <v>21120</v>
      </c>
      <c r="AC218" s="252">
        <f t="shared" si="296"/>
        <v>476120</v>
      </c>
    </row>
    <row r="219" spans="1:29" s="204" customFormat="1" ht="16.5" hidden="1" customHeight="1">
      <c r="A219" s="319"/>
      <c r="B219" s="211"/>
      <c r="C219" s="310">
        <f>C215+1</f>
        <v>10</v>
      </c>
      <c r="D219" s="310"/>
      <c r="E219" s="311" t="s">
        <v>277</v>
      </c>
      <c r="F219" s="312">
        <v>2319000</v>
      </c>
      <c r="G219" s="221"/>
      <c r="H219" s="221"/>
      <c r="I219" s="222"/>
      <c r="J219" s="221"/>
      <c r="K219" s="221"/>
      <c r="L219" s="221"/>
      <c r="M219" s="221"/>
      <c r="N219" s="221"/>
      <c r="O219" s="221">
        <f t="shared" si="298"/>
        <v>40000</v>
      </c>
      <c r="P219" s="221"/>
      <c r="Q219" s="221">
        <f t="shared" si="297"/>
        <v>16210</v>
      </c>
      <c r="R219" s="221">
        <f t="shared" si="299"/>
        <v>259360</v>
      </c>
      <c r="S219" s="221">
        <f t="shared" si="300"/>
        <v>81050</v>
      </c>
      <c r="T219" s="222"/>
      <c r="U219" s="214">
        <f t="shared" si="290"/>
        <v>2699410</v>
      </c>
      <c r="V219" s="250"/>
      <c r="W219" s="224">
        <f t="shared" si="301"/>
        <v>224960</v>
      </c>
      <c r="X219" s="225">
        <f t="shared" si="291"/>
        <v>121470</v>
      </c>
      <c r="Y219" s="225">
        <f t="shared" si="292"/>
        <v>87200</v>
      </c>
      <c r="Z219" s="225">
        <f t="shared" si="293"/>
        <v>7430</v>
      </c>
      <c r="AA219" s="225">
        <f t="shared" si="294"/>
        <v>24290</v>
      </c>
      <c r="AB219" s="225">
        <f t="shared" si="295"/>
        <v>21600</v>
      </c>
      <c r="AC219" s="252">
        <f t="shared" si="296"/>
        <v>486950</v>
      </c>
    </row>
    <row r="220" spans="1:29" s="204" customFormat="1" ht="16.5" hidden="1" customHeight="1">
      <c r="A220" s="319"/>
      <c r="B220" s="211"/>
      <c r="C220" s="212"/>
      <c r="D220" s="212"/>
      <c r="E220" s="219" t="s">
        <v>278</v>
      </c>
      <c r="F220" s="221">
        <f t="shared" ref="F220:F226" si="302">F219</f>
        <v>2319000</v>
      </c>
      <c r="G220" s="221"/>
      <c r="H220" s="221"/>
      <c r="I220" s="222"/>
      <c r="J220" s="221"/>
      <c r="K220" s="221"/>
      <c r="L220" s="221"/>
      <c r="M220" s="221"/>
      <c r="N220" s="221"/>
      <c r="O220" s="221">
        <f t="shared" si="298"/>
        <v>40000</v>
      </c>
      <c r="P220" s="221"/>
      <c r="Q220" s="221">
        <f t="shared" si="297"/>
        <v>16640</v>
      </c>
      <c r="R220" s="221">
        <f t="shared" si="299"/>
        <v>266240</v>
      </c>
      <c r="S220" s="221">
        <f t="shared" si="300"/>
        <v>83200</v>
      </c>
      <c r="T220" s="222"/>
      <c r="U220" s="214">
        <f t="shared" si="290"/>
        <v>2708440</v>
      </c>
      <c r="V220" s="250"/>
      <c r="W220" s="224">
        <f t="shared" si="301"/>
        <v>225710</v>
      </c>
      <c r="X220" s="225">
        <f t="shared" si="291"/>
        <v>121880</v>
      </c>
      <c r="Y220" s="225">
        <f t="shared" si="292"/>
        <v>87490</v>
      </c>
      <c r="Z220" s="225">
        <f t="shared" si="293"/>
        <v>7450</v>
      </c>
      <c r="AA220" s="225">
        <f t="shared" si="294"/>
        <v>24380</v>
      </c>
      <c r="AB220" s="225">
        <f t="shared" si="295"/>
        <v>21670</v>
      </c>
      <c r="AC220" s="252">
        <f t="shared" si="296"/>
        <v>488580</v>
      </c>
    </row>
    <row r="221" spans="1:29" s="204" customFormat="1" ht="16.5" hidden="1" customHeight="1">
      <c r="A221" s="319"/>
      <c r="B221" s="211"/>
      <c r="C221" s="212"/>
      <c r="D221" s="212"/>
      <c r="E221" s="219" t="s">
        <v>279</v>
      </c>
      <c r="F221" s="221">
        <f t="shared" si="302"/>
        <v>2319000</v>
      </c>
      <c r="G221" s="221"/>
      <c r="H221" s="220"/>
      <c r="I221" s="222"/>
      <c r="J221" s="221"/>
      <c r="K221" s="221"/>
      <c r="L221" s="221"/>
      <c r="M221" s="221"/>
      <c r="N221" s="221"/>
      <c r="O221" s="221">
        <f t="shared" si="298"/>
        <v>40000</v>
      </c>
      <c r="P221" s="221"/>
      <c r="Q221" s="221">
        <f t="shared" si="297"/>
        <v>16640</v>
      </c>
      <c r="R221" s="221">
        <f t="shared" si="299"/>
        <v>266240</v>
      </c>
      <c r="S221" s="221">
        <f t="shared" si="300"/>
        <v>83200</v>
      </c>
      <c r="T221" s="222"/>
      <c r="U221" s="214">
        <f t="shared" si="290"/>
        <v>2708440</v>
      </c>
      <c r="V221" s="250"/>
      <c r="W221" s="224">
        <f t="shared" si="301"/>
        <v>225710</v>
      </c>
      <c r="X221" s="225">
        <f t="shared" si="291"/>
        <v>121880</v>
      </c>
      <c r="Y221" s="225">
        <f t="shared" si="292"/>
        <v>87490</v>
      </c>
      <c r="Z221" s="225">
        <f t="shared" si="293"/>
        <v>7450</v>
      </c>
      <c r="AA221" s="225">
        <f t="shared" si="294"/>
        <v>24380</v>
      </c>
      <c r="AB221" s="225">
        <f t="shared" si="295"/>
        <v>21670</v>
      </c>
      <c r="AC221" s="252">
        <f t="shared" si="296"/>
        <v>488580</v>
      </c>
    </row>
    <row r="222" spans="1:29" s="204" customFormat="1" ht="16.5" hidden="1" customHeight="1">
      <c r="A222" s="319"/>
      <c r="B222" s="211"/>
      <c r="C222" s="212"/>
      <c r="D222" s="212"/>
      <c r="E222" s="219" t="s">
        <v>280</v>
      </c>
      <c r="F222" s="221">
        <f t="shared" si="302"/>
        <v>2319000</v>
      </c>
      <c r="G222" s="221"/>
      <c r="H222" s="221"/>
      <c r="I222" s="222"/>
      <c r="J222" s="221"/>
      <c r="K222" s="221"/>
      <c r="L222" s="221"/>
      <c r="M222" s="221"/>
      <c r="N222" s="221"/>
      <c r="O222" s="221">
        <f t="shared" si="298"/>
        <v>40000</v>
      </c>
      <c r="P222" s="221"/>
      <c r="Q222" s="221">
        <f t="shared" si="297"/>
        <v>16640</v>
      </c>
      <c r="R222" s="221">
        <f t="shared" si="299"/>
        <v>266240</v>
      </c>
      <c r="S222" s="221">
        <f t="shared" si="300"/>
        <v>83200</v>
      </c>
      <c r="T222" s="222"/>
      <c r="U222" s="214">
        <f t="shared" si="290"/>
        <v>2708440</v>
      </c>
      <c r="V222" s="250"/>
      <c r="W222" s="224">
        <f t="shared" si="301"/>
        <v>225710</v>
      </c>
      <c r="X222" s="225">
        <f t="shared" si="291"/>
        <v>121880</v>
      </c>
      <c r="Y222" s="225">
        <f t="shared" si="292"/>
        <v>87490</v>
      </c>
      <c r="Z222" s="225">
        <f t="shared" si="293"/>
        <v>7450</v>
      </c>
      <c r="AA222" s="225">
        <f t="shared" si="294"/>
        <v>24380</v>
      </c>
      <c r="AB222" s="225">
        <f t="shared" si="295"/>
        <v>21670</v>
      </c>
      <c r="AC222" s="252">
        <f t="shared" si="296"/>
        <v>488580</v>
      </c>
    </row>
    <row r="223" spans="1:29" s="204" customFormat="1" ht="16.5" hidden="1" customHeight="1">
      <c r="A223" s="319"/>
      <c r="B223" s="211"/>
      <c r="C223" s="212"/>
      <c r="D223" s="212"/>
      <c r="E223" s="219" t="s">
        <v>54</v>
      </c>
      <c r="F223" s="221">
        <f t="shared" si="302"/>
        <v>2319000</v>
      </c>
      <c r="G223" s="221"/>
      <c r="H223" s="221"/>
      <c r="I223" s="222"/>
      <c r="J223" s="221"/>
      <c r="K223" s="221"/>
      <c r="L223" s="221"/>
      <c r="M223" s="221">
        <f t="shared" ref="M223" si="303">F223*60%</f>
        <v>1391400</v>
      </c>
      <c r="N223" s="221"/>
      <c r="O223" s="221">
        <f t="shared" si="298"/>
        <v>40000</v>
      </c>
      <c r="P223" s="221"/>
      <c r="Q223" s="221">
        <f t="shared" si="297"/>
        <v>16640</v>
      </c>
      <c r="R223" s="221">
        <f t="shared" si="299"/>
        <v>266240</v>
      </c>
      <c r="S223" s="221">
        <f t="shared" si="300"/>
        <v>83200</v>
      </c>
      <c r="T223" s="222"/>
      <c r="U223" s="214">
        <f t="shared" si="290"/>
        <v>4099840</v>
      </c>
      <c r="V223" s="250"/>
      <c r="W223" s="224">
        <f t="shared" si="301"/>
        <v>341660</v>
      </c>
      <c r="X223" s="225">
        <f t="shared" si="291"/>
        <v>184490</v>
      </c>
      <c r="Y223" s="225">
        <f t="shared" si="292"/>
        <v>132430</v>
      </c>
      <c r="Z223" s="225">
        <f t="shared" si="293"/>
        <v>11270</v>
      </c>
      <c r="AA223" s="225">
        <f t="shared" si="294"/>
        <v>36900</v>
      </c>
      <c r="AB223" s="225">
        <f t="shared" si="295"/>
        <v>32800</v>
      </c>
      <c r="AC223" s="252">
        <f t="shared" si="296"/>
        <v>739550</v>
      </c>
    </row>
    <row r="224" spans="1:29" s="204" customFormat="1" ht="16.5" hidden="1" customHeight="1">
      <c r="A224" s="319"/>
      <c r="B224" s="211"/>
      <c r="C224" s="212"/>
      <c r="D224" s="212"/>
      <c r="E224" s="219" t="s">
        <v>55</v>
      </c>
      <c r="F224" s="221">
        <f t="shared" si="302"/>
        <v>2319000</v>
      </c>
      <c r="G224" s="221"/>
      <c r="H224" s="221"/>
      <c r="I224" s="222"/>
      <c r="J224" s="221"/>
      <c r="K224" s="221"/>
      <c r="L224" s="221"/>
      <c r="M224" s="221"/>
      <c r="N224" s="221"/>
      <c r="O224" s="221">
        <f t="shared" si="298"/>
        <v>40000</v>
      </c>
      <c r="P224" s="221"/>
      <c r="Q224" s="221">
        <f t="shared" si="297"/>
        <v>16640</v>
      </c>
      <c r="R224" s="221">
        <f t="shared" si="299"/>
        <v>266240</v>
      </c>
      <c r="S224" s="221">
        <f t="shared" si="300"/>
        <v>83200</v>
      </c>
      <c r="T224" s="222"/>
      <c r="U224" s="214">
        <f t="shared" si="290"/>
        <v>2708440</v>
      </c>
      <c r="V224" s="250"/>
      <c r="W224" s="224">
        <f t="shared" si="301"/>
        <v>225710</v>
      </c>
      <c r="X224" s="225">
        <f t="shared" si="291"/>
        <v>121880</v>
      </c>
      <c r="Y224" s="225">
        <f t="shared" si="292"/>
        <v>87490</v>
      </c>
      <c r="Z224" s="225">
        <f t="shared" si="293"/>
        <v>7450</v>
      </c>
      <c r="AA224" s="225">
        <f t="shared" si="294"/>
        <v>24380</v>
      </c>
      <c r="AB224" s="225">
        <f t="shared" si="295"/>
        <v>21670</v>
      </c>
      <c r="AC224" s="252">
        <f t="shared" si="296"/>
        <v>488580</v>
      </c>
    </row>
    <row r="225" spans="1:29" s="204" customFormat="1" ht="16.5" hidden="1" customHeight="1">
      <c r="A225" s="319"/>
      <c r="B225" s="211"/>
      <c r="C225" s="212"/>
      <c r="D225" s="212"/>
      <c r="E225" s="219" t="s">
        <v>56</v>
      </c>
      <c r="F225" s="221">
        <f t="shared" si="302"/>
        <v>2319000</v>
      </c>
      <c r="G225" s="221"/>
      <c r="H225" s="221"/>
      <c r="I225" s="222"/>
      <c r="J225" s="221"/>
      <c r="K225" s="221"/>
      <c r="L225" s="221"/>
      <c r="M225" s="221"/>
      <c r="N225" s="221"/>
      <c r="O225" s="221">
        <f t="shared" si="298"/>
        <v>40000</v>
      </c>
      <c r="P225" s="221"/>
      <c r="Q225" s="221">
        <f t="shared" si="297"/>
        <v>16640</v>
      </c>
      <c r="R225" s="221">
        <f t="shared" si="299"/>
        <v>266240</v>
      </c>
      <c r="S225" s="221">
        <f t="shared" si="300"/>
        <v>83200</v>
      </c>
      <c r="T225" s="222"/>
      <c r="U225" s="214">
        <f t="shared" si="290"/>
        <v>2708440</v>
      </c>
      <c r="V225" s="250"/>
      <c r="W225" s="224">
        <f t="shared" si="301"/>
        <v>225710</v>
      </c>
      <c r="X225" s="225">
        <f t="shared" si="291"/>
        <v>121880</v>
      </c>
      <c r="Y225" s="225">
        <f t="shared" si="292"/>
        <v>87490</v>
      </c>
      <c r="Z225" s="225">
        <f t="shared" si="293"/>
        <v>7450</v>
      </c>
      <c r="AA225" s="225">
        <f t="shared" si="294"/>
        <v>24380</v>
      </c>
      <c r="AB225" s="225">
        <f t="shared" si="295"/>
        <v>21670</v>
      </c>
      <c r="AC225" s="252">
        <f t="shared" si="296"/>
        <v>488580</v>
      </c>
    </row>
    <row r="226" spans="1:29" s="204" customFormat="1" ht="16.5" hidden="1" customHeight="1">
      <c r="A226" s="319"/>
      <c r="B226" s="211"/>
      <c r="C226" s="212"/>
      <c r="D226" s="212"/>
      <c r="E226" s="219" t="s">
        <v>281</v>
      </c>
      <c r="F226" s="221">
        <f t="shared" si="302"/>
        <v>2319000</v>
      </c>
      <c r="G226" s="221"/>
      <c r="H226" s="221"/>
      <c r="I226" s="222"/>
      <c r="J226" s="221"/>
      <c r="K226" s="221"/>
      <c r="L226" s="221"/>
      <c r="M226" s="221"/>
      <c r="N226" s="221"/>
      <c r="O226" s="221">
        <f t="shared" si="298"/>
        <v>40000</v>
      </c>
      <c r="P226" s="221"/>
      <c r="Q226" s="221">
        <f t="shared" si="297"/>
        <v>16640</v>
      </c>
      <c r="R226" s="221">
        <f>Q226*16*2</f>
        <v>532480</v>
      </c>
      <c r="S226" s="221">
        <f>(Q226*5)*2</f>
        <v>166400</v>
      </c>
      <c r="T226" s="222"/>
      <c r="U226" s="214">
        <f t="shared" si="290"/>
        <v>3057880</v>
      </c>
      <c r="V226" s="250"/>
      <c r="W226" s="224">
        <f t="shared" si="301"/>
        <v>254830</v>
      </c>
      <c r="X226" s="225">
        <f t="shared" si="291"/>
        <v>137600</v>
      </c>
      <c r="Y226" s="225">
        <f t="shared" si="292"/>
        <v>98770</v>
      </c>
      <c r="Z226" s="225">
        <f t="shared" si="293"/>
        <v>8410</v>
      </c>
      <c r="AA226" s="225">
        <f t="shared" si="294"/>
        <v>27520</v>
      </c>
      <c r="AB226" s="225">
        <f t="shared" si="295"/>
        <v>24460</v>
      </c>
      <c r="AC226" s="252">
        <f t="shared" si="296"/>
        <v>551590</v>
      </c>
    </row>
    <row r="227" spans="1:29" s="204" customFormat="1" ht="16.5" hidden="1" customHeight="1">
      <c r="A227" s="319">
        <v>18</v>
      </c>
      <c r="B227" s="211" t="s">
        <v>87</v>
      </c>
      <c r="C227" s="212" t="s">
        <v>714</v>
      </c>
      <c r="D227" s="212">
        <v>1</v>
      </c>
      <c r="E227" s="213" t="s">
        <v>86</v>
      </c>
      <c r="F227" s="214">
        <f t="shared" ref="F227:N227" si="304">SUM(F228:F239)</f>
        <v>29392000</v>
      </c>
      <c r="G227" s="214">
        <f t="shared" si="304"/>
        <v>0</v>
      </c>
      <c r="H227" s="214">
        <f t="shared" si="304"/>
        <v>0</v>
      </c>
      <c r="I227" s="214">
        <f t="shared" si="304"/>
        <v>0</v>
      </c>
      <c r="J227" s="214">
        <f t="shared" si="304"/>
        <v>0</v>
      </c>
      <c r="K227" s="214">
        <f t="shared" si="304"/>
        <v>0</v>
      </c>
      <c r="L227" s="214">
        <f t="shared" si="304"/>
        <v>0</v>
      </c>
      <c r="M227" s="214">
        <f t="shared" si="304"/>
        <v>2932800</v>
      </c>
      <c r="N227" s="214">
        <f t="shared" si="304"/>
        <v>0</v>
      </c>
      <c r="O227" s="214">
        <f>SUM(O228:O239)</f>
        <v>0</v>
      </c>
      <c r="P227" s="214">
        <f t="shared" ref="P227" si="305">SUM(P228:P239)</f>
        <v>0</v>
      </c>
      <c r="Q227" s="214"/>
      <c r="R227" s="214">
        <f t="shared" ref="R227" si="306">SUM(R228:R239)</f>
        <v>8419200</v>
      </c>
      <c r="S227" s="214">
        <f>SUM(S228:S239)</f>
        <v>0</v>
      </c>
      <c r="T227" s="214">
        <f t="shared" ref="T227:U227" si="307">SUM(T228:T239)</f>
        <v>0</v>
      </c>
      <c r="U227" s="214">
        <f t="shared" si="307"/>
        <v>40744000</v>
      </c>
      <c r="V227" s="250"/>
      <c r="W227" s="217">
        <f t="shared" ref="W227:AB227" si="308">SUM(W228:W239)</f>
        <v>3395410</v>
      </c>
      <c r="X227" s="214">
        <f t="shared" si="308"/>
        <v>1833460</v>
      </c>
      <c r="Y227" s="214">
        <f t="shared" si="308"/>
        <v>1316110</v>
      </c>
      <c r="Z227" s="214">
        <f t="shared" si="308"/>
        <v>112040</v>
      </c>
      <c r="AA227" s="214">
        <f t="shared" si="308"/>
        <v>366700</v>
      </c>
      <c r="AB227" s="214">
        <f t="shared" si="308"/>
        <v>325920</v>
      </c>
      <c r="AC227" s="266">
        <f>SUM(AC228:AC239)</f>
        <v>7349640</v>
      </c>
    </row>
    <row r="228" spans="1:29" s="204" customFormat="1" ht="16.5" hidden="1" customHeight="1">
      <c r="A228" s="319"/>
      <c r="B228" s="211" t="s">
        <v>817</v>
      </c>
      <c r="C228" s="310">
        <v>12</v>
      </c>
      <c r="D228" s="310"/>
      <c r="E228" s="311" t="s">
        <v>273</v>
      </c>
      <c r="F228" s="312">
        <v>2444000</v>
      </c>
      <c r="G228" s="221"/>
      <c r="H228" s="220"/>
      <c r="I228" s="222"/>
      <c r="J228" s="221"/>
      <c r="K228" s="221"/>
      <c r="L228" s="221"/>
      <c r="M228" s="221" t="s">
        <v>60</v>
      </c>
      <c r="N228" s="221"/>
      <c r="O228" s="221"/>
      <c r="P228" s="221"/>
      <c r="Q228" s="221"/>
      <c r="R228" s="221"/>
      <c r="S228" s="221"/>
      <c r="T228" s="222"/>
      <c r="U228" s="214">
        <f t="shared" ref="U228:U239" si="309">SUM(F228,M228,O228,R228,T228,S228)</f>
        <v>2444000</v>
      </c>
      <c r="V228" s="250"/>
      <c r="W228" s="224">
        <f>ROUNDUP(U228*1/12,-1)</f>
        <v>203670</v>
      </c>
      <c r="X228" s="225">
        <f t="shared" ref="X228:X239" si="310">ROUND(U228*4.5%,-1)</f>
        <v>109980</v>
      </c>
      <c r="Y228" s="225">
        <f t="shared" ref="Y228" si="311">ROUNDUP((U228-L228)*3.23%,-1)</f>
        <v>78950</v>
      </c>
      <c r="Z228" s="225">
        <f t="shared" ref="Z228" si="312">ROUNDUP(Y228*8.51%,-1)</f>
        <v>6720</v>
      </c>
      <c r="AA228" s="225">
        <f t="shared" ref="AA228:AA239" si="313">ROUND(U228*0.9%,-1)</f>
        <v>22000</v>
      </c>
      <c r="AB228" s="225">
        <f t="shared" ref="AB228:AB239" si="314">ROUND(U228*0.8%,-1)</f>
        <v>19550</v>
      </c>
      <c r="AC228" s="252">
        <f t="shared" ref="AC228:AC239" si="315">SUM(W228:AB228)</f>
        <v>440870</v>
      </c>
    </row>
    <row r="229" spans="1:29" s="204" customFormat="1" ht="16.5" hidden="1" customHeight="1">
      <c r="A229" s="319"/>
      <c r="B229" s="211"/>
      <c r="C229" s="212"/>
      <c r="D229" s="212"/>
      <c r="E229" s="219" t="s">
        <v>274</v>
      </c>
      <c r="F229" s="221">
        <f t="shared" ref="F229:F238" si="316">F228</f>
        <v>2444000</v>
      </c>
      <c r="G229" s="221"/>
      <c r="H229" s="221"/>
      <c r="I229" s="222"/>
      <c r="J229" s="221"/>
      <c r="K229" s="221"/>
      <c r="L229" s="221"/>
      <c r="M229" s="221">
        <f>F229*60%</f>
        <v>1466400</v>
      </c>
      <c r="N229" s="221"/>
      <c r="O229" s="221"/>
      <c r="P229" s="221"/>
      <c r="Q229" s="221">
        <f t="shared" ref="Q229:Q239" si="317">ROUND((F228+T228)*1/209*1.5,-1)</f>
        <v>17540</v>
      </c>
      <c r="R229" s="221">
        <f>Q229*40</f>
        <v>701600</v>
      </c>
      <c r="S229" s="221"/>
      <c r="T229" s="222"/>
      <c r="U229" s="214">
        <f t="shared" si="309"/>
        <v>4612000</v>
      </c>
      <c r="V229" s="250"/>
      <c r="W229" s="224">
        <f>ROUNDUP((T229+U229)*1/12,-1)</f>
        <v>384340</v>
      </c>
      <c r="X229" s="225">
        <f t="shared" si="310"/>
        <v>207540</v>
      </c>
      <c r="Y229" s="225">
        <f t="shared" si="292"/>
        <v>148970</v>
      </c>
      <c r="Z229" s="225">
        <f t="shared" si="293"/>
        <v>12680</v>
      </c>
      <c r="AA229" s="225">
        <f t="shared" si="313"/>
        <v>41510</v>
      </c>
      <c r="AB229" s="225">
        <f t="shared" si="314"/>
        <v>36900</v>
      </c>
      <c r="AC229" s="252">
        <f t="shared" si="315"/>
        <v>831940</v>
      </c>
    </row>
    <row r="230" spans="1:29" s="204" customFormat="1" ht="16.5" hidden="1" customHeight="1">
      <c r="A230" s="319"/>
      <c r="B230" s="211"/>
      <c r="C230" s="212"/>
      <c r="D230" s="212"/>
      <c r="E230" s="219" t="s">
        <v>275</v>
      </c>
      <c r="F230" s="221">
        <f t="shared" si="316"/>
        <v>2444000</v>
      </c>
      <c r="G230" s="221"/>
      <c r="H230" s="221"/>
      <c r="I230" s="222"/>
      <c r="J230" s="221"/>
      <c r="K230" s="221"/>
      <c r="L230" s="221"/>
      <c r="M230" s="221"/>
      <c r="N230" s="221"/>
      <c r="O230" s="221"/>
      <c r="P230" s="221"/>
      <c r="Q230" s="221">
        <f t="shared" si="317"/>
        <v>17540</v>
      </c>
      <c r="R230" s="221">
        <f t="shared" ref="R230:R238" si="318">Q230*40</f>
        <v>701600</v>
      </c>
      <c r="S230" s="221"/>
      <c r="T230" s="222"/>
      <c r="U230" s="214">
        <f t="shared" si="309"/>
        <v>3145600</v>
      </c>
      <c r="V230" s="250"/>
      <c r="W230" s="224">
        <f t="shared" ref="W230:W239" si="319">ROUNDUP(U230*1/12,-1)</f>
        <v>262140</v>
      </c>
      <c r="X230" s="225">
        <f t="shared" si="310"/>
        <v>141550</v>
      </c>
      <c r="Y230" s="225">
        <f t="shared" si="292"/>
        <v>101610</v>
      </c>
      <c r="Z230" s="225">
        <f t="shared" si="293"/>
        <v>8650</v>
      </c>
      <c r="AA230" s="225">
        <f t="shared" si="313"/>
        <v>28310</v>
      </c>
      <c r="AB230" s="225">
        <f t="shared" si="314"/>
        <v>25160</v>
      </c>
      <c r="AC230" s="252">
        <f t="shared" si="315"/>
        <v>567420</v>
      </c>
    </row>
    <row r="231" spans="1:29" s="204" customFormat="1" ht="16.5" hidden="1" customHeight="1">
      <c r="A231" s="319"/>
      <c r="B231" s="211"/>
      <c r="C231" s="212"/>
      <c r="D231" s="212"/>
      <c r="E231" s="219" t="s">
        <v>276</v>
      </c>
      <c r="F231" s="221">
        <f t="shared" si="316"/>
        <v>2444000</v>
      </c>
      <c r="G231" s="221"/>
      <c r="H231" s="221"/>
      <c r="I231" s="222"/>
      <c r="J231" s="221"/>
      <c r="K231" s="221"/>
      <c r="L231" s="221"/>
      <c r="M231" s="221"/>
      <c r="N231" s="221"/>
      <c r="O231" s="221"/>
      <c r="P231" s="221"/>
      <c r="Q231" s="221">
        <f t="shared" si="317"/>
        <v>17540</v>
      </c>
      <c r="R231" s="221">
        <f t="shared" si="318"/>
        <v>701600</v>
      </c>
      <c r="S231" s="221"/>
      <c r="T231" s="222"/>
      <c r="U231" s="214">
        <f t="shared" si="309"/>
        <v>3145600</v>
      </c>
      <c r="V231" s="250"/>
      <c r="W231" s="224">
        <f t="shared" si="319"/>
        <v>262140</v>
      </c>
      <c r="X231" s="225">
        <f t="shared" si="310"/>
        <v>141550</v>
      </c>
      <c r="Y231" s="225">
        <f t="shared" si="292"/>
        <v>101610</v>
      </c>
      <c r="Z231" s="225">
        <f t="shared" si="293"/>
        <v>8650</v>
      </c>
      <c r="AA231" s="225">
        <f t="shared" si="313"/>
        <v>28310</v>
      </c>
      <c r="AB231" s="225">
        <f t="shared" si="314"/>
        <v>25160</v>
      </c>
      <c r="AC231" s="252">
        <f t="shared" si="315"/>
        <v>567420</v>
      </c>
    </row>
    <row r="232" spans="1:29" s="204" customFormat="1" ht="16.5" hidden="1" customHeight="1">
      <c r="A232" s="319"/>
      <c r="B232" s="211"/>
      <c r="C232" s="212"/>
      <c r="D232" s="212"/>
      <c r="E232" s="219" t="s">
        <v>277</v>
      </c>
      <c r="F232" s="221">
        <f t="shared" si="316"/>
        <v>2444000</v>
      </c>
      <c r="G232" s="221"/>
      <c r="H232" s="221"/>
      <c r="I232" s="222"/>
      <c r="J232" s="221"/>
      <c r="K232" s="221"/>
      <c r="L232" s="221"/>
      <c r="M232" s="221"/>
      <c r="N232" s="221"/>
      <c r="O232" s="221"/>
      <c r="P232" s="221"/>
      <c r="Q232" s="221">
        <f t="shared" si="317"/>
        <v>17540</v>
      </c>
      <c r="R232" s="221">
        <f t="shared" si="318"/>
        <v>701600</v>
      </c>
      <c r="S232" s="221"/>
      <c r="T232" s="222"/>
      <c r="U232" s="214">
        <f t="shared" si="309"/>
        <v>3145600</v>
      </c>
      <c r="V232" s="250"/>
      <c r="W232" s="224">
        <f t="shared" si="319"/>
        <v>262140</v>
      </c>
      <c r="X232" s="225">
        <f t="shared" si="310"/>
        <v>141550</v>
      </c>
      <c r="Y232" s="225">
        <f t="shared" si="292"/>
        <v>101610</v>
      </c>
      <c r="Z232" s="225">
        <f t="shared" si="293"/>
        <v>8650</v>
      </c>
      <c r="AA232" s="225">
        <f t="shared" si="313"/>
        <v>28310</v>
      </c>
      <c r="AB232" s="225">
        <f t="shared" si="314"/>
        <v>25160</v>
      </c>
      <c r="AC232" s="252">
        <f t="shared" si="315"/>
        <v>567420</v>
      </c>
    </row>
    <row r="233" spans="1:29" s="204" customFormat="1" ht="16.5" hidden="1" customHeight="1">
      <c r="A233" s="319"/>
      <c r="B233" s="211"/>
      <c r="C233" s="212"/>
      <c r="D233" s="212"/>
      <c r="E233" s="219" t="s">
        <v>278</v>
      </c>
      <c r="F233" s="221">
        <f t="shared" si="316"/>
        <v>2444000</v>
      </c>
      <c r="G233" s="221"/>
      <c r="H233" s="221"/>
      <c r="I233" s="222"/>
      <c r="J233" s="221"/>
      <c r="K233" s="221"/>
      <c r="L233" s="221"/>
      <c r="M233" s="221"/>
      <c r="N233" s="221"/>
      <c r="O233" s="221"/>
      <c r="P233" s="221"/>
      <c r="Q233" s="221">
        <f t="shared" si="317"/>
        <v>17540</v>
      </c>
      <c r="R233" s="221">
        <f t="shared" si="318"/>
        <v>701600</v>
      </c>
      <c r="S233" s="221"/>
      <c r="T233" s="222"/>
      <c r="U233" s="214">
        <f t="shared" si="309"/>
        <v>3145600</v>
      </c>
      <c r="V233" s="250"/>
      <c r="W233" s="224">
        <f t="shared" si="319"/>
        <v>262140</v>
      </c>
      <c r="X233" s="225">
        <f t="shared" si="310"/>
        <v>141550</v>
      </c>
      <c r="Y233" s="225">
        <f t="shared" si="292"/>
        <v>101610</v>
      </c>
      <c r="Z233" s="225">
        <f t="shared" si="293"/>
        <v>8650</v>
      </c>
      <c r="AA233" s="225">
        <f t="shared" si="313"/>
        <v>28310</v>
      </c>
      <c r="AB233" s="225">
        <f t="shared" si="314"/>
        <v>25160</v>
      </c>
      <c r="AC233" s="252">
        <f t="shared" si="315"/>
        <v>567420</v>
      </c>
    </row>
    <row r="234" spans="1:29" s="204" customFormat="1" ht="16.5" hidden="1" customHeight="1">
      <c r="A234" s="319"/>
      <c r="B234" s="211"/>
      <c r="C234" s="212"/>
      <c r="D234" s="212"/>
      <c r="E234" s="219" t="s">
        <v>279</v>
      </c>
      <c r="F234" s="221">
        <f t="shared" si="316"/>
        <v>2444000</v>
      </c>
      <c r="G234" s="221"/>
      <c r="H234" s="220"/>
      <c r="I234" s="222"/>
      <c r="J234" s="221"/>
      <c r="K234" s="221"/>
      <c r="L234" s="221"/>
      <c r="M234" s="221"/>
      <c r="N234" s="221"/>
      <c r="O234" s="221"/>
      <c r="P234" s="221"/>
      <c r="Q234" s="221">
        <f t="shared" si="317"/>
        <v>17540</v>
      </c>
      <c r="R234" s="221">
        <f t="shared" si="318"/>
        <v>701600</v>
      </c>
      <c r="S234" s="221"/>
      <c r="T234" s="222"/>
      <c r="U234" s="214">
        <f t="shared" si="309"/>
        <v>3145600</v>
      </c>
      <c r="V234" s="250"/>
      <c r="W234" s="224">
        <f t="shared" si="319"/>
        <v>262140</v>
      </c>
      <c r="X234" s="225">
        <f t="shared" si="310"/>
        <v>141550</v>
      </c>
      <c r="Y234" s="225">
        <f t="shared" si="292"/>
        <v>101610</v>
      </c>
      <c r="Z234" s="225">
        <f t="shared" si="293"/>
        <v>8650</v>
      </c>
      <c r="AA234" s="225">
        <f t="shared" si="313"/>
        <v>28310</v>
      </c>
      <c r="AB234" s="225">
        <f t="shared" si="314"/>
        <v>25160</v>
      </c>
      <c r="AC234" s="252">
        <f t="shared" si="315"/>
        <v>567420</v>
      </c>
    </row>
    <row r="235" spans="1:29" s="204" customFormat="1" ht="16.5" hidden="1" customHeight="1">
      <c r="A235" s="319"/>
      <c r="B235" s="211"/>
      <c r="C235" s="212"/>
      <c r="D235" s="212"/>
      <c r="E235" s="219" t="s">
        <v>280</v>
      </c>
      <c r="F235" s="221">
        <f t="shared" si="316"/>
        <v>2444000</v>
      </c>
      <c r="G235" s="221"/>
      <c r="H235" s="221"/>
      <c r="I235" s="222"/>
      <c r="J235" s="221"/>
      <c r="K235" s="221"/>
      <c r="L235" s="221"/>
      <c r="M235" s="221"/>
      <c r="N235" s="221"/>
      <c r="O235" s="221"/>
      <c r="P235" s="221"/>
      <c r="Q235" s="221">
        <f t="shared" si="317"/>
        <v>17540</v>
      </c>
      <c r="R235" s="221">
        <f t="shared" si="318"/>
        <v>701600</v>
      </c>
      <c r="S235" s="221"/>
      <c r="T235" s="222"/>
      <c r="U235" s="214">
        <f t="shared" si="309"/>
        <v>3145600</v>
      </c>
      <c r="V235" s="250"/>
      <c r="W235" s="224">
        <f t="shared" si="319"/>
        <v>262140</v>
      </c>
      <c r="X235" s="225">
        <f t="shared" si="310"/>
        <v>141550</v>
      </c>
      <c r="Y235" s="225">
        <f t="shared" si="292"/>
        <v>101610</v>
      </c>
      <c r="Z235" s="225">
        <f t="shared" si="293"/>
        <v>8650</v>
      </c>
      <c r="AA235" s="225">
        <f t="shared" si="313"/>
        <v>28310</v>
      </c>
      <c r="AB235" s="225">
        <f t="shared" si="314"/>
        <v>25160</v>
      </c>
      <c r="AC235" s="252">
        <f t="shared" si="315"/>
        <v>567420</v>
      </c>
    </row>
    <row r="236" spans="1:29" s="204" customFormat="1" ht="16.5" hidden="1" customHeight="1">
      <c r="A236" s="319"/>
      <c r="B236" s="211"/>
      <c r="C236" s="212"/>
      <c r="D236" s="212"/>
      <c r="E236" s="219" t="s">
        <v>54</v>
      </c>
      <c r="F236" s="221">
        <f t="shared" si="316"/>
        <v>2444000</v>
      </c>
      <c r="G236" s="221"/>
      <c r="H236" s="221"/>
      <c r="I236" s="222"/>
      <c r="J236" s="221"/>
      <c r="K236" s="221"/>
      <c r="L236" s="221"/>
      <c r="M236" s="221">
        <f t="shared" ref="M236" si="320">F236*60%</f>
        <v>1466400</v>
      </c>
      <c r="N236" s="221"/>
      <c r="O236" s="221"/>
      <c r="P236" s="221"/>
      <c r="Q236" s="221">
        <f t="shared" si="317"/>
        <v>17540</v>
      </c>
      <c r="R236" s="221">
        <f t="shared" si="318"/>
        <v>701600</v>
      </c>
      <c r="S236" s="221"/>
      <c r="T236" s="222"/>
      <c r="U236" s="214">
        <f t="shared" si="309"/>
        <v>4612000</v>
      </c>
      <c r="V236" s="250"/>
      <c r="W236" s="224">
        <f t="shared" si="319"/>
        <v>384340</v>
      </c>
      <c r="X236" s="225">
        <f t="shared" si="310"/>
        <v>207540</v>
      </c>
      <c r="Y236" s="225">
        <f t="shared" si="292"/>
        <v>148970</v>
      </c>
      <c r="Z236" s="225">
        <f t="shared" si="293"/>
        <v>12680</v>
      </c>
      <c r="AA236" s="225">
        <f t="shared" si="313"/>
        <v>41510</v>
      </c>
      <c r="AB236" s="225">
        <f t="shared" si="314"/>
        <v>36900</v>
      </c>
      <c r="AC236" s="252">
        <f t="shared" si="315"/>
        <v>831940</v>
      </c>
    </row>
    <row r="237" spans="1:29" s="204" customFormat="1" ht="16.5" hidden="1" customHeight="1">
      <c r="A237" s="319"/>
      <c r="B237" s="211"/>
      <c r="C237" s="212"/>
      <c r="D237" s="212"/>
      <c r="E237" s="219" t="s">
        <v>55</v>
      </c>
      <c r="F237" s="221">
        <f t="shared" si="316"/>
        <v>2444000</v>
      </c>
      <c r="G237" s="221"/>
      <c r="H237" s="221"/>
      <c r="I237" s="222"/>
      <c r="J237" s="221"/>
      <c r="K237" s="221"/>
      <c r="L237" s="221"/>
      <c r="M237" s="221"/>
      <c r="N237" s="221"/>
      <c r="O237" s="221"/>
      <c r="P237" s="221"/>
      <c r="Q237" s="221">
        <f t="shared" si="317"/>
        <v>17540</v>
      </c>
      <c r="R237" s="221">
        <f t="shared" si="318"/>
        <v>701600</v>
      </c>
      <c r="S237" s="221"/>
      <c r="T237" s="222"/>
      <c r="U237" s="214">
        <f t="shared" si="309"/>
        <v>3145600</v>
      </c>
      <c r="V237" s="250"/>
      <c r="W237" s="224">
        <f t="shared" si="319"/>
        <v>262140</v>
      </c>
      <c r="X237" s="225">
        <f t="shared" si="310"/>
        <v>141550</v>
      </c>
      <c r="Y237" s="225">
        <f t="shared" si="292"/>
        <v>101610</v>
      </c>
      <c r="Z237" s="225">
        <f t="shared" si="293"/>
        <v>8650</v>
      </c>
      <c r="AA237" s="225">
        <f t="shared" si="313"/>
        <v>28310</v>
      </c>
      <c r="AB237" s="225">
        <f t="shared" si="314"/>
        <v>25160</v>
      </c>
      <c r="AC237" s="252">
        <f t="shared" si="315"/>
        <v>567420</v>
      </c>
    </row>
    <row r="238" spans="1:29" s="204" customFormat="1" ht="16.5" hidden="1" customHeight="1">
      <c r="A238" s="319"/>
      <c r="B238" s="211"/>
      <c r="C238" s="212"/>
      <c r="D238" s="212"/>
      <c r="E238" s="219" t="s">
        <v>56</v>
      </c>
      <c r="F238" s="221">
        <f t="shared" si="316"/>
        <v>2444000</v>
      </c>
      <c r="G238" s="221"/>
      <c r="H238" s="221"/>
      <c r="I238" s="222"/>
      <c r="J238" s="221"/>
      <c r="K238" s="221"/>
      <c r="L238" s="221"/>
      <c r="M238" s="221"/>
      <c r="N238" s="221"/>
      <c r="O238" s="221"/>
      <c r="P238" s="221"/>
      <c r="Q238" s="221">
        <f t="shared" si="317"/>
        <v>17540</v>
      </c>
      <c r="R238" s="221">
        <f t="shared" si="318"/>
        <v>701600</v>
      </c>
      <c r="S238" s="221"/>
      <c r="T238" s="222"/>
      <c r="U238" s="214">
        <f t="shared" si="309"/>
        <v>3145600</v>
      </c>
      <c r="V238" s="250"/>
      <c r="W238" s="224">
        <f t="shared" si="319"/>
        <v>262140</v>
      </c>
      <c r="X238" s="225">
        <f t="shared" si="310"/>
        <v>141550</v>
      </c>
      <c r="Y238" s="225">
        <f t="shared" si="292"/>
        <v>101610</v>
      </c>
      <c r="Z238" s="225">
        <f t="shared" si="293"/>
        <v>8650</v>
      </c>
      <c r="AA238" s="225">
        <f t="shared" si="313"/>
        <v>28310</v>
      </c>
      <c r="AB238" s="225">
        <f t="shared" si="314"/>
        <v>25160</v>
      </c>
      <c r="AC238" s="252">
        <f t="shared" si="315"/>
        <v>567420</v>
      </c>
    </row>
    <row r="239" spans="1:29" s="204" customFormat="1" ht="16.5" hidden="1" customHeight="1">
      <c r="A239" s="319"/>
      <c r="B239" s="211"/>
      <c r="C239" s="310">
        <f>C228+1</f>
        <v>13</v>
      </c>
      <c r="D239" s="310"/>
      <c r="E239" s="311" t="s">
        <v>281</v>
      </c>
      <c r="F239" s="312">
        <v>2508000</v>
      </c>
      <c r="G239" s="221"/>
      <c r="H239" s="221"/>
      <c r="I239" s="222"/>
      <c r="J239" s="221"/>
      <c r="K239" s="221"/>
      <c r="L239" s="221"/>
      <c r="M239" s="221"/>
      <c r="N239" s="221"/>
      <c r="O239" s="221"/>
      <c r="P239" s="221"/>
      <c r="Q239" s="221">
        <f t="shared" si="317"/>
        <v>17540</v>
      </c>
      <c r="R239" s="221">
        <f>Q239*40*2</f>
        <v>1403200</v>
      </c>
      <c r="S239" s="221"/>
      <c r="T239" s="222"/>
      <c r="U239" s="214">
        <f t="shared" si="309"/>
        <v>3911200</v>
      </c>
      <c r="V239" s="250"/>
      <c r="W239" s="224">
        <f t="shared" si="319"/>
        <v>325940</v>
      </c>
      <c r="X239" s="225">
        <f t="shared" si="310"/>
        <v>176000</v>
      </c>
      <c r="Y239" s="225">
        <f t="shared" si="292"/>
        <v>126340</v>
      </c>
      <c r="Z239" s="225">
        <f t="shared" si="293"/>
        <v>10760</v>
      </c>
      <c r="AA239" s="225">
        <f t="shared" si="313"/>
        <v>35200</v>
      </c>
      <c r="AB239" s="225">
        <f t="shared" si="314"/>
        <v>31290</v>
      </c>
      <c r="AC239" s="252">
        <f t="shared" si="315"/>
        <v>705530</v>
      </c>
    </row>
    <row r="240" spans="1:29" s="204" customFormat="1" ht="16.5" hidden="1" customHeight="1">
      <c r="A240" s="319">
        <v>19</v>
      </c>
      <c r="B240" s="211" t="s">
        <v>87</v>
      </c>
      <c r="C240" s="212" t="s">
        <v>800</v>
      </c>
      <c r="D240" s="212">
        <v>1</v>
      </c>
      <c r="E240" s="213" t="s">
        <v>86</v>
      </c>
      <c r="F240" s="214">
        <f t="shared" ref="F240:N240" si="321">SUM(F241:F252)</f>
        <v>30226000</v>
      </c>
      <c r="G240" s="214">
        <f t="shared" si="321"/>
        <v>0</v>
      </c>
      <c r="H240" s="214">
        <f t="shared" si="321"/>
        <v>0</v>
      </c>
      <c r="I240" s="214">
        <f t="shared" si="321"/>
        <v>0</v>
      </c>
      <c r="J240" s="214">
        <f t="shared" si="321"/>
        <v>0</v>
      </c>
      <c r="K240" s="214">
        <f t="shared" si="321"/>
        <v>0</v>
      </c>
      <c r="L240" s="214">
        <f t="shared" si="321"/>
        <v>0</v>
      </c>
      <c r="M240" s="214">
        <f t="shared" si="321"/>
        <v>3009600</v>
      </c>
      <c r="N240" s="214">
        <f t="shared" si="321"/>
        <v>0</v>
      </c>
      <c r="O240" s="214">
        <f>SUM(O241:O252)</f>
        <v>0</v>
      </c>
      <c r="P240" s="214">
        <f t="shared" ref="P240" si="322">SUM(P241:P252)</f>
        <v>0</v>
      </c>
      <c r="Q240" s="214"/>
      <c r="R240" s="214">
        <f t="shared" ref="R240" si="323">SUM(R241:R252)</f>
        <v>4338800</v>
      </c>
      <c r="S240" s="214">
        <f>SUM(S241:S252)</f>
        <v>1084700</v>
      </c>
      <c r="T240" s="214">
        <f t="shared" ref="T240:U240" si="324">SUM(T241:T252)</f>
        <v>0</v>
      </c>
      <c r="U240" s="214">
        <f t="shared" si="324"/>
        <v>38659100</v>
      </c>
      <c r="V240" s="250"/>
      <c r="W240" s="217">
        <f t="shared" ref="W240:AB240" si="325">SUM(W241:W252)</f>
        <v>3221600</v>
      </c>
      <c r="X240" s="214">
        <f t="shared" si="325"/>
        <v>1739670</v>
      </c>
      <c r="Y240" s="214">
        <f t="shared" si="325"/>
        <v>1248750</v>
      </c>
      <c r="Z240" s="214">
        <f t="shared" si="325"/>
        <v>106360</v>
      </c>
      <c r="AA240" s="214">
        <f t="shared" si="325"/>
        <v>347930</v>
      </c>
      <c r="AB240" s="214">
        <f t="shared" si="325"/>
        <v>309230</v>
      </c>
      <c r="AC240" s="266">
        <f>SUM(AC241:AC252)</f>
        <v>6973540</v>
      </c>
    </row>
    <row r="241" spans="1:29" s="204" customFormat="1" ht="16.5" hidden="1" customHeight="1">
      <c r="A241" s="319"/>
      <c r="B241" s="211" t="s">
        <v>819</v>
      </c>
      <c r="C241" s="310">
        <v>13</v>
      </c>
      <c r="D241" s="310"/>
      <c r="E241" s="311" t="s">
        <v>273</v>
      </c>
      <c r="F241" s="312">
        <v>2508000</v>
      </c>
      <c r="G241" s="221"/>
      <c r="H241" s="220"/>
      <c r="I241" s="222"/>
      <c r="J241" s="221"/>
      <c r="K241" s="221"/>
      <c r="L241" s="221"/>
      <c r="M241" s="221" t="s">
        <v>60</v>
      </c>
      <c r="N241" s="221"/>
      <c r="O241" s="221"/>
      <c r="P241" s="221"/>
      <c r="Q241" s="221"/>
      <c r="R241" s="221"/>
      <c r="S241" s="221"/>
      <c r="T241" s="222"/>
      <c r="U241" s="214">
        <f t="shared" ref="U241:U252" si="326">SUM(F241,M241,O241,R241,T241,S241)</f>
        <v>2508000</v>
      </c>
      <c r="V241" s="250"/>
      <c r="W241" s="224">
        <f>ROUNDUP(U241*1/12,-1)</f>
        <v>209000</v>
      </c>
      <c r="X241" s="225">
        <f t="shared" ref="X241:X252" si="327">ROUND(U241*4.5%,-1)</f>
        <v>112860</v>
      </c>
      <c r="Y241" s="225">
        <f t="shared" ref="Y241" si="328">ROUNDUP((U241-L241)*3.23%,-1)</f>
        <v>81010</v>
      </c>
      <c r="Z241" s="225">
        <f t="shared" ref="Z241" si="329">ROUNDUP(Y241*8.51%,-1)</f>
        <v>6900</v>
      </c>
      <c r="AA241" s="225">
        <f t="shared" ref="AA241:AA252" si="330">ROUND(U241*0.9%,-1)</f>
        <v>22570</v>
      </c>
      <c r="AB241" s="225">
        <f t="shared" ref="AB241:AB252" si="331">ROUND(U241*0.8%,-1)</f>
        <v>20060</v>
      </c>
      <c r="AC241" s="252">
        <f t="shared" ref="AC241:AC252" si="332">SUM(W241:AB241)</f>
        <v>452400</v>
      </c>
    </row>
    <row r="242" spans="1:29" s="204" customFormat="1" ht="16.5" hidden="1" customHeight="1">
      <c r="A242" s="319"/>
      <c r="B242" s="211"/>
      <c r="C242" s="212"/>
      <c r="D242" s="212"/>
      <c r="E242" s="219" t="s">
        <v>274</v>
      </c>
      <c r="F242" s="221">
        <f t="shared" ref="F242:F252" si="333">F241</f>
        <v>2508000</v>
      </c>
      <c r="G242" s="221"/>
      <c r="H242" s="221"/>
      <c r="I242" s="222"/>
      <c r="J242" s="221"/>
      <c r="K242" s="221"/>
      <c r="L242" s="221"/>
      <c r="M242" s="221">
        <f>F242*60%</f>
        <v>1504800</v>
      </c>
      <c r="N242" s="221"/>
      <c r="O242" s="221">
        <f>O241</f>
        <v>0</v>
      </c>
      <c r="P242" s="221"/>
      <c r="Q242" s="221">
        <f t="shared" ref="Q242:Q252" si="334">ROUND((F241+T241)*1/209*1.5,-1)</f>
        <v>18000</v>
      </c>
      <c r="R242" s="221">
        <f>Q242*20</f>
        <v>360000</v>
      </c>
      <c r="S242" s="221">
        <f>Q242*5</f>
        <v>90000</v>
      </c>
      <c r="T242" s="222"/>
      <c r="U242" s="214">
        <f t="shared" si="326"/>
        <v>4462800</v>
      </c>
      <c r="V242" s="250"/>
      <c r="W242" s="224">
        <f>ROUNDUP((T242+U242)*1/12,-1)</f>
        <v>371900</v>
      </c>
      <c r="X242" s="225">
        <f t="shared" si="327"/>
        <v>200830</v>
      </c>
      <c r="Y242" s="225">
        <f t="shared" si="292"/>
        <v>144150</v>
      </c>
      <c r="Z242" s="225">
        <f t="shared" si="293"/>
        <v>12270</v>
      </c>
      <c r="AA242" s="225">
        <f t="shared" si="330"/>
        <v>40170</v>
      </c>
      <c r="AB242" s="225">
        <f t="shared" si="331"/>
        <v>35700</v>
      </c>
      <c r="AC242" s="252">
        <f t="shared" si="332"/>
        <v>805020</v>
      </c>
    </row>
    <row r="243" spans="1:29" s="204" customFormat="1" ht="16.5" hidden="1" customHeight="1">
      <c r="A243" s="319"/>
      <c r="B243" s="211"/>
      <c r="C243" s="212"/>
      <c r="D243" s="212"/>
      <c r="E243" s="219" t="s">
        <v>275</v>
      </c>
      <c r="F243" s="221">
        <f t="shared" si="333"/>
        <v>2508000</v>
      </c>
      <c r="G243" s="221"/>
      <c r="H243" s="221"/>
      <c r="I243" s="222"/>
      <c r="J243" s="221"/>
      <c r="K243" s="221"/>
      <c r="L243" s="221"/>
      <c r="M243" s="221"/>
      <c r="N243" s="221"/>
      <c r="O243" s="221">
        <f>O242</f>
        <v>0</v>
      </c>
      <c r="P243" s="221"/>
      <c r="Q243" s="221">
        <f t="shared" si="334"/>
        <v>18000</v>
      </c>
      <c r="R243" s="221">
        <f t="shared" ref="R243:R251" si="335">Q243*20</f>
        <v>360000</v>
      </c>
      <c r="S243" s="221">
        <f t="shared" ref="S243:S251" si="336">Q243*5</f>
        <v>90000</v>
      </c>
      <c r="T243" s="222"/>
      <c r="U243" s="214">
        <f t="shared" si="326"/>
        <v>2958000</v>
      </c>
      <c r="V243" s="250"/>
      <c r="W243" s="224">
        <f t="shared" ref="W243:W252" si="337">ROUNDUP(U243*1/12,-1)</f>
        <v>246500</v>
      </c>
      <c r="X243" s="225">
        <f t="shared" si="327"/>
        <v>133110</v>
      </c>
      <c r="Y243" s="225">
        <f t="shared" si="292"/>
        <v>95550</v>
      </c>
      <c r="Z243" s="225">
        <f t="shared" si="293"/>
        <v>8140</v>
      </c>
      <c r="AA243" s="225">
        <f t="shared" si="330"/>
        <v>26620</v>
      </c>
      <c r="AB243" s="225">
        <f t="shared" si="331"/>
        <v>23660</v>
      </c>
      <c r="AC243" s="252">
        <f t="shared" si="332"/>
        <v>533580</v>
      </c>
    </row>
    <row r="244" spans="1:29" s="204" customFormat="1" ht="16.5" hidden="1" customHeight="1">
      <c r="A244" s="319"/>
      <c r="B244" s="211"/>
      <c r="C244" s="212"/>
      <c r="D244" s="212"/>
      <c r="E244" s="219" t="s">
        <v>276</v>
      </c>
      <c r="F244" s="221">
        <f t="shared" si="333"/>
        <v>2508000</v>
      </c>
      <c r="G244" s="221"/>
      <c r="H244" s="221"/>
      <c r="I244" s="222"/>
      <c r="J244" s="221"/>
      <c r="K244" s="221"/>
      <c r="L244" s="221"/>
      <c r="M244" s="221"/>
      <c r="N244" s="221"/>
      <c r="O244" s="221">
        <f>O243</f>
        <v>0</v>
      </c>
      <c r="P244" s="221"/>
      <c r="Q244" s="221">
        <f t="shared" si="334"/>
        <v>18000</v>
      </c>
      <c r="R244" s="221">
        <f t="shared" si="335"/>
        <v>360000</v>
      </c>
      <c r="S244" s="221">
        <f t="shared" si="336"/>
        <v>90000</v>
      </c>
      <c r="T244" s="222"/>
      <c r="U244" s="214">
        <f t="shared" si="326"/>
        <v>2958000</v>
      </c>
      <c r="V244" s="250"/>
      <c r="W244" s="224">
        <f t="shared" si="337"/>
        <v>246500</v>
      </c>
      <c r="X244" s="225">
        <f t="shared" si="327"/>
        <v>133110</v>
      </c>
      <c r="Y244" s="225">
        <f t="shared" si="292"/>
        <v>95550</v>
      </c>
      <c r="Z244" s="225">
        <f t="shared" si="293"/>
        <v>8140</v>
      </c>
      <c r="AA244" s="225">
        <f t="shared" si="330"/>
        <v>26620</v>
      </c>
      <c r="AB244" s="225">
        <f t="shared" si="331"/>
        <v>23660</v>
      </c>
      <c r="AC244" s="252">
        <f t="shared" si="332"/>
        <v>533580</v>
      </c>
    </row>
    <row r="245" spans="1:29" s="204" customFormat="1" ht="16.5" hidden="1" customHeight="1">
      <c r="A245" s="319"/>
      <c r="B245" s="211"/>
      <c r="C245" s="212"/>
      <c r="D245" s="212"/>
      <c r="E245" s="219" t="s">
        <v>277</v>
      </c>
      <c r="F245" s="221">
        <f t="shared" si="333"/>
        <v>2508000</v>
      </c>
      <c r="G245" s="221"/>
      <c r="H245" s="221"/>
      <c r="I245" s="222"/>
      <c r="J245" s="221"/>
      <c r="K245" s="221"/>
      <c r="L245" s="221"/>
      <c r="M245" s="221"/>
      <c r="N245" s="221"/>
      <c r="O245" s="221">
        <f>O244</f>
        <v>0</v>
      </c>
      <c r="P245" s="221"/>
      <c r="Q245" s="221">
        <f t="shared" si="334"/>
        <v>18000</v>
      </c>
      <c r="R245" s="221">
        <f t="shared" si="335"/>
        <v>360000</v>
      </c>
      <c r="S245" s="221">
        <f t="shared" si="336"/>
        <v>90000</v>
      </c>
      <c r="T245" s="222"/>
      <c r="U245" s="214">
        <f t="shared" si="326"/>
        <v>2958000</v>
      </c>
      <c r="V245" s="250"/>
      <c r="W245" s="224">
        <f t="shared" si="337"/>
        <v>246500</v>
      </c>
      <c r="X245" s="225">
        <f t="shared" si="327"/>
        <v>133110</v>
      </c>
      <c r="Y245" s="225">
        <f t="shared" si="292"/>
        <v>95550</v>
      </c>
      <c r="Z245" s="225">
        <f t="shared" si="293"/>
        <v>8140</v>
      </c>
      <c r="AA245" s="225">
        <f t="shared" si="330"/>
        <v>26620</v>
      </c>
      <c r="AB245" s="225">
        <f t="shared" si="331"/>
        <v>23660</v>
      </c>
      <c r="AC245" s="252">
        <f t="shared" si="332"/>
        <v>533580</v>
      </c>
    </row>
    <row r="246" spans="1:29" s="204" customFormat="1" ht="16.5" hidden="1" customHeight="1">
      <c r="A246" s="319"/>
      <c r="B246" s="211"/>
      <c r="C246" s="212"/>
      <c r="D246" s="212"/>
      <c r="E246" s="219" t="s">
        <v>278</v>
      </c>
      <c r="F246" s="221">
        <f t="shared" si="333"/>
        <v>2508000</v>
      </c>
      <c r="G246" s="221"/>
      <c r="H246" s="221"/>
      <c r="I246" s="222"/>
      <c r="J246" s="221"/>
      <c r="K246" s="221"/>
      <c r="L246" s="221"/>
      <c r="M246" s="221"/>
      <c r="N246" s="221"/>
      <c r="O246" s="221">
        <f>O245</f>
        <v>0</v>
      </c>
      <c r="P246" s="221"/>
      <c r="Q246" s="221">
        <f t="shared" si="334"/>
        <v>18000</v>
      </c>
      <c r="R246" s="221">
        <f t="shared" si="335"/>
        <v>360000</v>
      </c>
      <c r="S246" s="221">
        <f t="shared" si="336"/>
        <v>90000</v>
      </c>
      <c r="T246" s="222"/>
      <c r="U246" s="214">
        <f t="shared" si="326"/>
        <v>2958000</v>
      </c>
      <c r="V246" s="250"/>
      <c r="W246" s="224">
        <f t="shared" si="337"/>
        <v>246500</v>
      </c>
      <c r="X246" s="225">
        <f t="shared" si="327"/>
        <v>133110</v>
      </c>
      <c r="Y246" s="225">
        <f t="shared" si="292"/>
        <v>95550</v>
      </c>
      <c r="Z246" s="225">
        <f t="shared" si="293"/>
        <v>8140</v>
      </c>
      <c r="AA246" s="225">
        <f t="shared" si="330"/>
        <v>26620</v>
      </c>
      <c r="AB246" s="225">
        <f t="shared" si="331"/>
        <v>23660</v>
      </c>
      <c r="AC246" s="252">
        <f t="shared" si="332"/>
        <v>533580</v>
      </c>
    </row>
    <row r="247" spans="1:29" s="204" customFormat="1" ht="16.5" hidden="1" customHeight="1">
      <c r="A247" s="319"/>
      <c r="B247" s="211"/>
      <c r="C247" s="212"/>
      <c r="D247" s="212"/>
      <c r="E247" s="219" t="s">
        <v>279</v>
      </c>
      <c r="F247" s="221">
        <f t="shared" si="333"/>
        <v>2508000</v>
      </c>
      <c r="G247" s="221"/>
      <c r="H247" s="220"/>
      <c r="I247" s="222"/>
      <c r="J247" s="221"/>
      <c r="K247" s="221"/>
      <c r="L247" s="221"/>
      <c r="M247" s="221"/>
      <c r="N247" s="221"/>
      <c r="O247" s="221"/>
      <c r="P247" s="221"/>
      <c r="Q247" s="221">
        <f t="shared" si="334"/>
        <v>18000</v>
      </c>
      <c r="R247" s="221">
        <f t="shared" si="335"/>
        <v>360000</v>
      </c>
      <c r="S247" s="221">
        <f t="shared" si="336"/>
        <v>90000</v>
      </c>
      <c r="T247" s="222"/>
      <c r="U247" s="214">
        <f t="shared" si="326"/>
        <v>2958000</v>
      </c>
      <c r="V247" s="250"/>
      <c r="W247" s="224">
        <f t="shared" si="337"/>
        <v>246500</v>
      </c>
      <c r="X247" s="225">
        <f t="shared" si="327"/>
        <v>133110</v>
      </c>
      <c r="Y247" s="225">
        <f t="shared" si="292"/>
        <v>95550</v>
      </c>
      <c r="Z247" s="225">
        <f t="shared" si="293"/>
        <v>8140</v>
      </c>
      <c r="AA247" s="225">
        <f t="shared" si="330"/>
        <v>26620</v>
      </c>
      <c r="AB247" s="225">
        <f t="shared" si="331"/>
        <v>23660</v>
      </c>
      <c r="AC247" s="252">
        <f t="shared" si="332"/>
        <v>533580</v>
      </c>
    </row>
    <row r="248" spans="1:29" s="204" customFormat="1" ht="16.5" hidden="1" customHeight="1">
      <c r="A248" s="319"/>
      <c r="B248" s="211"/>
      <c r="C248" s="212"/>
      <c r="D248" s="212"/>
      <c r="E248" s="219" t="s">
        <v>280</v>
      </c>
      <c r="F248" s="221">
        <f t="shared" si="333"/>
        <v>2508000</v>
      </c>
      <c r="G248" s="221"/>
      <c r="H248" s="221"/>
      <c r="I248" s="222"/>
      <c r="J248" s="221"/>
      <c r="K248" s="221"/>
      <c r="L248" s="221"/>
      <c r="M248" s="221"/>
      <c r="N248" s="221"/>
      <c r="O248" s="221"/>
      <c r="P248" s="221"/>
      <c r="Q248" s="221">
        <f t="shared" si="334"/>
        <v>18000</v>
      </c>
      <c r="R248" s="221">
        <f t="shared" si="335"/>
        <v>360000</v>
      </c>
      <c r="S248" s="221">
        <f t="shared" si="336"/>
        <v>90000</v>
      </c>
      <c r="T248" s="222"/>
      <c r="U248" s="214">
        <f t="shared" si="326"/>
        <v>2958000</v>
      </c>
      <c r="V248" s="250"/>
      <c r="W248" s="224">
        <f t="shared" si="337"/>
        <v>246500</v>
      </c>
      <c r="X248" s="225">
        <f t="shared" si="327"/>
        <v>133110</v>
      </c>
      <c r="Y248" s="225">
        <f t="shared" si="292"/>
        <v>95550</v>
      </c>
      <c r="Z248" s="225">
        <f t="shared" si="293"/>
        <v>8140</v>
      </c>
      <c r="AA248" s="225">
        <f t="shared" si="330"/>
        <v>26620</v>
      </c>
      <c r="AB248" s="225">
        <f t="shared" si="331"/>
        <v>23660</v>
      </c>
      <c r="AC248" s="252">
        <f t="shared" si="332"/>
        <v>533580</v>
      </c>
    </row>
    <row r="249" spans="1:29" s="204" customFormat="1" ht="16.5" hidden="1" customHeight="1">
      <c r="A249" s="319"/>
      <c r="B249" s="211"/>
      <c r="C249" s="212"/>
      <c r="D249" s="212"/>
      <c r="E249" s="219" t="s">
        <v>54</v>
      </c>
      <c r="F249" s="221">
        <f t="shared" si="333"/>
        <v>2508000</v>
      </c>
      <c r="G249" s="221"/>
      <c r="H249" s="221"/>
      <c r="I249" s="222"/>
      <c r="J249" s="221"/>
      <c r="K249" s="221"/>
      <c r="L249" s="221"/>
      <c r="M249" s="221">
        <f t="shared" ref="M249" si="338">F249*60%</f>
        <v>1504800</v>
      </c>
      <c r="N249" s="221"/>
      <c r="O249" s="221"/>
      <c r="P249" s="221"/>
      <c r="Q249" s="221">
        <f t="shared" si="334"/>
        <v>18000</v>
      </c>
      <c r="R249" s="221">
        <f t="shared" si="335"/>
        <v>360000</v>
      </c>
      <c r="S249" s="221">
        <f t="shared" si="336"/>
        <v>90000</v>
      </c>
      <c r="T249" s="222"/>
      <c r="U249" s="214">
        <f t="shared" si="326"/>
        <v>4462800</v>
      </c>
      <c r="V249" s="250"/>
      <c r="W249" s="224">
        <f t="shared" si="337"/>
        <v>371900</v>
      </c>
      <c r="X249" s="225">
        <f t="shared" si="327"/>
        <v>200830</v>
      </c>
      <c r="Y249" s="225">
        <f t="shared" si="292"/>
        <v>144150</v>
      </c>
      <c r="Z249" s="225">
        <f t="shared" si="293"/>
        <v>12270</v>
      </c>
      <c r="AA249" s="225">
        <f t="shared" si="330"/>
        <v>40170</v>
      </c>
      <c r="AB249" s="225">
        <f t="shared" si="331"/>
        <v>35700</v>
      </c>
      <c r="AC249" s="252">
        <f t="shared" si="332"/>
        <v>805020</v>
      </c>
    </row>
    <row r="250" spans="1:29" s="204" customFormat="1" ht="16.5" hidden="1" customHeight="1">
      <c r="A250" s="319"/>
      <c r="B250" s="211"/>
      <c r="C250" s="212"/>
      <c r="D250" s="212"/>
      <c r="E250" s="219" t="s">
        <v>55</v>
      </c>
      <c r="F250" s="221">
        <f t="shared" si="333"/>
        <v>2508000</v>
      </c>
      <c r="G250" s="221"/>
      <c r="H250" s="221"/>
      <c r="I250" s="222"/>
      <c r="J250" s="221"/>
      <c r="K250" s="221"/>
      <c r="L250" s="221"/>
      <c r="M250" s="221"/>
      <c r="N250" s="221"/>
      <c r="O250" s="221"/>
      <c r="P250" s="221"/>
      <c r="Q250" s="221">
        <f t="shared" si="334"/>
        <v>18000</v>
      </c>
      <c r="R250" s="221">
        <f t="shared" si="335"/>
        <v>360000</v>
      </c>
      <c r="S250" s="221">
        <f t="shared" si="336"/>
        <v>90000</v>
      </c>
      <c r="T250" s="222"/>
      <c r="U250" s="214">
        <f t="shared" si="326"/>
        <v>2958000</v>
      </c>
      <c r="V250" s="250"/>
      <c r="W250" s="224">
        <f t="shared" si="337"/>
        <v>246500</v>
      </c>
      <c r="X250" s="225">
        <f t="shared" si="327"/>
        <v>133110</v>
      </c>
      <c r="Y250" s="225">
        <f t="shared" si="292"/>
        <v>95550</v>
      </c>
      <c r="Z250" s="225">
        <f t="shared" si="293"/>
        <v>8140</v>
      </c>
      <c r="AA250" s="225">
        <f t="shared" si="330"/>
        <v>26620</v>
      </c>
      <c r="AB250" s="225">
        <f t="shared" si="331"/>
        <v>23660</v>
      </c>
      <c r="AC250" s="252">
        <f t="shared" si="332"/>
        <v>533580</v>
      </c>
    </row>
    <row r="251" spans="1:29" s="204" customFormat="1" ht="16.5" hidden="1" customHeight="1">
      <c r="A251" s="319"/>
      <c r="B251" s="211"/>
      <c r="C251" s="310">
        <f>C241+1</f>
        <v>14</v>
      </c>
      <c r="D251" s="310"/>
      <c r="E251" s="311" t="s">
        <v>56</v>
      </c>
      <c r="F251" s="312">
        <v>2573000</v>
      </c>
      <c r="G251" s="221"/>
      <c r="H251" s="221"/>
      <c r="I251" s="222"/>
      <c r="J251" s="221"/>
      <c r="K251" s="221"/>
      <c r="L251" s="221"/>
      <c r="M251" s="221"/>
      <c r="N251" s="221"/>
      <c r="O251" s="221"/>
      <c r="P251" s="221"/>
      <c r="Q251" s="221">
        <f t="shared" si="334"/>
        <v>18000</v>
      </c>
      <c r="R251" s="221">
        <f t="shared" si="335"/>
        <v>360000</v>
      </c>
      <c r="S251" s="221">
        <f t="shared" si="336"/>
        <v>90000</v>
      </c>
      <c r="T251" s="222"/>
      <c r="U251" s="214">
        <f t="shared" si="326"/>
        <v>3023000</v>
      </c>
      <c r="V251" s="250"/>
      <c r="W251" s="224">
        <f t="shared" si="337"/>
        <v>251920</v>
      </c>
      <c r="X251" s="225">
        <f t="shared" si="327"/>
        <v>136040</v>
      </c>
      <c r="Y251" s="225">
        <f t="shared" si="292"/>
        <v>97650</v>
      </c>
      <c r="Z251" s="225">
        <f t="shared" si="293"/>
        <v>8320</v>
      </c>
      <c r="AA251" s="225">
        <f t="shared" si="330"/>
        <v>27210</v>
      </c>
      <c r="AB251" s="225">
        <f t="shared" si="331"/>
        <v>24180</v>
      </c>
      <c r="AC251" s="252">
        <f t="shared" si="332"/>
        <v>545320</v>
      </c>
    </row>
    <row r="252" spans="1:29" s="204" customFormat="1" ht="16.5" hidden="1" customHeight="1">
      <c r="A252" s="319"/>
      <c r="B252" s="211"/>
      <c r="C252" s="212"/>
      <c r="D252" s="212"/>
      <c r="E252" s="219" t="s">
        <v>281</v>
      </c>
      <c r="F252" s="221">
        <f t="shared" si="333"/>
        <v>2573000</v>
      </c>
      <c r="G252" s="221"/>
      <c r="H252" s="221"/>
      <c r="I252" s="222"/>
      <c r="J252" s="221"/>
      <c r="K252" s="221"/>
      <c r="L252" s="221"/>
      <c r="M252" s="221"/>
      <c r="N252" s="221"/>
      <c r="O252" s="221"/>
      <c r="P252" s="221"/>
      <c r="Q252" s="221">
        <f t="shared" si="334"/>
        <v>18470</v>
      </c>
      <c r="R252" s="221">
        <f>Q252*20*2</f>
        <v>738800</v>
      </c>
      <c r="S252" s="221">
        <f>(Q252*5)*2</f>
        <v>184700</v>
      </c>
      <c r="T252" s="222"/>
      <c r="U252" s="214">
        <f t="shared" si="326"/>
        <v>3496500</v>
      </c>
      <c r="V252" s="250"/>
      <c r="W252" s="224">
        <f t="shared" si="337"/>
        <v>291380</v>
      </c>
      <c r="X252" s="225">
        <f t="shared" si="327"/>
        <v>157340</v>
      </c>
      <c r="Y252" s="225">
        <f t="shared" si="292"/>
        <v>112940</v>
      </c>
      <c r="Z252" s="225">
        <f t="shared" si="293"/>
        <v>9620</v>
      </c>
      <c r="AA252" s="225">
        <f t="shared" si="330"/>
        <v>31470</v>
      </c>
      <c r="AB252" s="225">
        <f t="shared" si="331"/>
        <v>27970</v>
      </c>
      <c r="AC252" s="252">
        <f t="shared" si="332"/>
        <v>630720</v>
      </c>
    </row>
    <row r="253" spans="1:29" s="204" customFormat="1" ht="16.5" hidden="1" customHeight="1">
      <c r="A253" s="319">
        <v>20</v>
      </c>
      <c r="B253" s="211" t="s">
        <v>87</v>
      </c>
      <c r="C253" s="317" t="s">
        <v>785</v>
      </c>
      <c r="D253" s="212">
        <v>1</v>
      </c>
      <c r="E253" s="213" t="s">
        <v>86</v>
      </c>
      <c r="F253" s="214">
        <f t="shared" ref="F253:N253" si="339">SUM(F254:F265)</f>
        <v>28316000</v>
      </c>
      <c r="G253" s="214">
        <f t="shared" si="339"/>
        <v>0</v>
      </c>
      <c r="H253" s="214">
        <f t="shared" si="339"/>
        <v>0</v>
      </c>
      <c r="I253" s="214">
        <f t="shared" si="339"/>
        <v>0</v>
      </c>
      <c r="J253" s="214">
        <f t="shared" si="339"/>
        <v>0</v>
      </c>
      <c r="K253" s="214">
        <f t="shared" si="339"/>
        <v>0</v>
      </c>
      <c r="L253" s="214">
        <f t="shared" si="339"/>
        <v>0</v>
      </c>
      <c r="M253" s="214">
        <f t="shared" si="339"/>
        <v>2819400</v>
      </c>
      <c r="N253" s="214">
        <f t="shared" si="339"/>
        <v>0</v>
      </c>
      <c r="O253" s="214">
        <f>SUM(O254:O265)</f>
        <v>1440000</v>
      </c>
      <c r="P253" s="214">
        <f t="shared" ref="P253" si="340">SUM(P254:P265)</f>
        <v>0</v>
      </c>
      <c r="Q253" s="214"/>
      <c r="R253" s="214">
        <f t="shared" ref="R253" si="341">SUM(R254:R265)</f>
        <v>4064000</v>
      </c>
      <c r="S253" s="214">
        <f>SUM(S254:S265)</f>
        <v>1016000</v>
      </c>
      <c r="T253" s="214">
        <f t="shared" ref="T253:U253" si="342">SUM(T254:T265)</f>
        <v>0</v>
      </c>
      <c r="U253" s="214">
        <f t="shared" si="342"/>
        <v>37655400</v>
      </c>
      <c r="V253" s="250"/>
      <c r="W253" s="217">
        <f t="shared" ref="W253:AB253" si="343">SUM(W254:W265)</f>
        <v>3137980</v>
      </c>
      <c r="X253" s="214">
        <f t="shared" si="343"/>
        <v>1694540</v>
      </c>
      <c r="Y253" s="214">
        <f t="shared" si="343"/>
        <v>1216330</v>
      </c>
      <c r="Z253" s="214">
        <f t="shared" si="343"/>
        <v>103560</v>
      </c>
      <c r="AA253" s="214">
        <f t="shared" si="343"/>
        <v>338900</v>
      </c>
      <c r="AB253" s="214">
        <f t="shared" si="343"/>
        <v>301260</v>
      </c>
      <c r="AC253" s="266">
        <f>SUM(AC254:AC265)</f>
        <v>6792570</v>
      </c>
    </row>
    <row r="254" spans="1:29" s="204" customFormat="1" ht="16.5" hidden="1" customHeight="1">
      <c r="A254" s="319"/>
      <c r="B254" s="211" t="s">
        <v>820</v>
      </c>
      <c r="C254" s="310">
        <v>10</v>
      </c>
      <c r="D254" s="310"/>
      <c r="E254" s="311" t="s">
        <v>273</v>
      </c>
      <c r="F254" s="312">
        <v>2319000</v>
      </c>
      <c r="G254" s="221"/>
      <c r="H254" s="220"/>
      <c r="I254" s="222"/>
      <c r="J254" s="221"/>
      <c r="K254" s="221"/>
      <c r="L254" s="221"/>
      <c r="M254" s="221" t="s">
        <v>60</v>
      </c>
      <c r="N254" s="221"/>
      <c r="O254" s="221">
        <v>120000</v>
      </c>
      <c r="P254" s="221"/>
      <c r="Q254" s="221"/>
      <c r="R254" s="221"/>
      <c r="S254" s="221"/>
      <c r="T254" s="222"/>
      <c r="U254" s="214">
        <f t="shared" ref="U254:U265" si="344">SUM(F254,M254,O254,R254,T254,S254)</f>
        <v>2439000</v>
      </c>
      <c r="V254" s="250"/>
      <c r="W254" s="224">
        <f>ROUNDUP(U254*1/12,-1)</f>
        <v>203250</v>
      </c>
      <c r="X254" s="225">
        <f t="shared" ref="X254:X265" si="345">ROUND(U254*4.5%,-1)</f>
        <v>109760</v>
      </c>
      <c r="Y254" s="225">
        <f t="shared" ref="Y254" si="346">ROUNDUP((U254-L254)*3.23%,-1)</f>
        <v>78780</v>
      </c>
      <c r="Z254" s="225">
        <f t="shared" ref="Z254" si="347">ROUNDUP(Y254*8.51%,-1)</f>
        <v>6710</v>
      </c>
      <c r="AA254" s="225">
        <f t="shared" ref="AA254:AA265" si="348">ROUND(U254*0.9%,-1)</f>
        <v>21950</v>
      </c>
      <c r="AB254" s="225">
        <f t="shared" ref="AB254:AB265" si="349">ROUND(U254*0.8%,-1)</f>
        <v>19510</v>
      </c>
      <c r="AC254" s="252">
        <f t="shared" ref="AC254:AC265" si="350">SUM(W254:AB254)</f>
        <v>439960</v>
      </c>
    </row>
    <row r="255" spans="1:29" s="204" customFormat="1" ht="16.5" hidden="1" customHeight="1">
      <c r="A255" s="319"/>
      <c r="B255" s="211"/>
      <c r="C255" s="212"/>
      <c r="D255" s="212"/>
      <c r="E255" s="219" t="s">
        <v>274</v>
      </c>
      <c r="F255" s="221">
        <f>F254</f>
        <v>2319000</v>
      </c>
      <c r="G255" s="221"/>
      <c r="H255" s="221"/>
      <c r="I255" s="222"/>
      <c r="J255" s="221"/>
      <c r="K255" s="221"/>
      <c r="L255" s="221"/>
      <c r="M255" s="221">
        <f>F255*60%</f>
        <v>1391400</v>
      </c>
      <c r="N255" s="221"/>
      <c r="O255" s="221">
        <f>O254</f>
        <v>120000</v>
      </c>
      <c r="P255" s="221"/>
      <c r="Q255" s="221">
        <f t="shared" ref="Q255:Q265" si="351">ROUND((F254+T254)*1/209*1.5,-1)</f>
        <v>16640</v>
      </c>
      <c r="R255" s="221">
        <f>Q255*20</f>
        <v>332800</v>
      </c>
      <c r="S255" s="221">
        <f>Q255*5</f>
        <v>83200</v>
      </c>
      <c r="T255" s="222"/>
      <c r="U255" s="214">
        <f t="shared" si="344"/>
        <v>4246400</v>
      </c>
      <c r="V255" s="250"/>
      <c r="W255" s="224">
        <f>ROUNDUP((T255+U255)*1/12,-1)</f>
        <v>353870</v>
      </c>
      <c r="X255" s="225">
        <f t="shared" si="345"/>
        <v>191090</v>
      </c>
      <c r="Y255" s="225">
        <f t="shared" si="292"/>
        <v>137160</v>
      </c>
      <c r="Z255" s="225">
        <f t="shared" si="293"/>
        <v>11680</v>
      </c>
      <c r="AA255" s="225">
        <f t="shared" si="348"/>
        <v>38220</v>
      </c>
      <c r="AB255" s="225">
        <f t="shared" si="349"/>
        <v>33970</v>
      </c>
      <c r="AC255" s="252">
        <f t="shared" si="350"/>
        <v>765990</v>
      </c>
    </row>
    <row r="256" spans="1:29" s="204" customFormat="1" ht="16.5" hidden="1" customHeight="1">
      <c r="A256" s="319"/>
      <c r="B256" s="211"/>
      <c r="C256" s="212"/>
      <c r="D256" s="212"/>
      <c r="E256" s="219" t="s">
        <v>275</v>
      </c>
      <c r="F256" s="221">
        <f>F255</f>
        <v>2319000</v>
      </c>
      <c r="G256" s="221"/>
      <c r="H256" s="221"/>
      <c r="I256" s="222"/>
      <c r="J256" s="221"/>
      <c r="K256" s="221"/>
      <c r="L256" s="221"/>
      <c r="M256" s="221"/>
      <c r="N256" s="221"/>
      <c r="O256" s="221">
        <f t="shared" ref="O256:O265" si="352">O255</f>
        <v>120000</v>
      </c>
      <c r="P256" s="221"/>
      <c r="Q256" s="221">
        <f t="shared" si="351"/>
        <v>16640</v>
      </c>
      <c r="R256" s="221">
        <f t="shared" ref="R256:R264" si="353">Q256*20</f>
        <v>332800</v>
      </c>
      <c r="S256" s="221">
        <f t="shared" ref="S256:S264" si="354">Q256*5</f>
        <v>83200</v>
      </c>
      <c r="T256" s="222"/>
      <c r="U256" s="214">
        <f t="shared" si="344"/>
        <v>2855000</v>
      </c>
      <c r="V256" s="250"/>
      <c r="W256" s="224">
        <f t="shared" ref="W256:W265" si="355">ROUNDUP(U256*1/12,-1)</f>
        <v>237920</v>
      </c>
      <c r="X256" s="225">
        <f t="shared" si="345"/>
        <v>128480</v>
      </c>
      <c r="Y256" s="225">
        <f t="shared" si="292"/>
        <v>92220</v>
      </c>
      <c r="Z256" s="225">
        <f t="shared" si="293"/>
        <v>7850</v>
      </c>
      <c r="AA256" s="225">
        <f t="shared" si="348"/>
        <v>25700</v>
      </c>
      <c r="AB256" s="225">
        <f t="shared" si="349"/>
        <v>22840</v>
      </c>
      <c r="AC256" s="252">
        <f t="shared" si="350"/>
        <v>515010</v>
      </c>
    </row>
    <row r="257" spans="1:29" s="204" customFormat="1" ht="16.5" hidden="1" customHeight="1">
      <c r="A257" s="319"/>
      <c r="B257" s="211"/>
      <c r="C257" s="212"/>
      <c r="D257" s="212"/>
      <c r="E257" s="219" t="s">
        <v>276</v>
      </c>
      <c r="F257" s="221">
        <f>F256</f>
        <v>2319000</v>
      </c>
      <c r="G257" s="221"/>
      <c r="H257" s="221"/>
      <c r="I257" s="222"/>
      <c r="J257" s="221"/>
      <c r="K257" s="221"/>
      <c r="L257" s="221"/>
      <c r="M257" s="221"/>
      <c r="N257" s="221"/>
      <c r="O257" s="221">
        <f t="shared" si="352"/>
        <v>120000</v>
      </c>
      <c r="P257" s="221"/>
      <c r="Q257" s="221">
        <f t="shared" si="351"/>
        <v>16640</v>
      </c>
      <c r="R257" s="221">
        <f t="shared" si="353"/>
        <v>332800</v>
      </c>
      <c r="S257" s="221">
        <f t="shared" si="354"/>
        <v>83200</v>
      </c>
      <c r="T257" s="222"/>
      <c r="U257" s="214">
        <f t="shared" si="344"/>
        <v>2855000</v>
      </c>
      <c r="V257" s="250"/>
      <c r="W257" s="224">
        <f t="shared" si="355"/>
        <v>237920</v>
      </c>
      <c r="X257" s="225">
        <f t="shared" si="345"/>
        <v>128480</v>
      </c>
      <c r="Y257" s="225">
        <f t="shared" si="292"/>
        <v>92220</v>
      </c>
      <c r="Z257" s="225">
        <f t="shared" si="293"/>
        <v>7850</v>
      </c>
      <c r="AA257" s="225">
        <f t="shared" si="348"/>
        <v>25700</v>
      </c>
      <c r="AB257" s="225">
        <f t="shared" si="349"/>
        <v>22840</v>
      </c>
      <c r="AC257" s="252">
        <f t="shared" si="350"/>
        <v>515010</v>
      </c>
    </row>
    <row r="258" spans="1:29" s="204" customFormat="1" ht="16.5" hidden="1" customHeight="1">
      <c r="A258" s="319"/>
      <c r="B258" s="211"/>
      <c r="C258" s="310">
        <f>C254+1</f>
        <v>11</v>
      </c>
      <c r="D258" s="310"/>
      <c r="E258" s="311" t="s">
        <v>277</v>
      </c>
      <c r="F258" s="312">
        <v>2380000</v>
      </c>
      <c r="G258" s="221"/>
      <c r="H258" s="221"/>
      <c r="I258" s="222"/>
      <c r="J258" s="221"/>
      <c r="K258" s="221"/>
      <c r="L258" s="221"/>
      <c r="M258" s="221"/>
      <c r="N258" s="221"/>
      <c r="O258" s="221">
        <f t="shared" si="352"/>
        <v>120000</v>
      </c>
      <c r="P258" s="221"/>
      <c r="Q258" s="221">
        <f t="shared" si="351"/>
        <v>16640</v>
      </c>
      <c r="R258" s="221">
        <f t="shared" si="353"/>
        <v>332800</v>
      </c>
      <c r="S258" s="221">
        <f t="shared" si="354"/>
        <v>83200</v>
      </c>
      <c r="T258" s="222"/>
      <c r="U258" s="214">
        <f t="shared" si="344"/>
        <v>2916000</v>
      </c>
      <c r="V258" s="250"/>
      <c r="W258" s="224">
        <f t="shared" si="355"/>
        <v>243000</v>
      </c>
      <c r="X258" s="225">
        <f t="shared" si="345"/>
        <v>131220</v>
      </c>
      <c r="Y258" s="225">
        <f t="shared" si="292"/>
        <v>94190</v>
      </c>
      <c r="Z258" s="225">
        <f t="shared" si="293"/>
        <v>8020</v>
      </c>
      <c r="AA258" s="225">
        <f t="shared" si="348"/>
        <v>26240</v>
      </c>
      <c r="AB258" s="225">
        <f t="shared" si="349"/>
        <v>23330</v>
      </c>
      <c r="AC258" s="252">
        <f t="shared" si="350"/>
        <v>526000</v>
      </c>
    </row>
    <row r="259" spans="1:29" s="204" customFormat="1" ht="16.5" hidden="1" customHeight="1">
      <c r="A259" s="319"/>
      <c r="B259" s="211"/>
      <c r="C259" s="212"/>
      <c r="D259" s="212"/>
      <c r="E259" s="219" t="s">
        <v>278</v>
      </c>
      <c r="F259" s="221">
        <f t="shared" ref="F259:F265" si="356">F258</f>
        <v>2380000</v>
      </c>
      <c r="G259" s="221"/>
      <c r="H259" s="221"/>
      <c r="I259" s="222"/>
      <c r="J259" s="221"/>
      <c r="K259" s="221"/>
      <c r="L259" s="221"/>
      <c r="M259" s="221"/>
      <c r="N259" s="221"/>
      <c r="O259" s="221">
        <f t="shared" si="352"/>
        <v>120000</v>
      </c>
      <c r="P259" s="221"/>
      <c r="Q259" s="221">
        <f t="shared" si="351"/>
        <v>17080</v>
      </c>
      <c r="R259" s="221">
        <f t="shared" si="353"/>
        <v>341600</v>
      </c>
      <c r="S259" s="221">
        <f t="shared" si="354"/>
        <v>85400</v>
      </c>
      <c r="T259" s="222"/>
      <c r="U259" s="214">
        <f t="shared" si="344"/>
        <v>2927000</v>
      </c>
      <c r="V259" s="250"/>
      <c r="W259" s="224">
        <f t="shared" si="355"/>
        <v>243920</v>
      </c>
      <c r="X259" s="225">
        <f t="shared" si="345"/>
        <v>131720</v>
      </c>
      <c r="Y259" s="225">
        <f t="shared" si="292"/>
        <v>94550</v>
      </c>
      <c r="Z259" s="225">
        <f t="shared" si="293"/>
        <v>8050</v>
      </c>
      <c r="AA259" s="225">
        <f t="shared" si="348"/>
        <v>26340</v>
      </c>
      <c r="AB259" s="225">
        <f t="shared" si="349"/>
        <v>23420</v>
      </c>
      <c r="AC259" s="252">
        <f t="shared" si="350"/>
        <v>528000</v>
      </c>
    </row>
    <row r="260" spans="1:29" s="204" customFormat="1" ht="16.5" hidden="1" customHeight="1">
      <c r="A260" s="319"/>
      <c r="B260" s="211"/>
      <c r="C260" s="212"/>
      <c r="D260" s="212"/>
      <c r="E260" s="219" t="s">
        <v>279</v>
      </c>
      <c r="F260" s="221">
        <f t="shared" si="356"/>
        <v>2380000</v>
      </c>
      <c r="G260" s="221"/>
      <c r="H260" s="220"/>
      <c r="I260" s="222"/>
      <c r="J260" s="221"/>
      <c r="K260" s="221"/>
      <c r="L260" s="221"/>
      <c r="M260" s="221"/>
      <c r="N260" s="221"/>
      <c r="O260" s="221">
        <f t="shared" si="352"/>
        <v>120000</v>
      </c>
      <c r="P260" s="221"/>
      <c r="Q260" s="221">
        <f t="shared" si="351"/>
        <v>17080</v>
      </c>
      <c r="R260" s="221">
        <f t="shared" si="353"/>
        <v>341600</v>
      </c>
      <c r="S260" s="221">
        <f t="shared" si="354"/>
        <v>85400</v>
      </c>
      <c r="T260" s="222"/>
      <c r="U260" s="214">
        <f t="shared" si="344"/>
        <v>2927000</v>
      </c>
      <c r="V260" s="250"/>
      <c r="W260" s="224">
        <f t="shared" si="355"/>
        <v>243920</v>
      </c>
      <c r="X260" s="225">
        <f t="shared" si="345"/>
        <v>131720</v>
      </c>
      <c r="Y260" s="225">
        <f t="shared" si="292"/>
        <v>94550</v>
      </c>
      <c r="Z260" s="225">
        <f t="shared" si="293"/>
        <v>8050</v>
      </c>
      <c r="AA260" s="225">
        <f t="shared" si="348"/>
        <v>26340</v>
      </c>
      <c r="AB260" s="225">
        <f t="shared" si="349"/>
        <v>23420</v>
      </c>
      <c r="AC260" s="252">
        <f t="shared" si="350"/>
        <v>528000</v>
      </c>
    </row>
    <row r="261" spans="1:29" s="204" customFormat="1" ht="16.5" hidden="1" customHeight="1">
      <c r="A261" s="319"/>
      <c r="B261" s="211"/>
      <c r="C261" s="212"/>
      <c r="D261" s="212"/>
      <c r="E261" s="219" t="s">
        <v>280</v>
      </c>
      <c r="F261" s="221">
        <f t="shared" si="356"/>
        <v>2380000</v>
      </c>
      <c r="G261" s="221"/>
      <c r="H261" s="221"/>
      <c r="I261" s="222"/>
      <c r="J261" s="221"/>
      <c r="K261" s="221"/>
      <c r="L261" s="221"/>
      <c r="M261" s="221"/>
      <c r="N261" s="221"/>
      <c r="O261" s="221">
        <f>O260</f>
        <v>120000</v>
      </c>
      <c r="P261" s="221"/>
      <c r="Q261" s="221">
        <f t="shared" si="351"/>
        <v>17080</v>
      </c>
      <c r="R261" s="221">
        <f t="shared" si="353"/>
        <v>341600</v>
      </c>
      <c r="S261" s="221">
        <f t="shared" si="354"/>
        <v>85400</v>
      </c>
      <c r="T261" s="222"/>
      <c r="U261" s="214">
        <f t="shared" si="344"/>
        <v>2927000</v>
      </c>
      <c r="V261" s="250"/>
      <c r="W261" s="224">
        <f t="shared" si="355"/>
        <v>243920</v>
      </c>
      <c r="X261" s="225">
        <f t="shared" si="345"/>
        <v>131720</v>
      </c>
      <c r="Y261" s="225">
        <f t="shared" si="292"/>
        <v>94550</v>
      </c>
      <c r="Z261" s="225">
        <f t="shared" si="293"/>
        <v>8050</v>
      </c>
      <c r="AA261" s="225">
        <f t="shared" si="348"/>
        <v>26340</v>
      </c>
      <c r="AB261" s="225">
        <f t="shared" si="349"/>
        <v>23420</v>
      </c>
      <c r="AC261" s="252">
        <f t="shared" si="350"/>
        <v>528000</v>
      </c>
    </row>
    <row r="262" spans="1:29" s="204" customFormat="1" ht="16.5" hidden="1" customHeight="1">
      <c r="A262" s="319"/>
      <c r="B262" s="211"/>
      <c r="C262" s="212"/>
      <c r="D262" s="212"/>
      <c r="E262" s="219" t="s">
        <v>54</v>
      </c>
      <c r="F262" s="221">
        <f t="shared" si="356"/>
        <v>2380000</v>
      </c>
      <c r="G262" s="221"/>
      <c r="H262" s="221"/>
      <c r="I262" s="222"/>
      <c r="J262" s="221"/>
      <c r="K262" s="221"/>
      <c r="L262" s="221"/>
      <c r="M262" s="221">
        <f t="shared" ref="M262" si="357">F262*60%</f>
        <v>1428000</v>
      </c>
      <c r="N262" s="221"/>
      <c r="O262" s="221">
        <f t="shared" si="352"/>
        <v>120000</v>
      </c>
      <c r="P262" s="221"/>
      <c r="Q262" s="221">
        <f t="shared" si="351"/>
        <v>17080</v>
      </c>
      <c r="R262" s="221">
        <f t="shared" si="353"/>
        <v>341600</v>
      </c>
      <c r="S262" s="221">
        <f t="shared" si="354"/>
        <v>85400</v>
      </c>
      <c r="T262" s="222"/>
      <c r="U262" s="214">
        <f t="shared" si="344"/>
        <v>4355000</v>
      </c>
      <c r="V262" s="250"/>
      <c r="W262" s="224">
        <f t="shared" si="355"/>
        <v>362920</v>
      </c>
      <c r="X262" s="225">
        <f t="shared" si="345"/>
        <v>195980</v>
      </c>
      <c r="Y262" s="225">
        <f t="shared" si="292"/>
        <v>140670</v>
      </c>
      <c r="Z262" s="225">
        <f t="shared" si="293"/>
        <v>11980</v>
      </c>
      <c r="AA262" s="225">
        <f t="shared" si="348"/>
        <v>39200</v>
      </c>
      <c r="AB262" s="225">
        <f t="shared" si="349"/>
        <v>34840</v>
      </c>
      <c r="AC262" s="252">
        <f t="shared" si="350"/>
        <v>785590</v>
      </c>
    </row>
    <row r="263" spans="1:29" s="204" customFormat="1" ht="16.5" hidden="1" customHeight="1">
      <c r="A263" s="319"/>
      <c r="B263" s="211"/>
      <c r="C263" s="212"/>
      <c r="D263" s="212"/>
      <c r="E263" s="219" t="s">
        <v>55</v>
      </c>
      <c r="F263" s="221">
        <f t="shared" si="356"/>
        <v>2380000</v>
      </c>
      <c r="G263" s="221"/>
      <c r="H263" s="221"/>
      <c r="I263" s="222"/>
      <c r="J263" s="221"/>
      <c r="K263" s="221"/>
      <c r="L263" s="221"/>
      <c r="M263" s="221"/>
      <c r="N263" s="221"/>
      <c r="O263" s="221">
        <f t="shared" si="352"/>
        <v>120000</v>
      </c>
      <c r="P263" s="221"/>
      <c r="Q263" s="221">
        <f t="shared" si="351"/>
        <v>17080</v>
      </c>
      <c r="R263" s="221">
        <f t="shared" si="353"/>
        <v>341600</v>
      </c>
      <c r="S263" s="221">
        <f t="shared" si="354"/>
        <v>85400</v>
      </c>
      <c r="T263" s="222"/>
      <c r="U263" s="214">
        <f t="shared" si="344"/>
        <v>2927000</v>
      </c>
      <c r="V263" s="250"/>
      <c r="W263" s="224">
        <f t="shared" si="355"/>
        <v>243920</v>
      </c>
      <c r="X263" s="225">
        <f t="shared" si="345"/>
        <v>131720</v>
      </c>
      <c r="Y263" s="225">
        <f t="shared" si="292"/>
        <v>94550</v>
      </c>
      <c r="Z263" s="225">
        <f t="shared" si="293"/>
        <v>8050</v>
      </c>
      <c r="AA263" s="225">
        <f t="shared" si="348"/>
        <v>26340</v>
      </c>
      <c r="AB263" s="225">
        <f t="shared" si="349"/>
        <v>23420</v>
      </c>
      <c r="AC263" s="252">
        <f t="shared" si="350"/>
        <v>528000</v>
      </c>
    </row>
    <row r="264" spans="1:29" s="204" customFormat="1" ht="16.5" hidden="1" customHeight="1">
      <c r="A264" s="319"/>
      <c r="B264" s="211"/>
      <c r="C264" s="212"/>
      <c r="D264" s="212"/>
      <c r="E264" s="219" t="s">
        <v>56</v>
      </c>
      <c r="F264" s="221">
        <f t="shared" si="356"/>
        <v>2380000</v>
      </c>
      <c r="G264" s="221"/>
      <c r="H264" s="221"/>
      <c r="I264" s="222"/>
      <c r="J264" s="221"/>
      <c r="K264" s="221"/>
      <c r="L264" s="221"/>
      <c r="M264" s="221"/>
      <c r="N264" s="221"/>
      <c r="O264" s="221">
        <f t="shared" si="352"/>
        <v>120000</v>
      </c>
      <c r="P264" s="221"/>
      <c r="Q264" s="221">
        <f t="shared" si="351"/>
        <v>17080</v>
      </c>
      <c r="R264" s="221">
        <f t="shared" si="353"/>
        <v>341600</v>
      </c>
      <c r="S264" s="221">
        <f t="shared" si="354"/>
        <v>85400</v>
      </c>
      <c r="T264" s="222"/>
      <c r="U264" s="214">
        <f t="shared" si="344"/>
        <v>2927000</v>
      </c>
      <c r="V264" s="250"/>
      <c r="W264" s="224">
        <f t="shared" si="355"/>
        <v>243920</v>
      </c>
      <c r="X264" s="225">
        <f t="shared" si="345"/>
        <v>131720</v>
      </c>
      <c r="Y264" s="225">
        <f t="shared" si="292"/>
        <v>94550</v>
      </c>
      <c r="Z264" s="225">
        <f t="shared" si="293"/>
        <v>8050</v>
      </c>
      <c r="AA264" s="225">
        <f t="shared" si="348"/>
        <v>26340</v>
      </c>
      <c r="AB264" s="225">
        <f t="shared" si="349"/>
        <v>23420</v>
      </c>
      <c r="AC264" s="252">
        <f t="shared" si="350"/>
        <v>528000</v>
      </c>
    </row>
    <row r="265" spans="1:29" s="204" customFormat="1" ht="16.5" hidden="1" customHeight="1">
      <c r="A265" s="319"/>
      <c r="B265" s="211"/>
      <c r="C265" s="212"/>
      <c r="D265" s="212"/>
      <c r="E265" s="219" t="s">
        <v>281</v>
      </c>
      <c r="F265" s="221">
        <f t="shared" si="356"/>
        <v>2380000</v>
      </c>
      <c r="G265" s="221"/>
      <c r="H265" s="221"/>
      <c r="I265" s="222"/>
      <c r="J265" s="221"/>
      <c r="K265" s="221"/>
      <c r="L265" s="221"/>
      <c r="M265" s="221"/>
      <c r="N265" s="221"/>
      <c r="O265" s="221">
        <f t="shared" si="352"/>
        <v>120000</v>
      </c>
      <c r="P265" s="221"/>
      <c r="Q265" s="221">
        <f t="shared" si="351"/>
        <v>17080</v>
      </c>
      <c r="R265" s="221">
        <f>Q265*20*2</f>
        <v>683200</v>
      </c>
      <c r="S265" s="221">
        <f>(Q265*5)*2</f>
        <v>170800</v>
      </c>
      <c r="T265" s="222"/>
      <c r="U265" s="214">
        <f t="shared" si="344"/>
        <v>3354000</v>
      </c>
      <c r="V265" s="250"/>
      <c r="W265" s="224">
        <f t="shared" si="355"/>
        <v>279500</v>
      </c>
      <c r="X265" s="225">
        <f t="shared" si="345"/>
        <v>150930</v>
      </c>
      <c r="Y265" s="225">
        <f t="shared" si="292"/>
        <v>108340</v>
      </c>
      <c r="Z265" s="225">
        <f t="shared" si="293"/>
        <v>9220</v>
      </c>
      <c r="AA265" s="225">
        <f t="shared" si="348"/>
        <v>30190</v>
      </c>
      <c r="AB265" s="225">
        <f t="shared" si="349"/>
        <v>26830</v>
      </c>
      <c r="AC265" s="252">
        <f t="shared" si="350"/>
        <v>605010</v>
      </c>
    </row>
    <row r="266" spans="1:29" s="204" customFormat="1" ht="16.5" hidden="1" customHeight="1">
      <c r="A266" s="319">
        <v>21</v>
      </c>
      <c r="B266" s="211" t="s">
        <v>87</v>
      </c>
      <c r="C266" s="212" t="s">
        <v>522</v>
      </c>
      <c r="D266" s="212">
        <v>1</v>
      </c>
      <c r="E266" s="213" t="s">
        <v>86</v>
      </c>
      <c r="F266" s="214">
        <f>SUM(F267:F278)</f>
        <v>26922000</v>
      </c>
      <c r="G266" s="214">
        <f t="shared" ref="G266:N266" si="358">SUM(G267:G278)</f>
        <v>0</v>
      </c>
      <c r="H266" s="214">
        <f t="shared" si="358"/>
        <v>0</v>
      </c>
      <c r="I266" s="214">
        <f t="shared" si="358"/>
        <v>0</v>
      </c>
      <c r="J266" s="214">
        <f t="shared" si="358"/>
        <v>0</v>
      </c>
      <c r="K266" s="214">
        <f t="shared" si="358"/>
        <v>0</v>
      </c>
      <c r="L266" s="214">
        <f t="shared" si="358"/>
        <v>0</v>
      </c>
      <c r="M266" s="214">
        <f t="shared" si="358"/>
        <v>2673600</v>
      </c>
      <c r="N266" s="214">
        <f t="shared" si="358"/>
        <v>0</v>
      </c>
      <c r="O266" s="214">
        <f>SUM(O267:O278)</f>
        <v>240000</v>
      </c>
      <c r="P266" s="214">
        <f t="shared" ref="P266" si="359">SUM(P267:P278)</f>
        <v>0</v>
      </c>
      <c r="Q266" s="214"/>
      <c r="R266" s="214">
        <f t="shared" ref="R266" si="360">SUM(R267:R278)</f>
        <v>3864000</v>
      </c>
      <c r="S266" s="214">
        <f>SUM(S267:S278)</f>
        <v>966000</v>
      </c>
      <c r="T266" s="214">
        <f t="shared" ref="T266:U266" si="361">SUM(T267:T278)</f>
        <v>0</v>
      </c>
      <c r="U266" s="214">
        <f t="shared" si="361"/>
        <v>34665600</v>
      </c>
      <c r="V266" s="250"/>
      <c r="W266" s="217">
        <f t="shared" ref="W266:AB266" si="362">SUM(W267:W278)</f>
        <v>2888840</v>
      </c>
      <c r="X266" s="214">
        <f t="shared" si="362"/>
        <v>1559960</v>
      </c>
      <c r="Y266" s="214">
        <f t="shared" si="362"/>
        <v>1119790</v>
      </c>
      <c r="Z266" s="214">
        <f t="shared" si="362"/>
        <v>95330</v>
      </c>
      <c r="AA266" s="214">
        <f t="shared" si="362"/>
        <v>312010</v>
      </c>
      <c r="AB266" s="214">
        <f t="shared" si="362"/>
        <v>277320</v>
      </c>
      <c r="AC266" s="266">
        <f>SUM(AC267:AC278)</f>
        <v>6253250</v>
      </c>
    </row>
    <row r="267" spans="1:29" s="204" customFormat="1" ht="16.5" hidden="1" customHeight="1">
      <c r="A267" s="319"/>
      <c r="B267" s="211" t="s">
        <v>823</v>
      </c>
      <c r="C267" s="310">
        <v>8</v>
      </c>
      <c r="D267" s="310"/>
      <c r="E267" s="311" t="s">
        <v>389</v>
      </c>
      <c r="F267" s="312">
        <v>2197000</v>
      </c>
      <c r="G267" s="221"/>
      <c r="H267" s="220"/>
      <c r="I267" s="222"/>
      <c r="J267" s="221"/>
      <c r="K267" s="221"/>
      <c r="L267" s="221"/>
      <c r="M267" s="221" t="s">
        <v>60</v>
      </c>
      <c r="N267" s="221"/>
      <c r="O267" s="221">
        <v>20000</v>
      </c>
      <c r="P267" s="221"/>
      <c r="Q267" s="221"/>
      <c r="R267" s="221"/>
      <c r="S267" s="221"/>
      <c r="T267" s="222"/>
      <c r="U267" s="214">
        <f t="shared" ref="U267:U278" si="363">SUM(F267,M267,O267,R267,T267,S267)</f>
        <v>2217000</v>
      </c>
      <c r="V267" s="250"/>
      <c r="W267" s="224">
        <f>ROUNDUP(U267*1/12,-1)</f>
        <v>184750</v>
      </c>
      <c r="X267" s="225">
        <f t="shared" ref="X267:X278" si="364">ROUND(U267*4.5%,-1)</f>
        <v>99770</v>
      </c>
      <c r="Y267" s="225">
        <f t="shared" ref="Y267" si="365">ROUNDUP((U267-L267)*3.23%,-1)</f>
        <v>71610</v>
      </c>
      <c r="Z267" s="225">
        <f t="shared" ref="Z267" si="366">ROUNDUP(Y267*8.51%,-1)</f>
        <v>6100</v>
      </c>
      <c r="AA267" s="225">
        <f t="shared" ref="AA267:AA278" si="367">ROUND(U267*0.9%,-1)</f>
        <v>19950</v>
      </c>
      <c r="AB267" s="225">
        <f t="shared" ref="AB267:AB278" si="368">ROUND(U267*0.8%,-1)</f>
        <v>17740</v>
      </c>
      <c r="AC267" s="252">
        <f t="shared" ref="AC267:AC278" si="369">SUM(W267:AB267)</f>
        <v>399920</v>
      </c>
    </row>
    <row r="268" spans="1:29" s="204" customFormat="1" ht="16.5" hidden="1" customHeight="1">
      <c r="A268" s="319"/>
      <c r="B268" s="211"/>
      <c r="C268" s="212"/>
      <c r="D268" s="212"/>
      <c r="E268" s="219" t="s">
        <v>390</v>
      </c>
      <c r="F268" s="221">
        <f>F267</f>
        <v>2197000</v>
      </c>
      <c r="G268" s="221"/>
      <c r="H268" s="221"/>
      <c r="I268" s="222"/>
      <c r="J268" s="221"/>
      <c r="K268" s="221"/>
      <c r="L268" s="221"/>
      <c r="M268" s="221">
        <f>F268*60%</f>
        <v>1318200</v>
      </c>
      <c r="N268" s="221"/>
      <c r="O268" s="221">
        <f>O267</f>
        <v>20000</v>
      </c>
      <c r="P268" s="221"/>
      <c r="Q268" s="221">
        <f t="shared" ref="Q268:Q278" si="370">ROUND((F267+T267)*1/209*1.5,-1)</f>
        <v>15770</v>
      </c>
      <c r="R268" s="221">
        <f>Q268*20</f>
        <v>315400</v>
      </c>
      <c r="S268" s="221">
        <f>Q268*5</f>
        <v>78850</v>
      </c>
      <c r="T268" s="222"/>
      <c r="U268" s="214">
        <f t="shared" si="363"/>
        <v>3929450</v>
      </c>
      <c r="V268" s="250"/>
      <c r="W268" s="224">
        <f>ROUNDUP((T268+U268)*1/12,-1)</f>
        <v>327460</v>
      </c>
      <c r="X268" s="225">
        <f t="shared" si="364"/>
        <v>176830</v>
      </c>
      <c r="Y268" s="225">
        <f t="shared" si="292"/>
        <v>126930</v>
      </c>
      <c r="Z268" s="225">
        <f t="shared" si="293"/>
        <v>10810</v>
      </c>
      <c r="AA268" s="225">
        <f t="shared" si="367"/>
        <v>35370</v>
      </c>
      <c r="AB268" s="225">
        <f t="shared" si="368"/>
        <v>31440</v>
      </c>
      <c r="AC268" s="252">
        <f t="shared" si="369"/>
        <v>708840</v>
      </c>
    </row>
    <row r="269" spans="1:29" s="204" customFormat="1" ht="16.5" hidden="1" customHeight="1">
      <c r="A269" s="319"/>
      <c r="B269" s="211"/>
      <c r="C269" s="212"/>
      <c r="D269" s="212"/>
      <c r="E269" s="219" t="s">
        <v>391</v>
      </c>
      <c r="F269" s="221">
        <f>F268</f>
        <v>2197000</v>
      </c>
      <c r="G269" s="221"/>
      <c r="H269" s="221"/>
      <c r="I269" s="222"/>
      <c r="J269" s="221"/>
      <c r="K269" s="221"/>
      <c r="L269" s="221"/>
      <c r="M269" s="221"/>
      <c r="N269" s="221"/>
      <c r="O269" s="221">
        <f t="shared" ref="O269:O278" si="371">O268</f>
        <v>20000</v>
      </c>
      <c r="P269" s="221"/>
      <c r="Q269" s="221">
        <f t="shared" si="370"/>
        <v>15770</v>
      </c>
      <c r="R269" s="221">
        <f t="shared" ref="R269:R277" si="372">Q269*20</f>
        <v>315400</v>
      </c>
      <c r="S269" s="221">
        <f t="shared" ref="S269:S277" si="373">Q269*5</f>
        <v>78850</v>
      </c>
      <c r="T269" s="222"/>
      <c r="U269" s="214">
        <f t="shared" si="363"/>
        <v>2611250</v>
      </c>
      <c r="V269" s="250"/>
      <c r="W269" s="224">
        <f t="shared" ref="W269:W278" si="374">ROUNDUP(U269*1/12,-1)</f>
        <v>217610</v>
      </c>
      <c r="X269" s="225">
        <f t="shared" si="364"/>
        <v>117510</v>
      </c>
      <c r="Y269" s="225">
        <f t="shared" si="292"/>
        <v>84350</v>
      </c>
      <c r="Z269" s="225">
        <f t="shared" si="293"/>
        <v>7180</v>
      </c>
      <c r="AA269" s="225">
        <f t="shared" si="367"/>
        <v>23500</v>
      </c>
      <c r="AB269" s="225">
        <f t="shared" si="368"/>
        <v>20890</v>
      </c>
      <c r="AC269" s="252">
        <f t="shared" si="369"/>
        <v>471040</v>
      </c>
    </row>
    <row r="270" spans="1:29" s="204" customFormat="1" ht="16.5" hidden="1" customHeight="1">
      <c r="A270" s="319"/>
      <c r="B270" s="211"/>
      <c r="C270" s="310">
        <f>C267+1</f>
        <v>9</v>
      </c>
      <c r="D270" s="310"/>
      <c r="E270" s="311" t="s">
        <v>392</v>
      </c>
      <c r="F270" s="312">
        <v>2259000</v>
      </c>
      <c r="G270" s="221"/>
      <c r="H270" s="221"/>
      <c r="I270" s="222"/>
      <c r="J270" s="221"/>
      <c r="K270" s="221"/>
      <c r="L270" s="221"/>
      <c r="M270" s="221"/>
      <c r="N270" s="221"/>
      <c r="O270" s="221">
        <f t="shared" si="371"/>
        <v>20000</v>
      </c>
      <c r="P270" s="221"/>
      <c r="Q270" s="221">
        <f t="shared" si="370"/>
        <v>15770</v>
      </c>
      <c r="R270" s="221">
        <f t="shared" si="372"/>
        <v>315400</v>
      </c>
      <c r="S270" s="221">
        <f t="shared" si="373"/>
        <v>78850</v>
      </c>
      <c r="T270" s="222"/>
      <c r="U270" s="214">
        <f t="shared" si="363"/>
        <v>2673250</v>
      </c>
      <c r="V270" s="250"/>
      <c r="W270" s="224">
        <f t="shared" si="374"/>
        <v>222780</v>
      </c>
      <c r="X270" s="225">
        <f t="shared" si="364"/>
        <v>120300</v>
      </c>
      <c r="Y270" s="225">
        <f t="shared" si="292"/>
        <v>86350</v>
      </c>
      <c r="Z270" s="225">
        <f t="shared" si="293"/>
        <v>7350</v>
      </c>
      <c r="AA270" s="225">
        <f t="shared" si="367"/>
        <v>24060</v>
      </c>
      <c r="AB270" s="225">
        <f t="shared" si="368"/>
        <v>21390</v>
      </c>
      <c r="AC270" s="252">
        <f t="shared" si="369"/>
        <v>482230</v>
      </c>
    </row>
    <row r="271" spans="1:29" s="204" customFormat="1" ht="16.5" hidden="1" customHeight="1">
      <c r="A271" s="319"/>
      <c r="B271" s="211"/>
      <c r="C271" s="212"/>
      <c r="D271" s="212"/>
      <c r="E271" s="219" t="s">
        <v>393</v>
      </c>
      <c r="F271" s="221">
        <f t="shared" ref="F271:F278" si="375">F270</f>
        <v>2259000</v>
      </c>
      <c r="G271" s="221"/>
      <c r="H271" s="221"/>
      <c r="I271" s="222"/>
      <c r="J271" s="221"/>
      <c r="K271" s="221"/>
      <c r="L271" s="221"/>
      <c r="M271" s="221"/>
      <c r="N271" s="221"/>
      <c r="O271" s="221">
        <f t="shared" si="371"/>
        <v>20000</v>
      </c>
      <c r="P271" s="221"/>
      <c r="Q271" s="221">
        <f t="shared" si="370"/>
        <v>16210</v>
      </c>
      <c r="R271" s="221">
        <f t="shared" si="372"/>
        <v>324200</v>
      </c>
      <c r="S271" s="221">
        <f t="shared" si="373"/>
        <v>81050</v>
      </c>
      <c r="T271" s="222"/>
      <c r="U271" s="214">
        <f t="shared" si="363"/>
        <v>2684250</v>
      </c>
      <c r="V271" s="250"/>
      <c r="W271" s="224">
        <f t="shared" si="374"/>
        <v>223690</v>
      </c>
      <c r="X271" s="225">
        <f t="shared" si="364"/>
        <v>120790</v>
      </c>
      <c r="Y271" s="225">
        <f t="shared" si="292"/>
        <v>86710</v>
      </c>
      <c r="Z271" s="225">
        <f t="shared" si="293"/>
        <v>7380</v>
      </c>
      <c r="AA271" s="225">
        <f t="shared" si="367"/>
        <v>24160</v>
      </c>
      <c r="AB271" s="225">
        <f t="shared" si="368"/>
        <v>21470</v>
      </c>
      <c r="AC271" s="252">
        <f t="shared" si="369"/>
        <v>484200</v>
      </c>
    </row>
    <row r="272" spans="1:29" s="204" customFormat="1" ht="16.5" hidden="1" customHeight="1">
      <c r="A272" s="319"/>
      <c r="B272" s="211"/>
      <c r="C272" s="212"/>
      <c r="D272" s="212"/>
      <c r="E272" s="219" t="s">
        <v>394</v>
      </c>
      <c r="F272" s="221">
        <f t="shared" si="375"/>
        <v>2259000</v>
      </c>
      <c r="G272" s="221"/>
      <c r="H272" s="221"/>
      <c r="I272" s="222"/>
      <c r="J272" s="221"/>
      <c r="K272" s="221"/>
      <c r="L272" s="221"/>
      <c r="M272" s="221"/>
      <c r="N272" s="221"/>
      <c r="O272" s="221">
        <f t="shared" si="371"/>
        <v>20000</v>
      </c>
      <c r="P272" s="221"/>
      <c r="Q272" s="221">
        <f t="shared" si="370"/>
        <v>16210</v>
      </c>
      <c r="R272" s="221">
        <f t="shared" si="372"/>
        <v>324200</v>
      </c>
      <c r="S272" s="221">
        <f t="shared" si="373"/>
        <v>81050</v>
      </c>
      <c r="T272" s="222"/>
      <c r="U272" s="214">
        <f t="shared" si="363"/>
        <v>2684250</v>
      </c>
      <c r="V272" s="250"/>
      <c r="W272" s="224">
        <f t="shared" si="374"/>
        <v>223690</v>
      </c>
      <c r="X272" s="225">
        <f t="shared" si="364"/>
        <v>120790</v>
      </c>
      <c r="Y272" s="225">
        <f t="shared" si="292"/>
        <v>86710</v>
      </c>
      <c r="Z272" s="225">
        <f t="shared" si="293"/>
        <v>7380</v>
      </c>
      <c r="AA272" s="225">
        <f t="shared" si="367"/>
        <v>24160</v>
      </c>
      <c r="AB272" s="225">
        <f t="shared" si="368"/>
        <v>21470</v>
      </c>
      <c r="AC272" s="252">
        <f t="shared" si="369"/>
        <v>484200</v>
      </c>
    </row>
    <row r="273" spans="1:29" s="204" customFormat="1" ht="16.5" hidden="1" customHeight="1">
      <c r="A273" s="319"/>
      <c r="B273" s="211"/>
      <c r="C273" s="212"/>
      <c r="D273" s="212"/>
      <c r="E273" s="219" t="s">
        <v>279</v>
      </c>
      <c r="F273" s="221">
        <f t="shared" si="375"/>
        <v>2259000</v>
      </c>
      <c r="G273" s="221"/>
      <c r="H273" s="220"/>
      <c r="I273" s="222"/>
      <c r="J273" s="221"/>
      <c r="K273" s="221"/>
      <c r="L273" s="221"/>
      <c r="M273" s="221"/>
      <c r="N273" s="221"/>
      <c r="O273" s="221">
        <f t="shared" si="371"/>
        <v>20000</v>
      </c>
      <c r="P273" s="221"/>
      <c r="Q273" s="221">
        <f t="shared" si="370"/>
        <v>16210</v>
      </c>
      <c r="R273" s="221">
        <f t="shared" si="372"/>
        <v>324200</v>
      </c>
      <c r="S273" s="221">
        <f t="shared" si="373"/>
        <v>81050</v>
      </c>
      <c r="T273" s="222"/>
      <c r="U273" s="214">
        <f t="shared" si="363"/>
        <v>2684250</v>
      </c>
      <c r="V273" s="250"/>
      <c r="W273" s="224">
        <f t="shared" si="374"/>
        <v>223690</v>
      </c>
      <c r="X273" s="225">
        <f t="shared" si="364"/>
        <v>120790</v>
      </c>
      <c r="Y273" s="225">
        <f t="shared" si="292"/>
        <v>86710</v>
      </c>
      <c r="Z273" s="225">
        <f t="shared" si="293"/>
        <v>7380</v>
      </c>
      <c r="AA273" s="225">
        <f t="shared" si="367"/>
        <v>24160</v>
      </c>
      <c r="AB273" s="225">
        <f t="shared" si="368"/>
        <v>21470</v>
      </c>
      <c r="AC273" s="252">
        <f t="shared" si="369"/>
        <v>484200</v>
      </c>
    </row>
    <row r="274" spans="1:29" s="204" customFormat="1" ht="16.5" hidden="1" customHeight="1">
      <c r="A274" s="319"/>
      <c r="B274" s="211"/>
      <c r="C274" s="212"/>
      <c r="D274" s="212"/>
      <c r="E274" s="219" t="s">
        <v>280</v>
      </c>
      <c r="F274" s="221">
        <f t="shared" si="375"/>
        <v>2259000</v>
      </c>
      <c r="G274" s="221"/>
      <c r="H274" s="221"/>
      <c r="I274" s="222"/>
      <c r="J274" s="221"/>
      <c r="K274" s="221"/>
      <c r="L274" s="221"/>
      <c r="M274" s="221"/>
      <c r="N274" s="221"/>
      <c r="O274" s="221">
        <f t="shared" si="371"/>
        <v>20000</v>
      </c>
      <c r="P274" s="221"/>
      <c r="Q274" s="221">
        <f t="shared" si="370"/>
        <v>16210</v>
      </c>
      <c r="R274" s="221">
        <f t="shared" si="372"/>
        <v>324200</v>
      </c>
      <c r="S274" s="221">
        <f t="shared" si="373"/>
        <v>81050</v>
      </c>
      <c r="T274" s="222"/>
      <c r="U274" s="214">
        <f t="shared" si="363"/>
        <v>2684250</v>
      </c>
      <c r="V274" s="250"/>
      <c r="W274" s="224">
        <f t="shared" si="374"/>
        <v>223690</v>
      </c>
      <c r="X274" s="225">
        <f t="shared" si="364"/>
        <v>120790</v>
      </c>
      <c r="Y274" s="225">
        <f t="shared" si="292"/>
        <v>86710</v>
      </c>
      <c r="Z274" s="225">
        <f t="shared" si="293"/>
        <v>7380</v>
      </c>
      <c r="AA274" s="225">
        <f t="shared" si="367"/>
        <v>24160</v>
      </c>
      <c r="AB274" s="225">
        <f t="shared" si="368"/>
        <v>21470</v>
      </c>
      <c r="AC274" s="252">
        <f t="shared" si="369"/>
        <v>484200</v>
      </c>
    </row>
    <row r="275" spans="1:29" s="204" customFormat="1" ht="16.5" hidden="1" customHeight="1">
      <c r="A275" s="319"/>
      <c r="B275" s="211"/>
      <c r="C275" s="212"/>
      <c r="D275" s="212"/>
      <c r="E275" s="219" t="s">
        <v>54</v>
      </c>
      <c r="F275" s="221">
        <f t="shared" si="375"/>
        <v>2259000</v>
      </c>
      <c r="G275" s="221"/>
      <c r="H275" s="221"/>
      <c r="I275" s="222"/>
      <c r="J275" s="221"/>
      <c r="K275" s="221"/>
      <c r="L275" s="221"/>
      <c r="M275" s="221">
        <f t="shared" ref="M275" si="376">F275*60%</f>
        <v>1355400</v>
      </c>
      <c r="N275" s="221"/>
      <c r="O275" s="221">
        <f t="shared" si="371"/>
        <v>20000</v>
      </c>
      <c r="P275" s="221"/>
      <c r="Q275" s="221">
        <f t="shared" si="370"/>
        <v>16210</v>
      </c>
      <c r="R275" s="221">
        <f t="shared" si="372"/>
        <v>324200</v>
      </c>
      <c r="S275" s="221">
        <f t="shared" si="373"/>
        <v>81050</v>
      </c>
      <c r="T275" s="222"/>
      <c r="U275" s="214">
        <f t="shared" si="363"/>
        <v>4039650</v>
      </c>
      <c r="V275" s="250"/>
      <c r="W275" s="224">
        <f t="shared" si="374"/>
        <v>336640</v>
      </c>
      <c r="X275" s="225">
        <f t="shared" si="364"/>
        <v>181780</v>
      </c>
      <c r="Y275" s="225">
        <f t="shared" si="292"/>
        <v>130490</v>
      </c>
      <c r="Z275" s="225">
        <f t="shared" si="293"/>
        <v>11110</v>
      </c>
      <c r="AA275" s="225">
        <f t="shared" si="367"/>
        <v>36360</v>
      </c>
      <c r="AB275" s="225">
        <f t="shared" si="368"/>
        <v>32320</v>
      </c>
      <c r="AC275" s="252">
        <f t="shared" si="369"/>
        <v>728700</v>
      </c>
    </row>
    <row r="276" spans="1:29" s="204" customFormat="1" ht="16.5" hidden="1" customHeight="1">
      <c r="A276" s="319"/>
      <c r="B276" s="211"/>
      <c r="C276" s="212"/>
      <c r="D276" s="212"/>
      <c r="E276" s="219" t="s">
        <v>55</v>
      </c>
      <c r="F276" s="221">
        <f t="shared" si="375"/>
        <v>2259000</v>
      </c>
      <c r="G276" s="221"/>
      <c r="H276" s="221"/>
      <c r="I276" s="222"/>
      <c r="J276" s="221"/>
      <c r="K276" s="221"/>
      <c r="L276" s="221"/>
      <c r="M276" s="221"/>
      <c r="N276" s="221"/>
      <c r="O276" s="221">
        <f t="shared" si="371"/>
        <v>20000</v>
      </c>
      <c r="P276" s="221"/>
      <c r="Q276" s="221">
        <f t="shared" si="370"/>
        <v>16210</v>
      </c>
      <c r="R276" s="221">
        <f t="shared" si="372"/>
        <v>324200</v>
      </c>
      <c r="S276" s="221">
        <f t="shared" si="373"/>
        <v>81050</v>
      </c>
      <c r="T276" s="222"/>
      <c r="U276" s="214">
        <f t="shared" si="363"/>
        <v>2684250</v>
      </c>
      <c r="V276" s="250"/>
      <c r="W276" s="224">
        <f t="shared" si="374"/>
        <v>223690</v>
      </c>
      <c r="X276" s="225">
        <f t="shared" si="364"/>
        <v>120790</v>
      </c>
      <c r="Y276" s="225">
        <f t="shared" si="292"/>
        <v>86710</v>
      </c>
      <c r="Z276" s="225">
        <f t="shared" si="293"/>
        <v>7380</v>
      </c>
      <c r="AA276" s="225">
        <f t="shared" si="367"/>
        <v>24160</v>
      </c>
      <c r="AB276" s="225">
        <f t="shared" si="368"/>
        <v>21470</v>
      </c>
      <c r="AC276" s="252">
        <f t="shared" si="369"/>
        <v>484200</v>
      </c>
    </row>
    <row r="277" spans="1:29" s="204" customFormat="1" ht="16.5" hidden="1" customHeight="1">
      <c r="A277" s="319"/>
      <c r="B277" s="211"/>
      <c r="C277" s="212"/>
      <c r="D277" s="212"/>
      <c r="E277" s="219" t="s">
        <v>56</v>
      </c>
      <c r="F277" s="221">
        <f t="shared" si="375"/>
        <v>2259000</v>
      </c>
      <c r="G277" s="221"/>
      <c r="H277" s="221"/>
      <c r="I277" s="222"/>
      <c r="J277" s="221"/>
      <c r="K277" s="221"/>
      <c r="L277" s="221"/>
      <c r="M277" s="221"/>
      <c r="N277" s="221"/>
      <c r="O277" s="221">
        <f t="shared" si="371"/>
        <v>20000</v>
      </c>
      <c r="P277" s="221"/>
      <c r="Q277" s="221">
        <f t="shared" si="370"/>
        <v>16210</v>
      </c>
      <c r="R277" s="221">
        <f t="shared" si="372"/>
        <v>324200</v>
      </c>
      <c r="S277" s="221">
        <f t="shared" si="373"/>
        <v>81050</v>
      </c>
      <c r="T277" s="222"/>
      <c r="U277" s="214">
        <f t="shared" si="363"/>
        <v>2684250</v>
      </c>
      <c r="V277" s="250"/>
      <c r="W277" s="224">
        <f t="shared" si="374"/>
        <v>223690</v>
      </c>
      <c r="X277" s="225">
        <f t="shared" si="364"/>
        <v>120790</v>
      </c>
      <c r="Y277" s="225">
        <f t="shared" si="292"/>
        <v>86710</v>
      </c>
      <c r="Z277" s="225">
        <f t="shared" si="293"/>
        <v>7380</v>
      </c>
      <c r="AA277" s="225">
        <f t="shared" si="367"/>
        <v>24160</v>
      </c>
      <c r="AB277" s="225">
        <f t="shared" si="368"/>
        <v>21470</v>
      </c>
      <c r="AC277" s="252">
        <f t="shared" si="369"/>
        <v>484200</v>
      </c>
    </row>
    <row r="278" spans="1:29" s="204" customFormat="1" ht="16.5" hidden="1" customHeight="1">
      <c r="A278" s="319"/>
      <c r="B278" s="211"/>
      <c r="C278" s="212"/>
      <c r="D278" s="212"/>
      <c r="E278" s="219" t="s">
        <v>395</v>
      </c>
      <c r="F278" s="221">
        <f t="shared" si="375"/>
        <v>2259000</v>
      </c>
      <c r="G278" s="221"/>
      <c r="H278" s="221"/>
      <c r="I278" s="222"/>
      <c r="J278" s="221"/>
      <c r="K278" s="221"/>
      <c r="L278" s="221"/>
      <c r="M278" s="221"/>
      <c r="N278" s="221"/>
      <c r="O278" s="221">
        <f t="shared" si="371"/>
        <v>20000</v>
      </c>
      <c r="P278" s="221"/>
      <c r="Q278" s="221">
        <f t="shared" si="370"/>
        <v>16210</v>
      </c>
      <c r="R278" s="221">
        <f>Q278*20*2</f>
        <v>648400</v>
      </c>
      <c r="S278" s="221">
        <f>(Q278*5)*2</f>
        <v>162100</v>
      </c>
      <c r="T278" s="222"/>
      <c r="U278" s="214">
        <f t="shared" si="363"/>
        <v>3089500</v>
      </c>
      <c r="V278" s="250"/>
      <c r="W278" s="224">
        <f t="shared" si="374"/>
        <v>257460</v>
      </c>
      <c r="X278" s="225">
        <f t="shared" si="364"/>
        <v>139030</v>
      </c>
      <c r="Y278" s="225">
        <f t="shared" si="292"/>
        <v>99800</v>
      </c>
      <c r="Z278" s="225">
        <f t="shared" si="293"/>
        <v>8500</v>
      </c>
      <c r="AA278" s="225">
        <f t="shared" si="367"/>
        <v>27810</v>
      </c>
      <c r="AB278" s="225">
        <f t="shared" si="368"/>
        <v>24720</v>
      </c>
      <c r="AC278" s="252">
        <f t="shared" si="369"/>
        <v>557320</v>
      </c>
    </row>
    <row r="279" spans="1:29" s="204" customFormat="1" ht="16.5" hidden="1" customHeight="1">
      <c r="A279" s="319">
        <v>22</v>
      </c>
      <c r="B279" s="211" t="s">
        <v>87</v>
      </c>
      <c r="C279" s="212" t="s">
        <v>522</v>
      </c>
      <c r="D279" s="212">
        <v>1</v>
      </c>
      <c r="E279" s="213" t="s">
        <v>86</v>
      </c>
      <c r="F279" s="214">
        <f>SUM(F280:F291)</f>
        <v>26922000</v>
      </c>
      <c r="G279" s="214">
        <f t="shared" ref="G279:N279" si="377">SUM(G280:G291)</f>
        <v>0</v>
      </c>
      <c r="H279" s="214">
        <f t="shared" si="377"/>
        <v>0</v>
      </c>
      <c r="I279" s="214">
        <f t="shared" si="377"/>
        <v>0</v>
      </c>
      <c r="J279" s="214">
        <f t="shared" si="377"/>
        <v>0</v>
      </c>
      <c r="K279" s="214">
        <f t="shared" si="377"/>
        <v>0</v>
      </c>
      <c r="L279" s="214">
        <f t="shared" si="377"/>
        <v>0</v>
      </c>
      <c r="M279" s="214">
        <f t="shared" si="377"/>
        <v>2673600</v>
      </c>
      <c r="N279" s="214">
        <f t="shared" si="377"/>
        <v>0</v>
      </c>
      <c r="O279" s="214">
        <f>SUM(O280:O291)</f>
        <v>240000</v>
      </c>
      <c r="P279" s="214">
        <f t="shared" ref="P279" si="378">SUM(P280:P291)</f>
        <v>0</v>
      </c>
      <c r="Q279" s="214"/>
      <c r="R279" s="214">
        <f t="shared" ref="R279" si="379">SUM(R280:R291)</f>
        <v>3091200</v>
      </c>
      <c r="S279" s="214">
        <f>SUM(S280:S291)</f>
        <v>966000</v>
      </c>
      <c r="T279" s="214">
        <f t="shared" ref="T279:U279" si="380">SUM(T280:T291)</f>
        <v>0</v>
      </c>
      <c r="U279" s="214">
        <f t="shared" si="380"/>
        <v>33892800</v>
      </c>
      <c r="V279" s="250"/>
      <c r="W279" s="217">
        <f t="shared" ref="W279:AB279" si="381">SUM(W280:W291)</f>
        <v>2824460</v>
      </c>
      <c r="X279" s="214">
        <f t="shared" si="381"/>
        <v>1525170</v>
      </c>
      <c r="Y279" s="214">
        <f t="shared" si="381"/>
        <v>1094780</v>
      </c>
      <c r="Z279" s="214">
        <f t="shared" si="381"/>
        <v>93250</v>
      </c>
      <c r="AA279" s="214">
        <f t="shared" si="381"/>
        <v>305000</v>
      </c>
      <c r="AB279" s="214">
        <f t="shared" si="381"/>
        <v>271180</v>
      </c>
      <c r="AC279" s="266">
        <f>SUM(AC280:AC291)</f>
        <v>6113840</v>
      </c>
    </row>
    <row r="280" spans="1:29" s="204" customFormat="1" ht="16.5" hidden="1" customHeight="1">
      <c r="A280" s="319"/>
      <c r="B280" s="211" t="s">
        <v>824</v>
      </c>
      <c r="C280" s="310">
        <v>8</v>
      </c>
      <c r="D280" s="310"/>
      <c r="E280" s="311" t="s">
        <v>389</v>
      </c>
      <c r="F280" s="312">
        <v>2197000</v>
      </c>
      <c r="G280" s="221"/>
      <c r="H280" s="220"/>
      <c r="I280" s="222"/>
      <c r="J280" s="221"/>
      <c r="K280" s="221"/>
      <c r="L280" s="221"/>
      <c r="M280" s="221" t="s">
        <v>60</v>
      </c>
      <c r="N280" s="221"/>
      <c r="O280" s="221">
        <v>20000</v>
      </c>
      <c r="P280" s="221"/>
      <c r="Q280" s="221"/>
      <c r="R280" s="221"/>
      <c r="S280" s="221"/>
      <c r="T280" s="222"/>
      <c r="U280" s="214">
        <f t="shared" ref="U280:U291" si="382">SUM(F280,M280,O280,R280,T280,S280)</f>
        <v>2217000</v>
      </c>
      <c r="V280" s="250"/>
      <c r="W280" s="224">
        <f>ROUNDUP(U280*1/12,-1)</f>
        <v>184750</v>
      </c>
      <c r="X280" s="225">
        <f t="shared" ref="X280:X291" si="383">ROUND(U280*4.5%,-1)</f>
        <v>99770</v>
      </c>
      <c r="Y280" s="225">
        <f t="shared" ref="Y280:Y343" si="384">ROUNDUP((U280-L280)*3.23%,-1)</f>
        <v>71610</v>
      </c>
      <c r="Z280" s="225">
        <f t="shared" ref="Z280:Z343" si="385">ROUNDUP(Y280*8.51%,-1)</f>
        <v>6100</v>
      </c>
      <c r="AA280" s="225">
        <f t="shared" ref="AA280:AA291" si="386">ROUND(U280*0.9%,-1)</f>
        <v>19950</v>
      </c>
      <c r="AB280" s="225">
        <f t="shared" ref="AB280:AB291" si="387">ROUND(U280*0.8%,-1)</f>
        <v>17740</v>
      </c>
      <c r="AC280" s="252">
        <f t="shared" ref="AC280:AC291" si="388">SUM(W280:AB280)</f>
        <v>399920</v>
      </c>
    </row>
    <row r="281" spans="1:29" s="204" customFormat="1" ht="16.5" hidden="1" customHeight="1">
      <c r="A281" s="319"/>
      <c r="B281" s="211"/>
      <c r="C281" s="212"/>
      <c r="D281" s="212"/>
      <c r="E281" s="219" t="s">
        <v>390</v>
      </c>
      <c r="F281" s="221">
        <f>F280</f>
        <v>2197000</v>
      </c>
      <c r="G281" s="221"/>
      <c r="H281" s="221"/>
      <c r="I281" s="222"/>
      <c r="J281" s="221"/>
      <c r="K281" s="221"/>
      <c r="L281" s="221"/>
      <c r="M281" s="221">
        <f>F281*60%</f>
        <v>1318200</v>
      </c>
      <c r="N281" s="221"/>
      <c r="O281" s="221">
        <v>20000</v>
      </c>
      <c r="P281" s="221"/>
      <c r="Q281" s="221">
        <f t="shared" ref="Q281:Q291" si="389">ROUND((F280+T280)*1/209*1.5,-1)</f>
        <v>15770</v>
      </c>
      <c r="R281" s="221">
        <f>Q281*16</f>
        <v>252320</v>
      </c>
      <c r="S281" s="221">
        <f>Q281*5</f>
        <v>78850</v>
      </c>
      <c r="T281" s="222"/>
      <c r="U281" s="214">
        <f t="shared" si="382"/>
        <v>3866370</v>
      </c>
      <c r="V281" s="250"/>
      <c r="W281" s="224">
        <f>ROUNDUP((T281+U281)*1/12,-1)</f>
        <v>322200</v>
      </c>
      <c r="X281" s="225">
        <f t="shared" si="383"/>
        <v>173990</v>
      </c>
      <c r="Y281" s="225">
        <f t="shared" si="384"/>
        <v>124890</v>
      </c>
      <c r="Z281" s="225">
        <f t="shared" si="385"/>
        <v>10630</v>
      </c>
      <c r="AA281" s="225">
        <f t="shared" si="386"/>
        <v>34800</v>
      </c>
      <c r="AB281" s="225">
        <f t="shared" si="387"/>
        <v>30930</v>
      </c>
      <c r="AC281" s="252">
        <f t="shared" si="388"/>
        <v>697440</v>
      </c>
    </row>
    <row r="282" spans="1:29" s="204" customFormat="1" ht="16.5" hidden="1" customHeight="1">
      <c r="A282" s="319"/>
      <c r="B282" s="211"/>
      <c r="C282" s="212"/>
      <c r="D282" s="212"/>
      <c r="E282" s="219" t="s">
        <v>391</v>
      </c>
      <c r="F282" s="221">
        <f>F281</f>
        <v>2197000</v>
      </c>
      <c r="G282" s="221"/>
      <c r="H282" s="221"/>
      <c r="I282" s="222"/>
      <c r="J282" s="221"/>
      <c r="K282" s="221"/>
      <c r="L282" s="221"/>
      <c r="M282" s="221"/>
      <c r="N282" s="221"/>
      <c r="O282" s="221">
        <v>20000</v>
      </c>
      <c r="P282" s="221"/>
      <c r="Q282" s="221">
        <f t="shared" si="389"/>
        <v>15770</v>
      </c>
      <c r="R282" s="221">
        <f t="shared" ref="R282:R290" si="390">Q282*16</f>
        <v>252320</v>
      </c>
      <c r="S282" s="221">
        <f t="shared" ref="S282:S290" si="391">Q282*5</f>
        <v>78850</v>
      </c>
      <c r="T282" s="222"/>
      <c r="U282" s="214">
        <f t="shared" si="382"/>
        <v>2548170</v>
      </c>
      <c r="V282" s="250"/>
      <c r="W282" s="224">
        <f t="shared" ref="W282:W291" si="392">ROUNDUP(U282*1/12,-1)</f>
        <v>212350</v>
      </c>
      <c r="X282" s="225">
        <f t="shared" si="383"/>
        <v>114670</v>
      </c>
      <c r="Y282" s="225">
        <f t="shared" si="384"/>
        <v>82310</v>
      </c>
      <c r="Z282" s="225">
        <f t="shared" si="385"/>
        <v>7010</v>
      </c>
      <c r="AA282" s="225">
        <f t="shared" si="386"/>
        <v>22930</v>
      </c>
      <c r="AB282" s="225">
        <f t="shared" si="387"/>
        <v>20390</v>
      </c>
      <c r="AC282" s="252">
        <f t="shared" si="388"/>
        <v>459660</v>
      </c>
    </row>
    <row r="283" spans="1:29" s="204" customFormat="1" ht="16.5" hidden="1" customHeight="1">
      <c r="A283" s="319"/>
      <c r="B283" s="211"/>
      <c r="C283" s="310">
        <f>C280+1</f>
        <v>9</v>
      </c>
      <c r="D283" s="310"/>
      <c r="E283" s="311" t="s">
        <v>392</v>
      </c>
      <c r="F283" s="312">
        <v>2259000</v>
      </c>
      <c r="G283" s="221"/>
      <c r="H283" s="221"/>
      <c r="I283" s="222"/>
      <c r="J283" s="221"/>
      <c r="K283" s="221"/>
      <c r="L283" s="221"/>
      <c r="M283" s="221"/>
      <c r="N283" s="221"/>
      <c r="O283" s="221">
        <v>20000</v>
      </c>
      <c r="P283" s="221"/>
      <c r="Q283" s="221">
        <f t="shared" si="389"/>
        <v>15770</v>
      </c>
      <c r="R283" s="221">
        <f t="shared" si="390"/>
        <v>252320</v>
      </c>
      <c r="S283" s="221">
        <f t="shared" si="391"/>
        <v>78850</v>
      </c>
      <c r="T283" s="222"/>
      <c r="U283" s="214">
        <f t="shared" si="382"/>
        <v>2610170</v>
      </c>
      <c r="V283" s="250"/>
      <c r="W283" s="224">
        <f t="shared" si="392"/>
        <v>217520</v>
      </c>
      <c r="X283" s="225">
        <f t="shared" si="383"/>
        <v>117460</v>
      </c>
      <c r="Y283" s="225">
        <f t="shared" si="384"/>
        <v>84310</v>
      </c>
      <c r="Z283" s="225">
        <f t="shared" si="385"/>
        <v>7180</v>
      </c>
      <c r="AA283" s="225">
        <f t="shared" si="386"/>
        <v>23490</v>
      </c>
      <c r="AB283" s="225">
        <f t="shared" si="387"/>
        <v>20880</v>
      </c>
      <c r="AC283" s="252">
        <f t="shared" si="388"/>
        <v>470840</v>
      </c>
    </row>
    <row r="284" spans="1:29" s="204" customFormat="1" ht="16.5" hidden="1" customHeight="1">
      <c r="A284" s="319"/>
      <c r="B284" s="211"/>
      <c r="C284" s="212"/>
      <c r="D284" s="212"/>
      <c r="E284" s="219" t="s">
        <v>393</v>
      </c>
      <c r="F284" s="221">
        <f t="shared" ref="F284:F291" si="393">F283</f>
        <v>2259000</v>
      </c>
      <c r="G284" s="221"/>
      <c r="H284" s="221"/>
      <c r="I284" s="222"/>
      <c r="J284" s="221"/>
      <c r="K284" s="221"/>
      <c r="L284" s="221"/>
      <c r="M284" s="221"/>
      <c r="N284" s="221"/>
      <c r="O284" s="221">
        <f>O283</f>
        <v>20000</v>
      </c>
      <c r="P284" s="221"/>
      <c r="Q284" s="221">
        <f t="shared" si="389"/>
        <v>16210</v>
      </c>
      <c r="R284" s="221">
        <f t="shared" si="390"/>
        <v>259360</v>
      </c>
      <c r="S284" s="221">
        <f t="shared" si="391"/>
        <v>81050</v>
      </c>
      <c r="T284" s="222"/>
      <c r="U284" s="214">
        <f t="shared" si="382"/>
        <v>2619410</v>
      </c>
      <c r="V284" s="250"/>
      <c r="W284" s="224">
        <f t="shared" si="392"/>
        <v>218290</v>
      </c>
      <c r="X284" s="225">
        <f t="shared" si="383"/>
        <v>117870</v>
      </c>
      <c r="Y284" s="225">
        <f t="shared" si="384"/>
        <v>84610</v>
      </c>
      <c r="Z284" s="225">
        <f t="shared" si="385"/>
        <v>7210</v>
      </c>
      <c r="AA284" s="225">
        <f t="shared" si="386"/>
        <v>23570</v>
      </c>
      <c r="AB284" s="225">
        <f t="shared" si="387"/>
        <v>20960</v>
      </c>
      <c r="AC284" s="252">
        <f t="shared" si="388"/>
        <v>472510</v>
      </c>
    </row>
    <row r="285" spans="1:29" s="204" customFormat="1" ht="16.5" hidden="1" customHeight="1">
      <c r="A285" s="319"/>
      <c r="B285" s="211"/>
      <c r="C285" s="212"/>
      <c r="D285" s="212"/>
      <c r="E285" s="219" t="s">
        <v>394</v>
      </c>
      <c r="F285" s="221">
        <f t="shared" si="393"/>
        <v>2259000</v>
      </c>
      <c r="G285" s="221"/>
      <c r="H285" s="221"/>
      <c r="I285" s="222"/>
      <c r="J285" s="221"/>
      <c r="K285" s="221"/>
      <c r="L285" s="221"/>
      <c r="M285" s="221"/>
      <c r="N285" s="221"/>
      <c r="O285" s="221">
        <f t="shared" ref="O285:O291" si="394">O284</f>
        <v>20000</v>
      </c>
      <c r="P285" s="221"/>
      <c r="Q285" s="221">
        <f t="shared" si="389"/>
        <v>16210</v>
      </c>
      <c r="R285" s="221">
        <f t="shared" si="390"/>
        <v>259360</v>
      </c>
      <c r="S285" s="221">
        <f t="shared" si="391"/>
        <v>81050</v>
      </c>
      <c r="T285" s="222"/>
      <c r="U285" s="214">
        <f t="shared" si="382"/>
        <v>2619410</v>
      </c>
      <c r="V285" s="250"/>
      <c r="W285" s="224">
        <f t="shared" si="392"/>
        <v>218290</v>
      </c>
      <c r="X285" s="225">
        <f t="shared" si="383"/>
        <v>117870</v>
      </c>
      <c r="Y285" s="225">
        <f t="shared" si="384"/>
        <v>84610</v>
      </c>
      <c r="Z285" s="225">
        <f t="shared" si="385"/>
        <v>7210</v>
      </c>
      <c r="AA285" s="225">
        <f t="shared" si="386"/>
        <v>23570</v>
      </c>
      <c r="AB285" s="225">
        <f t="shared" si="387"/>
        <v>20960</v>
      </c>
      <c r="AC285" s="252">
        <f t="shared" si="388"/>
        <v>472510</v>
      </c>
    </row>
    <row r="286" spans="1:29" s="204" customFormat="1" ht="16.5" hidden="1" customHeight="1">
      <c r="A286" s="319"/>
      <c r="B286" s="211"/>
      <c r="C286" s="212"/>
      <c r="D286" s="212"/>
      <c r="E286" s="219" t="s">
        <v>279</v>
      </c>
      <c r="F286" s="221">
        <f t="shared" si="393"/>
        <v>2259000</v>
      </c>
      <c r="G286" s="221"/>
      <c r="H286" s="220"/>
      <c r="I286" s="222"/>
      <c r="J286" s="221"/>
      <c r="K286" s="221"/>
      <c r="L286" s="221"/>
      <c r="M286" s="221"/>
      <c r="N286" s="221"/>
      <c r="O286" s="221">
        <f t="shared" si="394"/>
        <v>20000</v>
      </c>
      <c r="P286" s="221"/>
      <c r="Q286" s="221">
        <f t="shared" si="389"/>
        <v>16210</v>
      </c>
      <c r="R286" s="221">
        <f t="shared" si="390"/>
        <v>259360</v>
      </c>
      <c r="S286" s="221">
        <f t="shared" si="391"/>
        <v>81050</v>
      </c>
      <c r="T286" s="222"/>
      <c r="U286" s="214">
        <f t="shared" si="382"/>
        <v>2619410</v>
      </c>
      <c r="V286" s="250"/>
      <c r="W286" s="224">
        <f t="shared" si="392"/>
        <v>218290</v>
      </c>
      <c r="X286" s="225">
        <f t="shared" si="383"/>
        <v>117870</v>
      </c>
      <c r="Y286" s="225">
        <f t="shared" si="384"/>
        <v>84610</v>
      </c>
      <c r="Z286" s="225">
        <f t="shared" si="385"/>
        <v>7210</v>
      </c>
      <c r="AA286" s="225">
        <f t="shared" si="386"/>
        <v>23570</v>
      </c>
      <c r="AB286" s="225">
        <f t="shared" si="387"/>
        <v>20960</v>
      </c>
      <c r="AC286" s="252">
        <f t="shared" si="388"/>
        <v>472510</v>
      </c>
    </row>
    <row r="287" spans="1:29" s="204" customFormat="1" ht="16.5" hidden="1" customHeight="1">
      <c r="A287" s="319"/>
      <c r="B287" s="211"/>
      <c r="C287" s="212"/>
      <c r="D287" s="212"/>
      <c r="E287" s="219" t="s">
        <v>280</v>
      </c>
      <c r="F287" s="221">
        <f t="shared" si="393"/>
        <v>2259000</v>
      </c>
      <c r="G287" s="221"/>
      <c r="H287" s="221"/>
      <c r="I287" s="222"/>
      <c r="J287" s="221"/>
      <c r="K287" s="221"/>
      <c r="L287" s="221"/>
      <c r="M287" s="221"/>
      <c r="N287" s="221"/>
      <c r="O287" s="221">
        <f t="shared" si="394"/>
        <v>20000</v>
      </c>
      <c r="P287" s="221"/>
      <c r="Q287" s="221">
        <f t="shared" si="389"/>
        <v>16210</v>
      </c>
      <c r="R287" s="221">
        <f t="shared" si="390"/>
        <v>259360</v>
      </c>
      <c r="S287" s="221">
        <f t="shared" si="391"/>
        <v>81050</v>
      </c>
      <c r="T287" s="222"/>
      <c r="U287" s="214">
        <f t="shared" si="382"/>
        <v>2619410</v>
      </c>
      <c r="V287" s="250"/>
      <c r="W287" s="224">
        <f t="shared" si="392"/>
        <v>218290</v>
      </c>
      <c r="X287" s="225">
        <f t="shared" si="383"/>
        <v>117870</v>
      </c>
      <c r="Y287" s="225">
        <f t="shared" si="384"/>
        <v>84610</v>
      </c>
      <c r="Z287" s="225">
        <f t="shared" si="385"/>
        <v>7210</v>
      </c>
      <c r="AA287" s="225">
        <f t="shared" si="386"/>
        <v>23570</v>
      </c>
      <c r="AB287" s="225">
        <f t="shared" si="387"/>
        <v>20960</v>
      </c>
      <c r="AC287" s="252">
        <f t="shared" si="388"/>
        <v>472510</v>
      </c>
    </row>
    <row r="288" spans="1:29" s="204" customFormat="1" ht="16.5" hidden="1" customHeight="1">
      <c r="A288" s="319"/>
      <c r="B288" s="211"/>
      <c r="C288" s="212"/>
      <c r="D288" s="212"/>
      <c r="E288" s="219" t="s">
        <v>54</v>
      </c>
      <c r="F288" s="221">
        <f t="shared" si="393"/>
        <v>2259000</v>
      </c>
      <c r="G288" s="221"/>
      <c r="H288" s="221"/>
      <c r="I288" s="222"/>
      <c r="J288" s="221"/>
      <c r="K288" s="221"/>
      <c r="L288" s="221"/>
      <c r="M288" s="221">
        <f t="shared" ref="M288" si="395">F288*60%</f>
        <v>1355400</v>
      </c>
      <c r="N288" s="221"/>
      <c r="O288" s="221">
        <f t="shared" si="394"/>
        <v>20000</v>
      </c>
      <c r="P288" s="221"/>
      <c r="Q288" s="221">
        <f t="shared" si="389"/>
        <v>16210</v>
      </c>
      <c r="R288" s="221">
        <f t="shared" si="390"/>
        <v>259360</v>
      </c>
      <c r="S288" s="221">
        <f t="shared" si="391"/>
        <v>81050</v>
      </c>
      <c r="T288" s="222"/>
      <c r="U288" s="214">
        <f t="shared" si="382"/>
        <v>3974810</v>
      </c>
      <c r="V288" s="250"/>
      <c r="W288" s="224">
        <f t="shared" si="392"/>
        <v>331240</v>
      </c>
      <c r="X288" s="225">
        <f t="shared" si="383"/>
        <v>178870</v>
      </c>
      <c r="Y288" s="225">
        <f t="shared" si="384"/>
        <v>128390</v>
      </c>
      <c r="Z288" s="225">
        <f t="shared" si="385"/>
        <v>10930</v>
      </c>
      <c r="AA288" s="225">
        <f t="shared" si="386"/>
        <v>35770</v>
      </c>
      <c r="AB288" s="225">
        <f t="shared" si="387"/>
        <v>31800</v>
      </c>
      <c r="AC288" s="252">
        <f t="shared" si="388"/>
        <v>717000</v>
      </c>
    </row>
    <row r="289" spans="1:29" s="204" customFormat="1" ht="16.5" hidden="1" customHeight="1">
      <c r="A289" s="319"/>
      <c r="B289" s="211"/>
      <c r="C289" s="212"/>
      <c r="D289" s="212"/>
      <c r="E289" s="219" t="s">
        <v>55</v>
      </c>
      <c r="F289" s="221">
        <f t="shared" si="393"/>
        <v>2259000</v>
      </c>
      <c r="G289" s="221"/>
      <c r="H289" s="221"/>
      <c r="I289" s="222"/>
      <c r="J289" s="221"/>
      <c r="K289" s="221"/>
      <c r="L289" s="221"/>
      <c r="M289" s="221"/>
      <c r="N289" s="221"/>
      <c r="O289" s="221">
        <f t="shared" si="394"/>
        <v>20000</v>
      </c>
      <c r="P289" s="221"/>
      <c r="Q289" s="221">
        <f t="shared" si="389"/>
        <v>16210</v>
      </c>
      <c r="R289" s="221">
        <f t="shared" si="390"/>
        <v>259360</v>
      </c>
      <c r="S289" s="221">
        <f t="shared" si="391"/>
        <v>81050</v>
      </c>
      <c r="T289" s="222"/>
      <c r="U289" s="214">
        <f t="shared" si="382"/>
        <v>2619410</v>
      </c>
      <c r="V289" s="250"/>
      <c r="W289" s="224">
        <f t="shared" si="392"/>
        <v>218290</v>
      </c>
      <c r="X289" s="225">
        <f t="shared" si="383"/>
        <v>117870</v>
      </c>
      <c r="Y289" s="225">
        <f t="shared" si="384"/>
        <v>84610</v>
      </c>
      <c r="Z289" s="225">
        <f t="shared" si="385"/>
        <v>7210</v>
      </c>
      <c r="AA289" s="225">
        <f t="shared" si="386"/>
        <v>23570</v>
      </c>
      <c r="AB289" s="225">
        <f t="shared" si="387"/>
        <v>20960</v>
      </c>
      <c r="AC289" s="252">
        <f t="shared" si="388"/>
        <v>472510</v>
      </c>
    </row>
    <row r="290" spans="1:29" s="204" customFormat="1" ht="16.5" hidden="1" customHeight="1">
      <c r="A290" s="319"/>
      <c r="B290" s="211"/>
      <c r="C290" s="212"/>
      <c r="D290" s="212"/>
      <c r="E290" s="219" t="s">
        <v>56</v>
      </c>
      <c r="F290" s="221">
        <f t="shared" si="393"/>
        <v>2259000</v>
      </c>
      <c r="G290" s="221"/>
      <c r="H290" s="221"/>
      <c r="I290" s="222"/>
      <c r="J290" s="221"/>
      <c r="K290" s="221"/>
      <c r="L290" s="221"/>
      <c r="M290" s="221"/>
      <c r="N290" s="221"/>
      <c r="O290" s="221">
        <f t="shared" si="394"/>
        <v>20000</v>
      </c>
      <c r="P290" s="221"/>
      <c r="Q290" s="221">
        <f t="shared" si="389"/>
        <v>16210</v>
      </c>
      <c r="R290" s="221">
        <f t="shared" si="390"/>
        <v>259360</v>
      </c>
      <c r="S290" s="221">
        <f t="shared" si="391"/>
        <v>81050</v>
      </c>
      <c r="T290" s="222"/>
      <c r="U290" s="214">
        <f t="shared" si="382"/>
        <v>2619410</v>
      </c>
      <c r="V290" s="250"/>
      <c r="W290" s="224">
        <f t="shared" si="392"/>
        <v>218290</v>
      </c>
      <c r="X290" s="225">
        <f t="shared" si="383"/>
        <v>117870</v>
      </c>
      <c r="Y290" s="225">
        <f t="shared" si="384"/>
        <v>84610</v>
      </c>
      <c r="Z290" s="225">
        <f t="shared" si="385"/>
        <v>7210</v>
      </c>
      <c r="AA290" s="225">
        <f t="shared" si="386"/>
        <v>23570</v>
      </c>
      <c r="AB290" s="225">
        <f t="shared" si="387"/>
        <v>20960</v>
      </c>
      <c r="AC290" s="252">
        <f t="shared" si="388"/>
        <v>472510</v>
      </c>
    </row>
    <row r="291" spans="1:29" s="204" customFormat="1" ht="16.5" hidden="1" customHeight="1">
      <c r="A291" s="319"/>
      <c r="B291" s="211"/>
      <c r="C291" s="212"/>
      <c r="D291" s="212"/>
      <c r="E291" s="219" t="s">
        <v>395</v>
      </c>
      <c r="F291" s="221">
        <f t="shared" si="393"/>
        <v>2259000</v>
      </c>
      <c r="G291" s="221"/>
      <c r="H291" s="221"/>
      <c r="I291" s="222"/>
      <c r="J291" s="221"/>
      <c r="K291" s="221"/>
      <c r="L291" s="221"/>
      <c r="M291" s="221"/>
      <c r="N291" s="221"/>
      <c r="O291" s="221">
        <f t="shared" si="394"/>
        <v>20000</v>
      </c>
      <c r="P291" s="221"/>
      <c r="Q291" s="221">
        <f t="shared" si="389"/>
        <v>16210</v>
      </c>
      <c r="R291" s="221">
        <f>Q291*16*2</f>
        <v>518720</v>
      </c>
      <c r="S291" s="221">
        <f>(Q291*5)*2</f>
        <v>162100</v>
      </c>
      <c r="T291" s="222"/>
      <c r="U291" s="214">
        <f t="shared" si="382"/>
        <v>2959820</v>
      </c>
      <c r="V291" s="250"/>
      <c r="W291" s="224">
        <f t="shared" si="392"/>
        <v>246660</v>
      </c>
      <c r="X291" s="225">
        <f t="shared" si="383"/>
        <v>133190</v>
      </c>
      <c r="Y291" s="225">
        <f t="shared" si="384"/>
        <v>95610</v>
      </c>
      <c r="Z291" s="225">
        <f t="shared" si="385"/>
        <v>8140</v>
      </c>
      <c r="AA291" s="225">
        <f t="shared" si="386"/>
        <v>26640</v>
      </c>
      <c r="AB291" s="225">
        <f t="shared" si="387"/>
        <v>23680</v>
      </c>
      <c r="AC291" s="252">
        <f t="shared" si="388"/>
        <v>533920</v>
      </c>
    </row>
    <row r="292" spans="1:29" s="204" customFormat="1" ht="16.5" hidden="1" customHeight="1">
      <c r="A292" s="319">
        <v>23</v>
      </c>
      <c r="B292" s="211" t="s">
        <v>87</v>
      </c>
      <c r="C292" s="212" t="s">
        <v>609</v>
      </c>
      <c r="D292" s="212">
        <v>1</v>
      </c>
      <c r="E292" s="213" t="s">
        <v>86</v>
      </c>
      <c r="F292" s="214">
        <f t="shared" ref="F292:N292" si="396">SUM(F293:F304)</f>
        <v>28944000</v>
      </c>
      <c r="G292" s="214">
        <f t="shared" si="396"/>
        <v>0</v>
      </c>
      <c r="H292" s="214">
        <f t="shared" si="396"/>
        <v>0</v>
      </c>
      <c r="I292" s="214">
        <f t="shared" si="396"/>
        <v>0</v>
      </c>
      <c r="J292" s="214">
        <f t="shared" si="396"/>
        <v>0</v>
      </c>
      <c r="K292" s="214">
        <f t="shared" si="396"/>
        <v>0</v>
      </c>
      <c r="L292" s="214">
        <f t="shared" si="396"/>
        <v>0</v>
      </c>
      <c r="M292" s="214">
        <f t="shared" si="396"/>
        <v>2894400</v>
      </c>
      <c r="N292" s="214">
        <f t="shared" si="396"/>
        <v>0</v>
      </c>
      <c r="O292" s="214">
        <f>SUM(O293:O304)</f>
        <v>240000</v>
      </c>
      <c r="P292" s="214">
        <f t="shared" ref="P292" si="397">SUM(P293:P304)</f>
        <v>0</v>
      </c>
      <c r="Q292" s="214"/>
      <c r="R292" s="214">
        <f t="shared" ref="R292:R318" si="398">SUM(R293:R304)</f>
        <v>8308800</v>
      </c>
      <c r="S292" s="214">
        <f>SUM(S293:S304)</f>
        <v>0</v>
      </c>
      <c r="T292" s="214">
        <f t="shared" ref="T292:U292" si="399">SUM(T293:T304)</f>
        <v>0</v>
      </c>
      <c r="U292" s="214">
        <f t="shared" si="399"/>
        <v>40387200</v>
      </c>
      <c r="V292" s="250"/>
      <c r="W292" s="217">
        <f t="shared" ref="W292:AB292" si="400">SUM(W293:W304)</f>
        <v>3365640</v>
      </c>
      <c r="X292" s="214">
        <f t="shared" si="400"/>
        <v>1817390</v>
      </c>
      <c r="Y292" s="214">
        <f t="shared" si="400"/>
        <v>1304550</v>
      </c>
      <c r="Z292" s="214">
        <f t="shared" si="400"/>
        <v>111100</v>
      </c>
      <c r="AA292" s="214">
        <f t="shared" si="400"/>
        <v>363480</v>
      </c>
      <c r="AB292" s="214">
        <f t="shared" si="400"/>
        <v>323110</v>
      </c>
      <c r="AC292" s="266">
        <f>SUM(AC293:AC304)</f>
        <v>7285270</v>
      </c>
    </row>
    <row r="293" spans="1:29" s="204" customFormat="1" ht="16.5" hidden="1" customHeight="1">
      <c r="A293" s="319"/>
      <c r="B293" s="211" t="s">
        <v>396</v>
      </c>
      <c r="C293" s="310">
        <v>11</v>
      </c>
      <c r="D293" s="310"/>
      <c r="E293" s="311" t="s">
        <v>389</v>
      </c>
      <c r="F293" s="312">
        <v>2380000</v>
      </c>
      <c r="G293" s="221"/>
      <c r="H293" s="220"/>
      <c r="I293" s="222"/>
      <c r="J293" s="221"/>
      <c r="K293" s="221"/>
      <c r="L293" s="221"/>
      <c r="M293" s="221" t="s">
        <v>60</v>
      </c>
      <c r="N293" s="221"/>
      <c r="O293" s="221">
        <v>20000</v>
      </c>
      <c r="P293" s="221"/>
      <c r="Q293" s="221"/>
      <c r="R293" s="221"/>
      <c r="S293" s="221"/>
      <c r="T293" s="222"/>
      <c r="U293" s="214">
        <f t="shared" ref="U293:U304" si="401">SUM(F293,M293,O293,R293,T293,S293)</f>
        <v>2400000</v>
      </c>
      <c r="V293" s="250"/>
      <c r="W293" s="224">
        <f>ROUNDUP(U293*1/12,-1)</f>
        <v>200000</v>
      </c>
      <c r="X293" s="225">
        <f t="shared" ref="X293:X304" si="402">ROUND(U293*4.5%,-1)</f>
        <v>108000</v>
      </c>
      <c r="Y293" s="225">
        <f t="shared" ref="Y293" si="403">ROUNDUP((U293-L293)*3.23%,-1)</f>
        <v>77520</v>
      </c>
      <c r="Z293" s="225">
        <f t="shared" ref="Z293" si="404">ROUNDUP(Y293*8.51%,-1)</f>
        <v>6600</v>
      </c>
      <c r="AA293" s="225">
        <f t="shared" ref="AA293:AA304" si="405">ROUND(U293*0.9%,-1)</f>
        <v>21600</v>
      </c>
      <c r="AB293" s="225">
        <f t="shared" ref="AB293:AB304" si="406">ROUND(U293*0.8%,-1)</f>
        <v>19200</v>
      </c>
      <c r="AC293" s="252">
        <f t="shared" ref="AC293:AC304" si="407">SUM(W293:AB293)</f>
        <v>432920</v>
      </c>
    </row>
    <row r="294" spans="1:29" s="204" customFormat="1" ht="16.5" hidden="1" customHeight="1">
      <c r="A294" s="319"/>
      <c r="B294" s="211"/>
      <c r="C294" s="212"/>
      <c r="D294" s="212"/>
      <c r="E294" s="219" t="s">
        <v>390</v>
      </c>
      <c r="F294" s="221">
        <f>F293</f>
        <v>2380000</v>
      </c>
      <c r="G294" s="221"/>
      <c r="H294" s="221"/>
      <c r="I294" s="222"/>
      <c r="J294" s="221"/>
      <c r="K294" s="221"/>
      <c r="L294" s="221"/>
      <c r="M294" s="221">
        <f>F294*60%</f>
        <v>1428000</v>
      </c>
      <c r="N294" s="221"/>
      <c r="O294" s="221">
        <f>O293</f>
        <v>20000</v>
      </c>
      <c r="P294" s="221"/>
      <c r="Q294" s="221">
        <f t="shared" ref="Q294:Q304" si="408">ROUND((F293+T293)*1/209*1.5,-1)</f>
        <v>17080</v>
      </c>
      <c r="R294" s="221">
        <f>Q294*40</f>
        <v>683200</v>
      </c>
      <c r="S294" s="221"/>
      <c r="T294" s="222"/>
      <c r="U294" s="214">
        <f t="shared" si="401"/>
        <v>4511200</v>
      </c>
      <c r="V294" s="250"/>
      <c r="W294" s="224">
        <f>ROUNDUP((T294+U294)*1/12,-1)</f>
        <v>375940</v>
      </c>
      <c r="X294" s="225">
        <f t="shared" si="402"/>
        <v>203000</v>
      </c>
      <c r="Y294" s="225">
        <f t="shared" si="384"/>
        <v>145720</v>
      </c>
      <c r="Z294" s="225">
        <f t="shared" si="385"/>
        <v>12410</v>
      </c>
      <c r="AA294" s="225">
        <f t="shared" si="405"/>
        <v>40600</v>
      </c>
      <c r="AB294" s="225">
        <f t="shared" si="406"/>
        <v>36090</v>
      </c>
      <c r="AC294" s="252">
        <f t="shared" si="407"/>
        <v>813760</v>
      </c>
    </row>
    <row r="295" spans="1:29" s="204" customFormat="1" ht="16.5" hidden="1" customHeight="1">
      <c r="A295" s="319"/>
      <c r="B295" s="211"/>
      <c r="C295" s="212"/>
      <c r="D295" s="212"/>
      <c r="E295" s="219" t="s">
        <v>391</v>
      </c>
      <c r="F295" s="221">
        <f>F294</f>
        <v>2380000</v>
      </c>
      <c r="G295" s="221"/>
      <c r="H295" s="221"/>
      <c r="I295" s="222"/>
      <c r="J295" s="221"/>
      <c r="K295" s="221"/>
      <c r="L295" s="221"/>
      <c r="M295" s="221"/>
      <c r="N295" s="221"/>
      <c r="O295" s="221">
        <f t="shared" ref="O295:O304" si="409">O294</f>
        <v>20000</v>
      </c>
      <c r="P295" s="221"/>
      <c r="Q295" s="221">
        <f t="shared" si="408"/>
        <v>17080</v>
      </c>
      <c r="R295" s="221">
        <f t="shared" ref="R295:R303" si="410">Q295*40</f>
        <v>683200</v>
      </c>
      <c r="S295" s="221"/>
      <c r="T295" s="222"/>
      <c r="U295" s="214">
        <f t="shared" si="401"/>
        <v>3083200</v>
      </c>
      <c r="V295" s="250"/>
      <c r="W295" s="224">
        <f t="shared" ref="W295:W304" si="411">ROUNDUP(U295*1/12,-1)</f>
        <v>256940</v>
      </c>
      <c r="X295" s="225">
        <f t="shared" si="402"/>
        <v>138740</v>
      </c>
      <c r="Y295" s="225">
        <f t="shared" si="384"/>
        <v>99590</v>
      </c>
      <c r="Z295" s="225">
        <f t="shared" si="385"/>
        <v>8480</v>
      </c>
      <c r="AA295" s="225">
        <f t="shared" si="405"/>
        <v>27750</v>
      </c>
      <c r="AB295" s="225">
        <f t="shared" si="406"/>
        <v>24670</v>
      </c>
      <c r="AC295" s="252">
        <f t="shared" si="407"/>
        <v>556170</v>
      </c>
    </row>
    <row r="296" spans="1:29" s="204" customFormat="1" ht="16.5" hidden="1" customHeight="1">
      <c r="A296" s="319"/>
      <c r="B296" s="211"/>
      <c r="C296" s="212"/>
      <c r="D296" s="212"/>
      <c r="E296" s="219" t="s">
        <v>392</v>
      </c>
      <c r="F296" s="221">
        <f>F295</f>
        <v>2380000</v>
      </c>
      <c r="G296" s="221"/>
      <c r="H296" s="221"/>
      <c r="I296" s="222"/>
      <c r="J296" s="221"/>
      <c r="K296" s="221"/>
      <c r="L296" s="221"/>
      <c r="M296" s="221"/>
      <c r="N296" s="221"/>
      <c r="O296" s="221">
        <f t="shared" si="409"/>
        <v>20000</v>
      </c>
      <c r="P296" s="221"/>
      <c r="Q296" s="221">
        <f t="shared" si="408"/>
        <v>17080</v>
      </c>
      <c r="R296" s="221">
        <f t="shared" si="410"/>
        <v>683200</v>
      </c>
      <c r="S296" s="221"/>
      <c r="T296" s="222"/>
      <c r="U296" s="214">
        <f t="shared" si="401"/>
        <v>3083200</v>
      </c>
      <c r="V296" s="250"/>
      <c r="W296" s="224">
        <f t="shared" si="411"/>
        <v>256940</v>
      </c>
      <c r="X296" s="225">
        <f t="shared" si="402"/>
        <v>138740</v>
      </c>
      <c r="Y296" s="225">
        <f t="shared" si="384"/>
        <v>99590</v>
      </c>
      <c r="Z296" s="225">
        <f t="shared" si="385"/>
        <v>8480</v>
      </c>
      <c r="AA296" s="225">
        <f t="shared" si="405"/>
        <v>27750</v>
      </c>
      <c r="AB296" s="225">
        <f t="shared" si="406"/>
        <v>24670</v>
      </c>
      <c r="AC296" s="252">
        <f t="shared" si="407"/>
        <v>556170</v>
      </c>
    </row>
    <row r="297" spans="1:29" s="204" customFormat="1" ht="16.5" hidden="1" customHeight="1">
      <c r="A297" s="319"/>
      <c r="B297" s="211"/>
      <c r="C297" s="212"/>
      <c r="D297" s="212"/>
      <c r="E297" s="219" t="s">
        <v>393</v>
      </c>
      <c r="F297" s="221">
        <f>F296</f>
        <v>2380000</v>
      </c>
      <c r="G297" s="221"/>
      <c r="H297" s="221"/>
      <c r="I297" s="222"/>
      <c r="J297" s="221"/>
      <c r="K297" s="221"/>
      <c r="L297" s="221"/>
      <c r="M297" s="221"/>
      <c r="N297" s="221"/>
      <c r="O297" s="221">
        <f t="shared" si="409"/>
        <v>20000</v>
      </c>
      <c r="P297" s="221"/>
      <c r="Q297" s="221">
        <f t="shared" si="408"/>
        <v>17080</v>
      </c>
      <c r="R297" s="221">
        <f t="shared" si="410"/>
        <v>683200</v>
      </c>
      <c r="S297" s="221"/>
      <c r="T297" s="222"/>
      <c r="U297" s="214">
        <f t="shared" si="401"/>
        <v>3083200</v>
      </c>
      <c r="V297" s="250"/>
      <c r="W297" s="224">
        <f t="shared" si="411"/>
        <v>256940</v>
      </c>
      <c r="X297" s="225">
        <f t="shared" si="402"/>
        <v>138740</v>
      </c>
      <c r="Y297" s="225">
        <f t="shared" si="384"/>
        <v>99590</v>
      </c>
      <c r="Z297" s="225">
        <f t="shared" si="385"/>
        <v>8480</v>
      </c>
      <c r="AA297" s="225">
        <f t="shared" si="405"/>
        <v>27750</v>
      </c>
      <c r="AB297" s="225">
        <f t="shared" si="406"/>
        <v>24670</v>
      </c>
      <c r="AC297" s="252">
        <f t="shared" si="407"/>
        <v>556170</v>
      </c>
    </row>
    <row r="298" spans="1:29" s="204" customFormat="1" ht="16.5" hidden="1" customHeight="1">
      <c r="A298" s="319"/>
      <c r="B298" s="211"/>
      <c r="C298" s="212"/>
      <c r="D298" s="212"/>
      <c r="E298" s="219" t="s">
        <v>394</v>
      </c>
      <c r="F298" s="221">
        <f>F297</f>
        <v>2380000</v>
      </c>
      <c r="G298" s="221"/>
      <c r="H298" s="221"/>
      <c r="I298" s="222"/>
      <c r="J298" s="221"/>
      <c r="K298" s="221"/>
      <c r="L298" s="221"/>
      <c r="M298" s="221"/>
      <c r="N298" s="221"/>
      <c r="O298" s="221">
        <f t="shared" si="409"/>
        <v>20000</v>
      </c>
      <c r="P298" s="221"/>
      <c r="Q298" s="221">
        <f t="shared" si="408"/>
        <v>17080</v>
      </c>
      <c r="R298" s="221">
        <f t="shared" si="410"/>
        <v>683200</v>
      </c>
      <c r="S298" s="221"/>
      <c r="T298" s="222"/>
      <c r="U298" s="214">
        <f t="shared" si="401"/>
        <v>3083200</v>
      </c>
      <c r="V298" s="250"/>
      <c r="W298" s="224">
        <f t="shared" si="411"/>
        <v>256940</v>
      </c>
      <c r="X298" s="225">
        <f t="shared" si="402"/>
        <v>138740</v>
      </c>
      <c r="Y298" s="225">
        <f t="shared" si="384"/>
        <v>99590</v>
      </c>
      <c r="Z298" s="225">
        <f t="shared" si="385"/>
        <v>8480</v>
      </c>
      <c r="AA298" s="225">
        <f t="shared" si="405"/>
        <v>27750</v>
      </c>
      <c r="AB298" s="225">
        <f t="shared" si="406"/>
        <v>24670</v>
      </c>
      <c r="AC298" s="252">
        <f t="shared" si="407"/>
        <v>556170</v>
      </c>
    </row>
    <row r="299" spans="1:29" s="204" customFormat="1" ht="16.5" hidden="1" customHeight="1">
      <c r="A299" s="319"/>
      <c r="B299" s="211"/>
      <c r="C299" s="310">
        <f>C293+1</f>
        <v>12</v>
      </c>
      <c r="D299" s="310"/>
      <c r="E299" s="311" t="s">
        <v>279</v>
      </c>
      <c r="F299" s="312">
        <v>2444000</v>
      </c>
      <c r="G299" s="221"/>
      <c r="H299" s="220"/>
      <c r="I299" s="222"/>
      <c r="J299" s="221"/>
      <c r="K299" s="221"/>
      <c r="L299" s="221"/>
      <c r="M299" s="221"/>
      <c r="N299" s="221"/>
      <c r="O299" s="221">
        <f t="shared" si="409"/>
        <v>20000</v>
      </c>
      <c r="P299" s="221"/>
      <c r="Q299" s="221">
        <f t="shared" si="408"/>
        <v>17080</v>
      </c>
      <c r="R299" s="221">
        <f t="shared" si="410"/>
        <v>683200</v>
      </c>
      <c r="S299" s="221"/>
      <c r="T299" s="222"/>
      <c r="U299" s="214">
        <f t="shared" si="401"/>
        <v>3147200</v>
      </c>
      <c r="V299" s="250"/>
      <c r="W299" s="224">
        <f t="shared" si="411"/>
        <v>262270</v>
      </c>
      <c r="X299" s="225">
        <f t="shared" si="402"/>
        <v>141620</v>
      </c>
      <c r="Y299" s="225">
        <f t="shared" si="384"/>
        <v>101660</v>
      </c>
      <c r="Z299" s="225">
        <f t="shared" si="385"/>
        <v>8660</v>
      </c>
      <c r="AA299" s="225">
        <f t="shared" si="405"/>
        <v>28320</v>
      </c>
      <c r="AB299" s="225">
        <f t="shared" si="406"/>
        <v>25180</v>
      </c>
      <c r="AC299" s="252">
        <f t="shared" si="407"/>
        <v>567710</v>
      </c>
    </row>
    <row r="300" spans="1:29" s="204" customFormat="1" ht="16.5" hidden="1" customHeight="1">
      <c r="A300" s="319"/>
      <c r="B300" s="211"/>
      <c r="C300" s="212"/>
      <c r="D300" s="212"/>
      <c r="E300" s="219" t="s">
        <v>280</v>
      </c>
      <c r="F300" s="221">
        <f>F299</f>
        <v>2444000</v>
      </c>
      <c r="G300" s="221"/>
      <c r="H300" s="221"/>
      <c r="I300" s="222"/>
      <c r="J300" s="221"/>
      <c r="K300" s="221"/>
      <c r="L300" s="221"/>
      <c r="M300" s="221"/>
      <c r="N300" s="221"/>
      <c r="O300" s="221">
        <f t="shared" si="409"/>
        <v>20000</v>
      </c>
      <c r="P300" s="221"/>
      <c r="Q300" s="221">
        <f t="shared" si="408"/>
        <v>17540</v>
      </c>
      <c r="R300" s="221">
        <f t="shared" si="410"/>
        <v>701600</v>
      </c>
      <c r="S300" s="221"/>
      <c r="T300" s="222"/>
      <c r="U300" s="214">
        <f t="shared" si="401"/>
        <v>3165600</v>
      </c>
      <c r="V300" s="250"/>
      <c r="W300" s="224">
        <f t="shared" si="411"/>
        <v>263800</v>
      </c>
      <c r="X300" s="225">
        <f t="shared" si="402"/>
        <v>142450</v>
      </c>
      <c r="Y300" s="225">
        <f t="shared" si="384"/>
        <v>102250</v>
      </c>
      <c r="Z300" s="225">
        <f t="shared" si="385"/>
        <v>8710</v>
      </c>
      <c r="AA300" s="225">
        <f t="shared" si="405"/>
        <v>28490</v>
      </c>
      <c r="AB300" s="225">
        <f t="shared" si="406"/>
        <v>25320</v>
      </c>
      <c r="AC300" s="252">
        <f t="shared" si="407"/>
        <v>571020</v>
      </c>
    </row>
    <row r="301" spans="1:29" s="204" customFormat="1" ht="16.5" hidden="1" customHeight="1">
      <c r="A301" s="319"/>
      <c r="B301" s="211"/>
      <c r="C301" s="212"/>
      <c r="D301" s="212"/>
      <c r="E301" s="219" t="s">
        <v>54</v>
      </c>
      <c r="F301" s="221">
        <f>F300</f>
        <v>2444000</v>
      </c>
      <c r="G301" s="221"/>
      <c r="H301" s="221"/>
      <c r="I301" s="222"/>
      <c r="J301" s="221"/>
      <c r="K301" s="221"/>
      <c r="L301" s="221"/>
      <c r="M301" s="221">
        <f t="shared" ref="M301" si="412">F301*60%</f>
        <v>1466400</v>
      </c>
      <c r="N301" s="221"/>
      <c r="O301" s="221">
        <f t="shared" si="409"/>
        <v>20000</v>
      </c>
      <c r="P301" s="221"/>
      <c r="Q301" s="221">
        <f t="shared" si="408"/>
        <v>17540</v>
      </c>
      <c r="R301" s="221">
        <f t="shared" si="410"/>
        <v>701600</v>
      </c>
      <c r="S301" s="221"/>
      <c r="T301" s="222"/>
      <c r="U301" s="214">
        <f t="shared" si="401"/>
        <v>4632000</v>
      </c>
      <c r="V301" s="250"/>
      <c r="W301" s="224">
        <f t="shared" si="411"/>
        <v>386000</v>
      </c>
      <c r="X301" s="225">
        <f t="shared" si="402"/>
        <v>208440</v>
      </c>
      <c r="Y301" s="225">
        <f t="shared" si="384"/>
        <v>149620</v>
      </c>
      <c r="Z301" s="225">
        <f t="shared" si="385"/>
        <v>12740</v>
      </c>
      <c r="AA301" s="225">
        <f t="shared" si="405"/>
        <v>41690</v>
      </c>
      <c r="AB301" s="225">
        <f t="shared" si="406"/>
        <v>37060</v>
      </c>
      <c r="AC301" s="252">
        <f t="shared" si="407"/>
        <v>835550</v>
      </c>
    </row>
    <row r="302" spans="1:29" s="204" customFormat="1" ht="16.5" hidden="1" customHeight="1">
      <c r="A302" s="319"/>
      <c r="B302" s="211"/>
      <c r="C302" s="212"/>
      <c r="D302" s="212"/>
      <c r="E302" s="219" t="s">
        <v>55</v>
      </c>
      <c r="F302" s="221">
        <f>F301</f>
        <v>2444000</v>
      </c>
      <c r="G302" s="221"/>
      <c r="H302" s="221"/>
      <c r="I302" s="222"/>
      <c r="J302" s="221"/>
      <c r="K302" s="221"/>
      <c r="L302" s="221"/>
      <c r="M302" s="221"/>
      <c r="N302" s="221"/>
      <c r="O302" s="221">
        <f t="shared" si="409"/>
        <v>20000</v>
      </c>
      <c r="P302" s="221"/>
      <c r="Q302" s="221">
        <f t="shared" si="408"/>
        <v>17540</v>
      </c>
      <c r="R302" s="221">
        <f t="shared" si="410"/>
        <v>701600</v>
      </c>
      <c r="S302" s="221"/>
      <c r="T302" s="222"/>
      <c r="U302" s="214">
        <f t="shared" si="401"/>
        <v>3165600</v>
      </c>
      <c r="V302" s="250"/>
      <c r="W302" s="224">
        <f t="shared" si="411"/>
        <v>263800</v>
      </c>
      <c r="X302" s="225">
        <f t="shared" si="402"/>
        <v>142450</v>
      </c>
      <c r="Y302" s="225">
        <f t="shared" si="384"/>
        <v>102250</v>
      </c>
      <c r="Z302" s="225">
        <f t="shared" si="385"/>
        <v>8710</v>
      </c>
      <c r="AA302" s="225">
        <f t="shared" si="405"/>
        <v>28490</v>
      </c>
      <c r="AB302" s="225">
        <f t="shared" si="406"/>
        <v>25320</v>
      </c>
      <c r="AC302" s="252">
        <f t="shared" si="407"/>
        <v>571020</v>
      </c>
    </row>
    <row r="303" spans="1:29" s="204" customFormat="1" ht="16.5" hidden="1" customHeight="1">
      <c r="A303" s="319"/>
      <c r="B303" s="211"/>
      <c r="C303" s="212"/>
      <c r="D303" s="212"/>
      <c r="E303" s="219" t="s">
        <v>56</v>
      </c>
      <c r="F303" s="221">
        <f>F302</f>
        <v>2444000</v>
      </c>
      <c r="G303" s="221"/>
      <c r="H303" s="221"/>
      <c r="I303" s="222"/>
      <c r="J303" s="221"/>
      <c r="K303" s="221"/>
      <c r="L303" s="221"/>
      <c r="M303" s="221"/>
      <c r="N303" s="221"/>
      <c r="O303" s="221">
        <f t="shared" si="409"/>
        <v>20000</v>
      </c>
      <c r="P303" s="221"/>
      <c r="Q303" s="221">
        <f t="shared" si="408"/>
        <v>17540</v>
      </c>
      <c r="R303" s="221">
        <f t="shared" si="410"/>
        <v>701600</v>
      </c>
      <c r="S303" s="221"/>
      <c r="T303" s="222"/>
      <c r="U303" s="214">
        <f t="shared" si="401"/>
        <v>3165600</v>
      </c>
      <c r="V303" s="250"/>
      <c r="W303" s="224">
        <f t="shared" si="411"/>
        <v>263800</v>
      </c>
      <c r="X303" s="225">
        <f t="shared" si="402"/>
        <v>142450</v>
      </c>
      <c r="Y303" s="225">
        <f t="shared" si="384"/>
        <v>102250</v>
      </c>
      <c r="Z303" s="225">
        <f t="shared" si="385"/>
        <v>8710</v>
      </c>
      <c r="AA303" s="225">
        <f t="shared" si="405"/>
        <v>28490</v>
      </c>
      <c r="AB303" s="225">
        <f t="shared" si="406"/>
        <v>25320</v>
      </c>
      <c r="AC303" s="252">
        <f t="shared" si="407"/>
        <v>571020</v>
      </c>
    </row>
    <row r="304" spans="1:29" s="204" customFormat="1" ht="16.5" hidden="1" customHeight="1">
      <c r="A304" s="319"/>
      <c r="B304" s="211"/>
      <c r="C304" s="212"/>
      <c r="D304" s="212"/>
      <c r="E304" s="219" t="s">
        <v>395</v>
      </c>
      <c r="F304" s="221">
        <f>F303</f>
        <v>2444000</v>
      </c>
      <c r="G304" s="221"/>
      <c r="H304" s="221"/>
      <c r="I304" s="222"/>
      <c r="J304" s="221"/>
      <c r="K304" s="221"/>
      <c r="L304" s="221"/>
      <c r="M304" s="221"/>
      <c r="N304" s="221"/>
      <c r="O304" s="221">
        <f t="shared" si="409"/>
        <v>20000</v>
      </c>
      <c r="P304" s="221"/>
      <c r="Q304" s="221">
        <f t="shared" si="408"/>
        <v>17540</v>
      </c>
      <c r="R304" s="221">
        <f>Q304*40*2</f>
        <v>1403200</v>
      </c>
      <c r="S304" s="221"/>
      <c r="T304" s="222"/>
      <c r="U304" s="214">
        <f t="shared" si="401"/>
        <v>3867200</v>
      </c>
      <c r="V304" s="250"/>
      <c r="W304" s="224">
        <f t="shared" si="411"/>
        <v>322270</v>
      </c>
      <c r="X304" s="225">
        <f t="shared" si="402"/>
        <v>174020</v>
      </c>
      <c r="Y304" s="225">
        <f t="shared" si="384"/>
        <v>124920</v>
      </c>
      <c r="Z304" s="225">
        <f t="shared" si="385"/>
        <v>10640</v>
      </c>
      <c r="AA304" s="225">
        <f t="shared" si="405"/>
        <v>34800</v>
      </c>
      <c r="AB304" s="225">
        <f t="shared" si="406"/>
        <v>30940</v>
      </c>
      <c r="AC304" s="252">
        <f t="shared" si="407"/>
        <v>697590</v>
      </c>
    </row>
    <row r="305" spans="1:29" s="204" customFormat="1" ht="16.5" hidden="1" customHeight="1">
      <c r="A305" s="319">
        <v>24</v>
      </c>
      <c r="B305" s="211" t="s">
        <v>87</v>
      </c>
      <c r="C305" s="212" t="s">
        <v>523</v>
      </c>
      <c r="D305" s="212">
        <v>1</v>
      </c>
      <c r="E305" s="213" t="s">
        <v>86</v>
      </c>
      <c r="F305" s="214">
        <f t="shared" ref="F305:N305" si="413">SUM(F306:F317)</f>
        <v>27708000</v>
      </c>
      <c r="G305" s="214">
        <f t="shared" si="413"/>
        <v>0</v>
      </c>
      <c r="H305" s="214">
        <f t="shared" si="413"/>
        <v>0</v>
      </c>
      <c r="I305" s="214">
        <f t="shared" si="413"/>
        <v>0</v>
      </c>
      <c r="J305" s="214">
        <f t="shared" si="413"/>
        <v>0</v>
      </c>
      <c r="K305" s="214">
        <f t="shared" si="413"/>
        <v>0</v>
      </c>
      <c r="L305" s="214">
        <f t="shared" si="413"/>
        <v>0</v>
      </c>
      <c r="M305" s="214">
        <f t="shared" si="413"/>
        <v>2746800</v>
      </c>
      <c r="N305" s="214">
        <f t="shared" si="413"/>
        <v>0</v>
      </c>
      <c r="O305" s="214">
        <f>SUM(O306:O317)</f>
        <v>720000</v>
      </c>
      <c r="P305" s="214">
        <f t="shared" ref="P305" si="414">SUM(P306:P317)</f>
        <v>0</v>
      </c>
      <c r="Q305" s="214"/>
      <c r="R305" s="214">
        <f t="shared" si="398"/>
        <v>3976400</v>
      </c>
      <c r="S305" s="214">
        <f>SUM(S306:S317)</f>
        <v>994100</v>
      </c>
      <c r="T305" s="214">
        <f t="shared" ref="T305:U305" si="415">SUM(T306:T317)</f>
        <v>0</v>
      </c>
      <c r="U305" s="214">
        <f t="shared" si="415"/>
        <v>36145300</v>
      </c>
      <c r="V305" s="250"/>
      <c r="W305" s="217">
        <f t="shared" ref="W305:AB305" si="416">SUM(W306:W317)</f>
        <v>3012160</v>
      </c>
      <c r="X305" s="214">
        <f t="shared" si="416"/>
        <v>1626580</v>
      </c>
      <c r="Y305" s="214">
        <f t="shared" si="416"/>
        <v>1167540</v>
      </c>
      <c r="Z305" s="214">
        <f t="shared" si="416"/>
        <v>99430</v>
      </c>
      <c r="AA305" s="214">
        <f t="shared" si="416"/>
        <v>325350</v>
      </c>
      <c r="AB305" s="214">
        <f t="shared" si="416"/>
        <v>289160</v>
      </c>
      <c r="AC305" s="266">
        <f>SUM(AC306:AC317)</f>
        <v>6520220</v>
      </c>
    </row>
    <row r="306" spans="1:29" s="204" customFormat="1" ht="16.5" hidden="1" customHeight="1">
      <c r="A306" s="319"/>
      <c r="B306" s="211" t="s">
        <v>446</v>
      </c>
      <c r="C306" s="310">
        <v>9</v>
      </c>
      <c r="D306" s="310"/>
      <c r="E306" s="311" t="s">
        <v>389</v>
      </c>
      <c r="F306" s="312">
        <v>2259000</v>
      </c>
      <c r="G306" s="221"/>
      <c r="H306" s="220"/>
      <c r="I306" s="222"/>
      <c r="J306" s="221"/>
      <c r="K306" s="221"/>
      <c r="L306" s="221"/>
      <c r="M306" s="221" t="s">
        <v>60</v>
      </c>
      <c r="N306" s="221"/>
      <c r="O306" s="221">
        <v>60000</v>
      </c>
      <c r="P306" s="221"/>
      <c r="Q306" s="221"/>
      <c r="R306" s="221"/>
      <c r="S306" s="221"/>
      <c r="T306" s="222"/>
      <c r="U306" s="214">
        <f t="shared" ref="U306:U317" si="417">SUM(F306,M306,O306,R306,T306,S306)</f>
        <v>2319000</v>
      </c>
      <c r="V306" s="250"/>
      <c r="W306" s="224">
        <f>ROUNDUP(U306*1/12,-1)</f>
        <v>193250</v>
      </c>
      <c r="X306" s="225">
        <f t="shared" ref="X306:X317" si="418">ROUND(U306*4.5%,-1)</f>
        <v>104360</v>
      </c>
      <c r="Y306" s="225">
        <f t="shared" ref="Y306" si="419">ROUNDUP((U306-L306)*3.23%,-1)</f>
        <v>74910</v>
      </c>
      <c r="Z306" s="225">
        <f t="shared" ref="Z306" si="420">ROUNDUP(Y306*8.51%,-1)</f>
        <v>6380</v>
      </c>
      <c r="AA306" s="225">
        <f t="shared" ref="AA306:AA317" si="421">ROUND(U306*0.9%,-1)</f>
        <v>20870</v>
      </c>
      <c r="AB306" s="225">
        <f t="shared" ref="AB306:AB317" si="422">ROUND(U306*0.8%,-1)</f>
        <v>18550</v>
      </c>
      <c r="AC306" s="252">
        <f t="shared" ref="AC306:AC317" si="423">SUM(W306:AB306)</f>
        <v>418320</v>
      </c>
    </row>
    <row r="307" spans="1:29" s="204" customFormat="1" ht="16.5" hidden="1" customHeight="1">
      <c r="A307" s="319"/>
      <c r="B307" s="211"/>
      <c r="C307" s="212"/>
      <c r="D307" s="212"/>
      <c r="E307" s="219" t="s">
        <v>390</v>
      </c>
      <c r="F307" s="221">
        <f>F306</f>
        <v>2259000</v>
      </c>
      <c r="G307" s="221"/>
      <c r="H307" s="221"/>
      <c r="I307" s="222"/>
      <c r="J307" s="221"/>
      <c r="K307" s="221"/>
      <c r="L307" s="221"/>
      <c r="M307" s="221">
        <f>F307*60%</f>
        <v>1355400</v>
      </c>
      <c r="N307" s="221"/>
      <c r="O307" s="221">
        <f>O306</f>
        <v>60000</v>
      </c>
      <c r="P307" s="221"/>
      <c r="Q307" s="221">
        <f t="shared" ref="Q307:Q317" si="424">ROUND((F306+T306)*1/209*1.5,-1)</f>
        <v>16210</v>
      </c>
      <c r="R307" s="221">
        <f>Q307*20</f>
        <v>324200</v>
      </c>
      <c r="S307" s="221">
        <f>Q307*5</f>
        <v>81050</v>
      </c>
      <c r="T307" s="222"/>
      <c r="U307" s="214">
        <f t="shared" si="417"/>
        <v>4079650</v>
      </c>
      <c r="V307" s="250"/>
      <c r="W307" s="224">
        <f>ROUNDUP((T307+U307)*1/12,-1)</f>
        <v>339980</v>
      </c>
      <c r="X307" s="225">
        <f t="shared" si="418"/>
        <v>183580</v>
      </c>
      <c r="Y307" s="225">
        <f t="shared" si="384"/>
        <v>131780</v>
      </c>
      <c r="Z307" s="225">
        <f t="shared" si="385"/>
        <v>11220</v>
      </c>
      <c r="AA307" s="225">
        <f t="shared" si="421"/>
        <v>36720</v>
      </c>
      <c r="AB307" s="225">
        <f t="shared" si="422"/>
        <v>32640</v>
      </c>
      <c r="AC307" s="252">
        <f t="shared" si="423"/>
        <v>735920</v>
      </c>
    </row>
    <row r="308" spans="1:29" s="204" customFormat="1" ht="16.5" hidden="1" customHeight="1">
      <c r="A308" s="319"/>
      <c r="B308" s="211"/>
      <c r="C308" s="310">
        <f>C306+1</f>
        <v>10</v>
      </c>
      <c r="D308" s="310"/>
      <c r="E308" s="311" t="s">
        <v>391</v>
      </c>
      <c r="F308" s="312">
        <v>2319000</v>
      </c>
      <c r="G308" s="221"/>
      <c r="H308" s="221"/>
      <c r="I308" s="222"/>
      <c r="J308" s="221"/>
      <c r="K308" s="221"/>
      <c r="L308" s="221"/>
      <c r="M308" s="221"/>
      <c r="N308" s="221"/>
      <c r="O308" s="221">
        <f t="shared" ref="O308:O317" si="425">O307</f>
        <v>60000</v>
      </c>
      <c r="P308" s="221"/>
      <c r="Q308" s="221">
        <f t="shared" si="424"/>
        <v>16210</v>
      </c>
      <c r="R308" s="221">
        <f t="shared" ref="R308:R316" si="426">Q308*20</f>
        <v>324200</v>
      </c>
      <c r="S308" s="221">
        <f t="shared" ref="S308:S316" si="427">Q308*5</f>
        <v>81050</v>
      </c>
      <c r="T308" s="222"/>
      <c r="U308" s="214">
        <f t="shared" si="417"/>
        <v>2784250</v>
      </c>
      <c r="V308" s="250"/>
      <c r="W308" s="224">
        <f t="shared" ref="W308:W317" si="428">ROUNDUP(U308*1/12,-1)</f>
        <v>232030</v>
      </c>
      <c r="X308" s="225">
        <f t="shared" si="418"/>
        <v>125290</v>
      </c>
      <c r="Y308" s="225">
        <f t="shared" si="384"/>
        <v>89940</v>
      </c>
      <c r="Z308" s="225">
        <f t="shared" si="385"/>
        <v>7660</v>
      </c>
      <c r="AA308" s="225">
        <f t="shared" si="421"/>
        <v>25060</v>
      </c>
      <c r="AB308" s="225">
        <f t="shared" si="422"/>
        <v>22270</v>
      </c>
      <c r="AC308" s="252">
        <f t="shared" si="423"/>
        <v>502250</v>
      </c>
    </row>
    <row r="309" spans="1:29" s="204" customFormat="1" ht="16.5" hidden="1" customHeight="1">
      <c r="A309" s="319"/>
      <c r="B309" s="211"/>
      <c r="C309" s="212"/>
      <c r="D309" s="212"/>
      <c r="E309" s="219" t="s">
        <v>392</v>
      </c>
      <c r="F309" s="221">
        <f t="shared" ref="F309:F317" si="429">F308</f>
        <v>2319000</v>
      </c>
      <c r="G309" s="221"/>
      <c r="H309" s="221"/>
      <c r="I309" s="222"/>
      <c r="J309" s="221"/>
      <c r="K309" s="221"/>
      <c r="L309" s="221"/>
      <c r="M309" s="221"/>
      <c r="N309" s="221"/>
      <c r="O309" s="221">
        <f t="shared" si="425"/>
        <v>60000</v>
      </c>
      <c r="P309" s="221"/>
      <c r="Q309" s="221">
        <f t="shared" si="424"/>
        <v>16640</v>
      </c>
      <c r="R309" s="221">
        <f t="shared" si="426"/>
        <v>332800</v>
      </c>
      <c r="S309" s="221">
        <f t="shared" si="427"/>
        <v>83200</v>
      </c>
      <c r="T309" s="222"/>
      <c r="U309" s="214">
        <f t="shared" si="417"/>
        <v>2795000</v>
      </c>
      <c r="V309" s="250"/>
      <c r="W309" s="224">
        <f t="shared" si="428"/>
        <v>232920</v>
      </c>
      <c r="X309" s="225">
        <f t="shared" si="418"/>
        <v>125780</v>
      </c>
      <c r="Y309" s="225">
        <f t="shared" si="384"/>
        <v>90280</v>
      </c>
      <c r="Z309" s="225">
        <f t="shared" si="385"/>
        <v>7690</v>
      </c>
      <c r="AA309" s="225">
        <f t="shared" si="421"/>
        <v>25160</v>
      </c>
      <c r="AB309" s="225">
        <f t="shared" si="422"/>
        <v>22360</v>
      </c>
      <c r="AC309" s="252">
        <f t="shared" si="423"/>
        <v>504190</v>
      </c>
    </row>
    <row r="310" spans="1:29" s="204" customFormat="1" ht="16.5" hidden="1" customHeight="1">
      <c r="A310" s="319"/>
      <c r="B310" s="211"/>
      <c r="C310" s="212"/>
      <c r="D310" s="212"/>
      <c r="E310" s="219" t="s">
        <v>393</v>
      </c>
      <c r="F310" s="221">
        <f t="shared" si="429"/>
        <v>2319000</v>
      </c>
      <c r="G310" s="221"/>
      <c r="H310" s="221"/>
      <c r="I310" s="222"/>
      <c r="J310" s="221"/>
      <c r="K310" s="221"/>
      <c r="L310" s="221"/>
      <c r="M310" s="221"/>
      <c r="N310" s="221"/>
      <c r="O310" s="221">
        <f t="shared" si="425"/>
        <v>60000</v>
      </c>
      <c r="P310" s="221"/>
      <c r="Q310" s="221">
        <f t="shared" si="424"/>
        <v>16640</v>
      </c>
      <c r="R310" s="221">
        <f t="shared" si="426"/>
        <v>332800</v>
      </c>
      <c r="S310" s="221">
        <f t="shared" si="427"/>
        <v>83200</v>
      </c>
      <c r="T310" s="222"/>
      <c r="U310" s="214">
        <f t="shared" si="417"/>
        <v>2795000</v>
      </c>
      <c r="V310" s="250"/>
      <c r="W310" s="224">
        <f t="shared" si="428"/>
        <v>232920</v>
      </c>
      <c r="X310" s="225">
        <f t="shared" si="418"/>
        <v>125780</v>
      </c>
      <c r="Y310" s="225">
        <f t="shared" si="384"/>
        <v>90280</v>
      </c>
      <c r="Z310" s="225">
        <f t="shared" si="385"/>
        <v>7690</v>
      </c>
      <c r="AA310" s="225">
        <f t="shared" si="421"/>
        <v>25160</v>
      </c>
      <c r="AB310" s="225">
        <f t="shared" si="422"/>
        <v>22360</v>
      </c>
      <c r="AC310" s="252">
        <f t="shared" si="423"/>
        <v>504190</v>
      </c>
    </row>
    <row r="311" spans="1:29" s="204" customFormat="1" ht="16.5" hidden="1" customHeight="1">
      <c r="A311" s="319"/>
      <c r="B311" s="211"/>
      <c r="C311" s="212"/>
      <c r="D311" s="212"/>
      <c r="E311" s="219" t="s">
        <v>394</v>
      </c>
      <c r="F311" s="221">
        <f t="shared" si="429"/>
        <v>2319000</v>
      </c>
      <c r="G311" s="221"/>
      <c r="H311" s="221"/>
      <c r="I311" s="222"/>
      <c r="J311" s="221"/>
      <c r="K311" s="221"/>
      <c r="L311" s="221"/>
      <c r="M311" s="221"/>
      <c r="N311" s="221"/>
      <c r="O311" s="221">
        <f t="shared" si="425"/>
        <v>60000</v>
      </c>
      <c r="P311" s="221"/>
      <c r="Q311" s="221">
        <f t="shared" si="424"/>
        <v>16640</v>
      </c>
      <c r="R311" s="221">
        <f t="shared" si="426"/>
        <v>332800</v>
      </c>
      <c r="S311" s="221">
        <f t="shared" si="427"/>
        <v>83200</v>
      </c>
      <c r="T311" s="222"/>
      <c r="U311" s="214">
        <f t="shared" si="417"/>
        <v>2795000</v>
      </c>
      <c r="V311" s="250"/>
      <c r="W311" s="224">
        <f t="shared" si="428"/>
        <v>232920</v>
      </c>
      <c r="X311" s="225">
        <f t="shared" si="418"/>
        <v>125780</v>
      </c>
      <c r="Y311" s="225">
        <f t="shared" si="384"/>
        <v>90280</v>
      </c>
      <c r="Z311" s="225">
        <f t="shared" si="385"/>
        <v>7690</v>
      </c>
      <c r="AA311" s="225">
        <f t="shared" si="421"/>
        <v>25160</v>
      </c>
      <c r="AB311" s="225">
        <f t="shared" si="422"/>
        <v>22360</v>
      </c>
      <c r="AC311" s="252">
        <f t="shared" si="423"/>
        <v>504190</v>
      </c>
    </row>
    <row r="312" spans="1:29" s="204" customFormat="1" ht="16.5" hidden="1" customHeight="1">
      <c r="A312" s="319"/>
      <c r="B312" s="211"/>
      <c r="C312" s="212"/>
      <c r="D312" s="212"/>
      <c r="E312" s="219" t="s">
        <v>279</v>
      </c>
      <c r="F312" s="221">
        <f t="shared" si="429"/>
        <v>2319000</v>
      </c>
      <c r="G312" s="221"/>
      <c r="H312" s="220"/>
      <c r="I312" s="222"/>
      <c r="J312" s="221"/>
      <c r="K312" s="221"/>
      <c r="L312" s="221"/>
      <c r="M312" s="221"/>
      <c r="N312" s="221"/>
      <c r="O312" s="221">
        <f t="shared" si="425"/>
        <v>60000</v>
      </c>
      <c r="P312" s="221"/>
      <c r="Q312" s="221">
        <f t="shared" si="424"/>
        <v>16640</v>
      </c>
      <c r="R312" s="221">
        <f t="shared" si="426"/>
        <v>332800</v>
      </c>
      <c r="S312" s="221">
        <f t="shared" si="427"/>
        <v>83200</v>
      </c>
      <c r="T312" s="222"/>
      <c r="U312" s="214">
        <f t="shared" si="417"/>
        <v>2795000</v>
      </c>
      <c r="V312" s="250"/>
      <c r="W312" s="224">
        <f t="shared" si="428"/>
        <v>232920</v>
      </c>
      <c r="X312" s="225">
        <f t="shared" si="418"/>
        <v>125780</v>
      </c>
      <c r="Y312" s="225">
        <f t="shared" si="384"/>
        <v>90280</v>
      </c>
      <c r="Z312" s="225">
        <f t="shared" si="385"/>
        <v>7690</v>
      </c>
      <c r="AA312" s="225">
        <f t="shared" si="421"/>
        <v>25160</v>
      </c>
      <c r="AB312" s="225">
        <f t="shared" si="422"/>
        <v>22360</v>
      </c>
      <c r="AC312" s="252">
        <f t="shared" si="423"/>
        <v>504190</v>
      </c>
    </row>
    <row r="313" spans="1:29" s="204" customFormat="1" ht="16.5" hidden="1" customHeight="1">
      <c r="A313" s="319"/>
      <c r="B313" s="211"/>
      <c r="C313" s="212"/>
      <c r="D313" s="212"/>
      <c r="E313" s="219" t="s">
        <v>280</v>
      </c>
      <c r="F313" s="221">
        <f t="shared" si="429"/>
        <v>2319000</v>
      </c>
      <c r="G313" s="221"/>
      <c r="H313" s="221"/>
      <c r="I313" s="222"/>
      <c r="J313" s="221"/>
      <c r="K313" s="221"/>
      <c r="L313" s="221"/>
      <c r="M313" s="221"/>
      <c r="N313" s="221"/>
      <c r="O313" s="221">
        <f t="shared" si="425"/>
        <v>60000</v>
      </c>
      <c r="P313" s="221"/>
      <c r="Q313" s="221">
        <f t="shared" si="424"/>
        <v>16640</v>
      </c>
      <c r="R313" s="221">
        <f t="shared" si="426"/>
        <v>332800</v>
      </c>
      <c r="S313" s="221">
        <f t="shared" si="427"/>
        <v>83200</v>
      </c>
      <c r="T313" s="222"/>
      <c r="U313" s="214">
        <f t="shared" si="417"/>
        <v>2795000</v>
      </c>
      <c r="V313" s="250"/>
      <c r="W313" s="224">
        <f t="shared" si="428"/>
        <v>232920</v>
      </c>
      <c r="X313" s="225">
        <f t="shared" si="418"/>
        <v>125780</v>
      </c>
      <c r="Y313" s="225">
        <f t="shared" si="384"/>
        <v>90280</v>
      </c>
      <c r="Z313" s="225">
        <f t="shared" si="385"/>
        <v>7690</v>
      </c>
      <c r="AA313" s="225">
        <f t="shared" si="421"/>
        <v>25160</v>
      </c>
      <c r="AB313" s="225">
        <f t="shared" si="422"/>
        <v>22360</v>
      </c>
      <c r="AC313" s="252">
        <f t="shared" si="423"/>
        <v>504190</v>
      </c>
    </row>
    <row r="314" spans="1:29" s="204" customFormat="1" ht="16.5" hidden="1" customHeight="1">
      <c r="A314" s="319"/>
      <c r="B314" s="211"/>
      <c r="C314" s="212"/>
      <c r="D314" s="212"/>
      <c r="E314" s="219" t="s">
        <v>54</v>
      </c>
      <c r="F314" s="221">
        <f t="shared" si="429"/>
        <v>2319000</v>
      </c>
      <c r="G314" s="221"/>
      <c r="H314" s="221"/>
      <c r="I314" s="222"/>
      <c r="J314" s="221"/>
      <c r="K314" s="221"/>
      <c r="L314" s="221"/>
      <c r="M314" s="221">
        <f t="shared" ref="M314" si="430">F314*60%</f>
        <v>1391400</v>
      </c>
      <c r="N314" s="221"/>
      <c r="O314" s="221">
        <f t="shared" si="425"/>
        <v>60000</v>
      </c>
      <c r="P314" s="221"/>
      <c r="Q314" s="221">
        <f t="shared" si="424"/>
        <v>16640</v>
      </c>
      <c r="R314" s="221">
        <f t="shared" si="426"/>
        <v>332800</v>
      </c>
      <c r="S314" s="221">
        <f t="shared" si="427"/>
        <v>83200</v>
      </c>
      <c r="T314" s="222"/>
      <c r="U314" s="214">
        <f t="shared" si="417"/>
        <v>4186400</v>
      </c>
      <c r="V314" s="250"/>
      <c r="W314" s="224">
        <f t="shared" si="428"/>
        <v>348870</v>
      </c>
      <c r="X314" s="225">
        <f t="shared" si="418"/>
        <v>188390</v>
      </c>
      <c r="Y314" s="225">
        <f t="shared" si="384"/>
        <v>135230</v>
      </c>
      <c r="Z314" s="225">
        <f t="shared" si="385"/>
        <v>11510</v>
      </c>
      <c r="AA314" s="225">
        <f t="shared" si="421"/>
        <v>37680</v>
      </c>
      <c r="AB314" s="225">
        <f t="shared" si="422"/>
        <v>33490</v>
      </c>
      <c r="AC314" s="252">
        <f t="shared" si="423"/>
        <v>755170</v>
      </c>
    </row>
    <row r="315" spans="1:29" s="204" customFormat="1" ht="16.5" hidden="1" customHeight="1">
      <c r="A315" s="319"/>
      <c r="B315" s="211"/>
      <c r="C315" s="212"/>
      <c r="D315" s="212"/>
      <c r="E315" s="219" t="s">
        <v>55</v>
      </c>
      <c r="F315" s="221">
        <f t="shared" si="429"/>
        <v>2319000</v>
      </c>
      <c r="G315" s="221"/>
      <c r="H315" s="221"/>
      <c r="I315" s="222"/>
      <c r="J315" s="221"/>
      <c r="K315" s="221"/>
      <c r="L315" s="221"/>
      <c r="M315" s="221"/>
      <c r="N315" s="221"/>
      <c r="O315" s="221">
        <f t="shared" si="425"/>
        <v>60000</v>
      </c>
      <c r="P315" s="221"/>
      <c r="Q315" s="221">
        <f t="shared" si="424"/>
        <v>16640</v>
      </c>
      <c r="R315" s="221">
        <f t="shared" si="426"/>
        <v>332800</v>
      </c>
      <c r="S315" s="221">
        <f t="shared" si="427"/>
        <v>83200</v>
      </c>
      <c r="T315" s="222"/>
      <c r="U315" s="214">
        <f t="shared" si="417"/>
        <v>2795000</v>
      </c>
      <c r="V315" s="250"/>
      <c r="W315" s="224">
        <f t="shared" si="428"/>
        <v>232920</v>
      </c>
      <c r="X315" s="225">
        <f t="shared" si="418"/>
        <v>125780</v>
      </c>
      <c r="Y315" s="225">
        <f t="shared" si="384"/>
        <v>90280</v>
      </c>
      <c r="Z315" s="225">
        <f t="shared" si="385"/>
        <v>7690</v>
      </c>
      <c r="AA315" s="225">
        <f t="shared" si="421"/>
        <v>25160</v>
      </c>
      <c r="AB315" s="225">
        <f t="shared" si="422"/>
        <v>22360</v>
      </c>
      <c r="AC315" s="252">
        <f t="shared" si="423"/>
        <v>504190</v>
      </c>
    </row>
    <row r="316" spans="1:29" s="204" customFormat="1" ht="16.5" hidden="1" customHeight="1">
      <c r="A316" s="319"/>
      <c r="B316" s="211"/>
      <c r="C316" s="212"/>
      <c r="D316" s="212"/>
      <c r="E316" s="219" t="s">
        <v>56</v>
      </c>
      <c r="F316" s="221">
        <f t="shared" si="429"/>
        <v>2319000</v>
      </c>
      <c r="G316" s="221"/>
      <c r="H316" s="221"/>
      <c r="I316" s="222"/>
      <c r="J316" s="221"/>
      <c r="K316" s="221"/>
      <c r="L316" s="221"/>
      <c r="M316" s="221"/>
      <c r="N316" s="221"/>
      <c r="O316" s="221">
        <f t="shared" si="425"/>
        <v>60000</v>
      </c>
      <c r="P316" s="221"/>
      <c r="Q316" s="221">
        <f t="shared" si="424"/>
        <v>16640</v>
      </c>
      <c r="R316" s="221">
        <f t="shared" si="426"/>
        <v>332800</v>
      </c>
      <c r="S316" s="221">
        <f t="shared" si="427"/>
        <v>83200</v>
      </c>
      <c r="T316" s="222"/>
      <c r="U316" s="214">
        <f t="shared" si="417"/>
        <v>2795000</v>
      </c>
      <c r="V316" s="250"/>
      <c r="W316" s="224">
        <f t="shared" si="428"/>
        <v>232920</v>
      </c>
      <c r="X316" s="225">
        <f t="shared" si="418"/>
        <v>125780</v>
      </c>
      <c r="Y316" s="225">
        <f t="shared" si="384"/>
        <v>90280</v>
      </c>
      <c r="Z316" s="225">
        <f t="shared" si="385"/>
        <v>7690</v>
      </c>
      <c r="AA316" s="225">
        <f t="shared" si="421"/>
        <v>25160</v>
      </c>
      <c r="AB316" s="225">
        <f t="shared" si="422"/>
        <v>22360</v>
      </c>
      <c r="AC316" s="252">
        <f t="shared" si="423"/>
        <v>504190</v>
      </c>
    </row>
    <row r="317" spans="1:29" s="204" customFormat="1" ht="16.5" hidden="1" customHeight="1">
      <c r="A317" s="319"/>
      <c r="B317" s="211"/>
      <c r="C317" s="212"/>
      <c r="D317" s="212"/>
      <c r="E317" s="219" t="s">
        <v>395</v>
      </c>
      <c r="F317" s="221">
        <f t="shared" si="429"/>
        <v>2319000</v>
      </c>
      <c r="G317" s="221"/>
      <c r="H317" s="221"/>
      <c r="I317" s="222"/>
      <c r="J317" s="221"/>
      <c r="K317" s="221"/>
      <c r="L317" s="221"/>
      <c r="M317" s="221"/>
      <c r="N317" s="221"/>
      <c r="O317" s="221">
        <f t="shared" si="425"/>
        <v>60000</v>
      </c>
      <c r="P317" s="221"/>
      <c r="Q317" s="221">
        <f t="shared" si="424"/>
        <v>16640</v>
      </c>
      <c r="R317" s="221">
        <f>Q317*20*2</f>
        <v>665600</v>
      </c>
      <c r="S317" s="221">
        <f>(Q317*5)*2</f>
        <v>166400</v>
      </c>
      <c r="T317" s="222"/>
      <c r="U317" s="214">
        <f t="shared" si="417"/>
        <v>3211000</v>
      </c>
      <c r="V317" s="250"/>
      <c r="W317" s="224">
        <f t="shared" si="428"/>
        <v>267590</v>
      </c>
      <c r="X317" s="225">
        <f t="shared" si="418"/>
        <v>144500</v>
      </c>
      <c r="Y317" s="225">
        <f t="shared" si="384"/>
        <v>103720</v>
      </c>
      <c r="Z317" s="225">
        <f t="shared" si="385"/>
        <v>8830</v>
      </c>
      <c r="AA317" s="225">
        <f t="shared" si="421"/>
        <v>28900</v>
      </c>
      <c r="AB317" s="225">
        <f t="shared" si="422"/>
        <v>25690</v>
      </c>
      <c r="AC317" s="252">
        <f t="shared" si="423"/>
        <v>579230</v>
      </c>
    </row>
    <row r="318" spans="1:29" s="204" customFormat="1" ht="16.5" hidden="1" customHeight="1">
      <c r="A318" s="319">
        <v>25</v>
      </c>
      <c r="B318" s="211" t="s">
        <v>87</v>
      </c>
      <c r="C318" s="212" t="s">
        <v>785</v>
      </c>
      <c r="D318" s="212">
        <v>1</v>
      </c>
      <c r="E318" s="213" t="s">
        <v>86</v>
      </c>
      <c r="F318" s="214">
        <f>SUM(F319:F330)</f>
        <v>28255000</v>
      </c>
      <c r="G318" s="214">
        <f t="shared" ref="G318:N318" si="431">SUM(G319:G330)</f>
        <v>0</v>
      </c>
      <c r="H318" s="214">
        <f t="shared" si="431"/>
        <v>0</v>
      </c>
      <c r="I318" s="214">
        <f t="shared" si="431"/>
        <v>0</v>
      </c>
      <c r="J318" s="214">
        <f t="shared" si="431"/>
        <v>0</v>
      </c>
      <c r="K318" s="214">
        <f t="shared" si="431"/>
        <v>0</v>
      </c>
      <c r="L318" s="214">
        <f t="shared" si="431"/>
        <v>0</v>
      </c>
      <c r="M318" s="214">
        <f t="shared" si="431"/>
        <v>2819400</v>
      </c>
      <c r="N318" s="214">
        <f t="shared" si="431"/>
        <v>0</v>
      </c>
      <c r="O318" s="214">
        <f>SUM(O319:O330)</f>
        <v>480000</v>
      </c>
      <c r="P318" s="214">
        <f t="shared" ref="P318" si="432">SUM(P319:P330)</f>
        <v>0</v>
      </c>
      <c r="Q318" s="214"/>
      <c r="R318" s="214">
        <f t="shared" si="398"/>
        <v>4055200</v>
      </c>
      <c r="S318" s="214">
        <f>SUM(S319:S330)</f>
        <v>1013800</v>
      </c>
      <c r="T318" s="214">
        <f t="shared" ref="T318:U318" si="433">SUM(T319:T330)</f>
        <v>0</v>
      </c>
      <c r="U318" s="214">
        <f t="shared" si="433"/>
        <v>36623400</v>
      </c>
      <c r="V318" s="250"/>
      <c r="W318" s="217">
        <f t="shared" ref="W318:AB318" si="434">SUM(W319:W330)</f>
        <v>3051970</v>
      </c>
      <c r="X318" s="214">
        <f t="shared" si="434"/>
        <v>1648100</v>
      </c>
      <c r="Y318" s="214">
        <f t="shared" si="434"/>
        <v>1183000</v>
      </c>
      <c r="Z318" s="214">
        <f t="shared" si="434"/>
        <v>100730</v>
      </c>
      <c r="AA318" s="214">
        <f t="shared" si="434"/>
        <v>329620</v>
      </c>
      <c r="AB318" s="214">
        <f t="shared" si="434"/>
        <v>293000</v>
      </c>
      <c r="AC318" s="266">
        <f>SUM(AC319:AC330)</f>
        <v>6606420</v>
      </c>
    </row>
    <row r="319" spans="1:29" s="204" customFormat="1" ht="16.5" hidden="1" customHeight="1">
      <c r="A319" s="319"/>
      <c r="B319" s="211" t="s">
        <v>825</v>
      </c>
      <c r="C319" s="310">
        <v>10</v>
      </c>
      <c r="D319" s="310"/>
      <c r="E319" s="311" t="s">
        <v>389</v>
      </c>
      <c r="F319" s="312">
        <v>2319000</v>
      </c>
      <c r="G319" s="221"/>
      <c r="H319" s="220"/>
      <c r="I319" s="222"/>
      <c r="J319" s="221"/>
      <c r="K319" s="221"/>
      <c r="L319" s="221"/>
      <c r="M319" s="221" t="s">
        <v>60</v>
      </c>
      <c r="N319" s="221"/>
      <c r="O319" s="221">
        <v>40000</v>
      </c>
      <c r="P319" s="221"/>
      <c r="Q319" s="221"/>
      <c r="R319" s="221"/>
      <c r="S319" s="221"/>
      <c r="T319" s="222"/>
      <c r="U319" s="214">
        <f t="shared" ref="U319:U330" si="435">SUM(F319,M319,O319,R319,T319,S319)</f>
        <v>2359000</v>
      </c>
      <c r="V319" s="250"/>
      <c r="W319" s="224">
        <f>ROUNDUP(U319*1/12,-1)</f>
        <v>196590</v>
      </c>
      <c r="X319" s="225">
        <f t="shared" ref="X319:X330" si="436">ROUND(U319*4.5%,-1)</f>
        <v>106160</v>
      </c>
      <c r="Y319" s="225">
        <f t="shared" ref="Y319" si="437">ROUNDUP((U319-L319)*3.23%,-1)</f>
        <v>76200</v>
      </c>
      <c r="Z319" s="225">
        <f t="shared" ref="Z319" si="438">ROUNDUP(Y319*8.51%,-1)</f>
        <v>6490</v>
      </c>
      <c r="AA319" s="225">
        <f t="shared" ref="AA319:AA330" si="439">ROUND(U319*0.9%,-1)</f>
        <v>21230</v>
      </c>
      <c r="AB319" s="225">
        <f t="shared" ref="AB319:AB330" si="440">ROUND(U319*0.8%,-1)</f>
        <v>18870</v>
      </c>
      <c r="AC319" s="252">
        <f t="shared" ref="AC319:AC330" si="441">SUM(W319:AB319)</f>
        <v>425540</v>
      </c>
    </row>
    <row r="320" spans="1:29" s="204" customFormat="1" ht="16.5" hidden="1" customHeight="1">
      <c r="A320" s="319"/>
      <c r="B320" s="211"/>
      <c r="C320" s="212"/>
      <c r="D320" s="212"/>
      <c r="E320" s="219" t="s">
        <v>390</v>
      </c>
      <c r="F320" s="221">
        <f>F319</f>
        <v>2319000</v>
      </c>
      <c r="G320" s="221"/>
      <c r="H320" s="221"/>
      <c r="I320" s="222"/>
      <c r="J320" s="221"/>
      <c r="K320" s="221"/>
      <c r="L320" s="221"/>
      <c r="M320" s="221">
        <f>F320*60%</f>
        <v>1391400</v>
      </c>
      <c r="N320" s="221"/>
      <c r="O320" s="221">
        <f>O319</f>
        <v>40000</v>
      </c>
      <c r="P320" s="221"/>
      <c r="Q320" s="221">
        <f t="shared" ref="Q320:Q330" si="442">ROUND((F319+T319)*1/209*1.5,-1)</f>
        <v>16640</v>
      </c>
      <c r="R320" s="221">
        <f>Q320*20</f>
        <v>332800</v>
      </c>
      <c r="S320" s="221">
        <f>Q320*5</f>
        <v>83200</v>
      </c>
      <c r="T320" s="222"/>
      <c r="U320" s="214">
        <f t="shared" si="435"/>
        <v>4166400</v>
      </c>
      <c r="V320" s="250"/>
      <c r="W320" s="224">
        <f>ROUNDUP((T320+U320)*1/12,-1)</f>
        <v>347200</v>
      </c>
      <c r="X320" s="225">
        <f t="shared" si="436"/>
        <v>187490</v>
      </c>
      <c r="Y320" s="225">
        <f t="shared" si="384"/>
        <v>134580</v>
      </c>
      <c r="Z320" s="225">
        <f t="shared" si="385"/>
        <v>11460</v>
      </c>
      <c r="AA320" s="225">
        <f t="shared" si="439"/>
        <v>37500</v>
      </c>
      <c r="AB320" s="225">
        <f t="shared" si="440"/>
        <v>33330</v>
      </c>
      <c r="AC320" s="252">
        <f t="shared" si="441"/>
        <v>751560</v>
      </c>
    </row>
    <row r="321" spans="1:29" s="204" customFormat="1" ht="16.5" hidden="1" customHeight="1">
      <c r="A321" s="319"/>
      <c r="B321" s="211"/>
      <c r="C321" s="212"/>
      <c r="D321" s="212"/>
      <c r="E321" s="219" t="s">
        <v>391</v>
      </c>
      <c r="F321" s="221">
        <f>F320</f>
        <v>2319000</v>
      </c>
      <c r="G321" s="221"/>
      <c r="H321" s="221"/>
      <c r="I321" s="222"/>
      <c r="J321" s="221"/>
      <c r="K321" s="221"/>
      <c r="L321" s="221"/>
      <c r="M321" s="221"/>
      <c r="N321" s="221"/>
      <c r="O321" s="221">
        <f t="shared" ref="O321:O330" si="443">O320</f>
        <v>40000</v>
      </c>
      <c r="P321" s="221"/>
      <c r="Q321" s="221">
        <f t="shared" si="442"/>
        <v>16640</v>
      </c>
      <c r="R321" s="221">
        <f t="shared" ref="R321:R329" si="444">Q321*20</f>
        <v>332800</v>
      </c>
      <c r="S321" s="221">
        <f t="shared" ref="S321:S329" si="445">Q321*5</f>
        <v>83200</v>
      </c>
      <c r="T321" s="222"/>
      <c r="U321" s="214">
        <f t="shared" si="435"/>
        <v>2775000</v>
      </c>
      <c r="V321" s="250"/>
      <c r="W321" s="224">
        <f t="shared" ref="W321:W330" si="446">ROUNDUP(U321*1/12,-1)</f>
        <v>231250</v>
      </c>
      <c r="X321" s="225">
        <f t="shared" si="436"/>
        <v>124880</v>
      </c>
      <c r="Y321" s="225">
        <f t="shared" si="384"/>
        <v>89640</v>
      </c>
      <c r="Z321" s="225">
        <f t="shared" si="385"/>
        <v>7630</v>
      </c>
      <c r="AA321" s="225">
        <f t="shared" si="439"/>
        <v>24980</v>
      </c>
      <c r="AB321" s="225">
        <f t="shared" si="440"/>
        <v>22200</v>
      </c>
      <c r="AC321" s="252">
        <f t="shared" si="441"/>
        <v>500580</v>
      </c>
    </row>
    <row r="322" spans="1:29" s="204" customFormat="1" ht="16.5" hidden="1" customHeight="1">
      <c r="A322" s="319"/>
      <c r="B322" s="211"/>
      <c r="C322" s="212"/>
      <c r="D322" s="212"/>
      <c r="E322" s="219" t="s">
        <v>392</v>
      </c>
      <c r="F322" s="221">
        <f t="shared" ref="F322:F330" si="447">F321</f>
        <v>2319000</v>
      </c>
      <c r="G322" s="221"/>
      <c r="H322" s="221"/>
      <c r="I322" s="222"/>
      <c r="J322" s="221"/>
      <c r="K322" s="221"/>
      <c r="L322" s="221"/>
      <c r="M322" s="221"/>
      <c r="N322" s="221"/>
      <c r="O322" s="221">
        <f t="shared" si="443"/>
        <v>40000</v>
      </c>
      <c r="P322" s="221"/>
      <c r="Q322" s="221">
        <f t="shared" si="442"/>
        <v>16640</v>
      </c>
      <c r="R322" s="221">
        <f t="shared" si="444"/>
        <v>332800</v>
      </c>
      <c r="S322" s="221">
        <f t="shared" si="445"/>
        <v>83200</v>
      </c>
      <c r="T322" s="222"/>
      <c r="U322" s="214">
        <f t="shared" si="435"/>
        <v>2775000</v>
      </c>
      <c r="V322" s="250"/>
      <c r="W322" s="224">
        <f t="shared" si="446"/>
        <v>231250</v>
      </c>
      <c r="X322" s="225">
        <f t="shared" si="436"/>
        <v>124880</v>
      </c>
      <c r="Y322" s="225">
        <f t="shared" si="384"/>
        <v>89640</v>
      </c>
      <c r="Z322" s="225">
        <f t="shared" si="385"/>
        <v>7630</v>
      </c>
      <c r="AA322" s="225">
        <f t="shared" si="439"/>
        <v>24980</v>
      </c>
      <c r="AB322" s="225">
        <f t="shared" si="440"/>
        <v>22200</v>
      </c>
      <c r="AC322" s="252">
        <f t="shared" si="441"/>
        <v>500580</v>
      </c>
    </row>
    <row r="323" spans="1:29" s="204" customFormat="1" ht="16.5" hidden="1" customHeight="1">
      <c r="A323" s="319"/>
      <c r="B323" s="211"/>
      <c r="C323" s="212"/>
      <c r="D323" s="212"/>
      <c r="E323" s="219" t="s">
        <v>393</v>
      </c>
      <c r="F323" s="221">
        <f t="shared" si="447"/>
        <v>2319000</v>
      </c>
      <c r="G323" s="221"/>
      <c r="H323" s="221"/>
      <c r="I323" s="222"/>
      <c r="J323" s="221"/>
      <c r="K323" s="221"/>
      <c r="L323" s="221"/>
      <c r="M323" s="221"/>
      <c r="N323" s="221"/>
      <c r="O323" s="221">
        <f t="shared" si="443"/>
        <v>40000</v>
      </c>
      <c r="P323" s="221"/>
      <c r="Q323" s="221">
        <f t="shared" si="442"/>
        <v>16640</v>
      </c>
      <c r="R323" s="221">
        <f t="shared" si="444"/>
        <v>332800</v>
      </c>
      <c r="S323" s="221">
        <f t="shared" si="445"/>
        <v>83200</v>
      </c>
      <c r="T323" s="222"/>
      <c r="U323" s="214">
        <f t="shared" si="435"/>
        <v>2775000</v>
      </c>
      <c r="V323" s="250"/>
      <c r="W323" s="224">
        <f t="shared" si="446"/>
        <v>231250</v>
      </c>
      <c r="X323" s="225">
        <f t="shared" si="436"/>
        <v>124880</v>
      </c>
      <c r="Y323" s="225">
        <f t="shared" si="384"/>
        <v>89640</v>
      </c>
      <c r="Z323" s="225">
        <f t="shared" si="385"/>
        <v>7630</v>
      </c>
      <c r="AA323" s="225">
        <f t="shared" si="439"/>
        <v>24980</v>
      </c>
      <c r="AB323" s="225">
        <f t="shared" si="440"/>
        <v>22200</v>
      </c>
      <c r="AC323" s="252">
        <f t="shared" si="441"/>
        <v>500580</v>
      </c>
    </row>
    <row r="324" spans="1:29" s="204" customFormat="1" ht="16.5" hidden="1" customHeight="1">
      <c r="A324" s="319"/>
      <c r="B324" s="211"/>
      <c r="C324" s="310">
        <f>C319+1</f>
        <v>11</v>
      </c>
      <c r="D324" s="310"/>
      <c r="E324" s="311" t="s">
        <v>394</v>
      </c>
      <c r="F324" s="312">
        <v>2380000</v>
      </c>
      <c r="G324" s="221"/>
      <c r="H324" s="221"/>
      <c r="I324" s="222"/>
      <c r="J324" s="221"/>
      <c r="K324" s="221"/>
      <c r="L324" s="221"/>
      <c r="M324" s="221"/>
      <c r="N324" s="221"/>
      <c r="O324" s="221">
        <f t="shared" si="443"/>
        <v>40000</v>
      </c>
      <c r="P324" s="221"/>
      <c r="Q324" s="221">
        <f t="shared" si="442"/>
        <v>16640</v>
      </c>
      <c r="R324" s="221">
        <f t="shared" si="444"/>
        <v>332800</v>
      </c>
      <c r="S324" s="221">
        <f t="shared" si="445"/>
        <v>83200</v>
      </c>
      <c r="T324" s="222"/>
      <c r="U324" s="214">
        <f t="shared" si="435"/>
        <v>2836000</v>
      </c>
      <c r="V324" s="250"/>
      <c r="W324" s="224">
        <f t="shared" si="446"/>
        <v>236340</v>
      </c>
      <c r="X324" s="225">
        <f t="shared" si="436"/>
        <v>127620</v>
      </c>
      <c r="Y324" s="225">
        <f t="shared" si="384"/>
        <v>91610</v>
      </c>
      <c r="Z324" s="225">
        <f t="shared" si="385"/>
        <v>7800</v>
      </c>
      <c r="AA324" s="225">
        <f t="shared" si="439"/>
        <v>25520</v>
      </c>
      <c r="AB324" s="225">
        <f t="shared" si="440"/>
        <v>22690</v>
      </c>
      <c r="AC324" s="252">
        <f t="shared" si="441"/>
        <v>511580</v>
      </c>
    </row>
    <row r="325" spans="1:29" s="204" customFormat="1" ht="16.5" hidden="1" customHeight="1">
      <c r="A325" s="319"/>
      <c r="B325" s="211"/>
      <c r="C325" s="212"/>
      <c r="D325" s="212"/>
      <c r="E325" s="219" t="s">
        <v>279</v>
      </c>
      <c r="F325" s="221">
        <f t="shared" si="447"/>
        <v>2380000</v>
      </c>
      <c r="G325" s="221"/>
      <c r="H325" s="220"/>
      <c r="I325" s="222"/>
      <c r="J325" s="221"/>
      <c r="K325" s="221"/>
      <c r="L325" s="221"/>
      <c r="M325" s="221"/>
      <c r="N325" s="221"/>
      <c r="O325" s="221">
        <f t="shared" si="443"/>
        <v>40000</v>
      </c>
      <c r="P325" s="221"/>
      <c r="Q325" s="221">
        <f t="shared" si="442"/>
        <v>17080</v>
      </c>
      <c r="R325" s="221">
        <f t="shared" si="444"/>
        <v>341600</v>
      </c>
      <c r="S325" s="221">
        <f t="shared" si="445"/>
        <v>85400</v>
      </c>
      <c r="T325" s="222"/>
      <c r="U325" s="214">
        <f t="shared" si="435"/>
        <v>2847000</v>
      </c>
      <c r="V325" s="250"/>
      <c r="W325" s="224">
        <f t="shared" si="446"/>
        <v>237250</v>
      </c>
      <c r="X325" s="225">
        <f t="shared" si="436"/>
        <v>128120</v>
      </c>
      <c r="Y325" s="225">
        <f t="shared" si="384"/>
        <v>91960</v>
      </c>
      <c r="Z325" s="225">
        <f t="shared" si="385"/>
        <v>7830</v>
      </c>
      <c r="AA325" s="225">
        <f t="shared" si="439"/>
        <v>25620</v>
      </c>
      <c r="AB325" s="225">
        <f t="shared" si="440"/>
        <v>22780</v>
      </c>
      <c r="AC325" s="252">
        <f t="shared" si="441"/>
        <v>513560</v>
      </c>
    </row>
    <row r="326" spans="1:29" s="204" customFormat="1" ht="16.5" hidden="1" customHeight="1">
      <c r="A326" s="319"/>
      <c r="B326" s="211"/>
      <c r="C326" s="212"/>
      <c r="D326" s="212"/>
      <c r="E326" s="219" t="s">
        <v>280</v>
      </c>
      <c r="F326" s="221">
        <f t="shared" si="447"/>
        <v>2380000</v>
      </c>
      <c r="G326" s="221"/>
      <c r="H326" s="221"/>
      <c r="I326" s="222"/>
      <c r="J326" s="221"/>
      <c r="K326" s="221"/>
      <c r="L326" s="221"/>
      <c r="M326" s="221"/>
      <c r="N326" s="221"/>
      <c r="O326" s="221">
        <f t="shared" si="443"/>
        <v>40000</v>
      </c>
      <c r="P326" s="221"/>
      <c r="Q326" s="221">
        <f t="shared" si="442"/>
        <v>17080</v>
      </c>
      <c r="R326" s="221">
        <f t="shared" si="444"/>
        <v>341600</v>
      </c>
      <c r="S326" s="221">
        <f t="shared" si="445"/>
        <v>85400</v>
      </c>
      <c r="T326" s="222"/>
      <c r="U326" s="214">
        <f t="shared" si="435"/>
        <v>2847000</v>
      </c>
      <c r="V326" s="250"/>
      <c r="W326" s="224">
        <f t="shared" si="446"/>
        <v>237250</v>
      </c>
      <c r="X326" s="225">
        <f t="shared" si="436"/>
        <v>128120</v>
      </c>
      <c r="Y326" s="225">
        <f t="shared" si="384"/>
        <v>91960</v>
      </c>
      <c r="Z326" s="225">
        <f t="shared" si="385"/>
        <v>7830</v>
      </c>
      <c r="AA326" s="225">
        <f t="shared" si="439"/>
        <v>25620</v>
      </c>
      <c r="AB326" s="225">
        <f t="shared" si="440"/>
        <v>22780</v>
      </c>
      <c r="AC326" s="252">
        <f t="shared" si="441"/>
        <v>513560</v>
      </c>
    </row>
    <row r="327" spans="1:29" s="204" customFormat="1" ht="16.5" hidden="1" customHeight="1">
      <c r="A327" s="319"/>
      <c r="B327" s="211"/>
      <c r="C327" s="212"/>
      <c r="D327" s="212"/>
      <c r="E327" s="219" t="s">
        <v>54</v>
      </c>
      <c r="F327" s="221">
        <f t="shared" si="447"/>
        <v>2380000</v>
      </c>
      <c r="G327" s="221"/>
      <c r="H327" s="221"/>
      <c r="I327" s="222"/>
      <c r="J327" s="221"/>
      <c r="K327" s="221"/>
      <c r="L327" s="221"/>
      <c r="M327" s="221">
        <f t="shared" ref="M327" si="448">F327*60%</f>
        <v>1428000</v>
      </c>
      <c r="N327" s="221"/>
      <c r="O327" s="221">
        <f t="shared" si="443"/>
        <v>40000</v>
      </c>
      <c r="P327" s="221"/>
      <c r="Q327" s="221">
        <f t="shared" si="442"/>
        <v>17080</v>
      </c>
      <c r="R327" s="221">
        <f t="shared" si="444"/>
        <v>341600</v>
      </c>
      <c r="S327" s="221">
        <f t="shared" si="445"/>
        <v>85400</v>
      </c>
      <c r="T327" s="222"/>
      <c r="U327" s="214">
        <f t="shared" si="435"/>
        <v>4275000</v>
      </c>
      <c r="V327" s="250"/>
      <c r="W327" s="224">
        <f t="shared" si="446"/>
        <v>356250</v>
      </c>
      <c r="X327" s="225">
        <f t="shared" si="436"/>
        <v>192380</v>
      </c>
      <c r="Y327" s="225">
        <f t="shared" si="384"/>
        <v>138090</v>
      </c>
      <c r="Z327" s="225">
        <f t="shared" si="385"/>
        <v>11760</v>
      </c>
      <c r="AA327" s="225">
        <f t="shared" si="439"/>
        <v>38480</v>
      </c>
      <c r="AB327" s="225">
        <f t="shared" si="440"/>
        <v>34200</v>
      </c>
      <c r="AC327" s="252">
        <f t="shared" si="441"/>
        <v>771160</v>
      </c>
    </row>
    <row r="328" spans="1:29" s="204" customFormat="1" ht="16.5" hidden="1" customHeight="1">
      <c r="A328" s="319"/>
      <c r="B328" s="211"/>
      <c r="C328" s="212"/>
      <c r="D328" s="212"/>
      <c r="E328" s="219" t="s">
        <v>55</v>
      </c>
      <c r="F328" s="221">
        <f t="shared" si="447"/>
        <v>2380000</v>
      </c>
      <c r="G328" s="221"/>
      <c r="H328" s="221"/>
      <c r="I328" s="222"/>
      <c r="J328" s="221"/>
      <c r="K328" s="221"/>
      <c r="L328" s="221"/>
      <c r="M328" s="221"/>
      <c r="N328" s="221"/>
      <c r="O328" s="221">
        <f t="shared" si="443"/>
        <v>40000</v>
      </c>
      <c r="P328" s="221"/>
      <c r="Q328" s="221">
        <f t="shared" si="442"/>
        <v>17080</v>
      </c>
      <c r="R328" s="221">
        <f t="shared" si="444"/>
        <v>341600</v>
      </c>
      <c r="S328" s="221">
        <f t="shared" si="445"/>
        <v>85400</v>
      </c>
      <c r="T328" s="222"/>
      <c r="U328" s="214">
        <f t="shared" si="435"/>
        <v>2847000</v>
      </c>
      <c r="V328" s="250"/>
      <c r="W328" s="224">
        <f t="shared" si="446"/>
        <v>237250</v>
      </c>
      <c r="X328" s="225">
        <f t="shared" si="436"/>
        <v>128120</v>
      </c>
      <c r="Y328" s="225">
        <f t="shared" si="384"/>
        <v>91960</v>
      </c>
      <c r="Z328" s="225">
        <f t="shared" si="385"/>
        <v>7830</v>
      </c>
      <c r="AA328" s="225">
        <f t="shared" si="439"/>
        <v>25620</v>
      </c>
      <c r="AB328" s="225">
        <f t="shared" si="440"/>
        <v>22780</v>
      </c>
      <c r="AC328" s="252">
        <f t="shared" si="441"/>
        <v>513560</v>
      </c>
    </row>
    <row r="329" spans="1:29" s="204" customFormat="1" ht="16.5" hidden="1" customHeight="1">
      <c r="A329" s="319"/>
      <c r="B329" s="211"/>
      <c r="C329" s="212"/>
      <c r="D329" s="212"/>
      <c r="E329" s="219" t="s">
        <v>56</v>
      </c>
      <c r="F329" s="221">
        <f t="shared" si="447"/>
        <v>2380000</v>
      </c>
      <c r="G329" s="221"/>
      <c r="H329" s="221"/>
      <c r="I329" s="222"/>
      <c r="J329" s="221"/>
      <c r="K329" s="221"/>
      <c r="L329" s="221"/>
      <c r="M329" s="221"/>
      <c r="N329" s="221"/>
      <c r="O329" s="221">
        <f t="shared" si="443"/>
        <v>40000</v>
      </c>
      <c r="P329" s="221"/>
      <c r="Q329" s="221">
        <f t="shared" si="442"/>
        <v>17080</v>
      </c>
      <c r="R329" s="221">
        <f t="shared" si="444"/>
        <v>341600</v>
      </c>
      <c r="S329" s="221">
        <f t="shared" si="445"/>
        <v>85400</v>
      </c>
      <c r="T329" s="222"/>
      <c r="U329" s="214">
        <f t="shared" si="435"/>
        <v>2847000</v>
      </c>
      <c r="V329" s="250"/>
      <c r="W329" s="224">
        <f t="shared" si="446"/>
        <v>237250</v>
      </c>
      <c r="X329" s="225">
        <f t="shared" si="436"/>
        <v>128120</v>
      </c>
      <c r="Y329" s="225">
        <f t="shared" si="384"/>
        <v>91960</v>
      </c>
      <c r="Z329" s="225">
        <f t="shared" si="385"/>
        <v>7830</v>
      </c>
      <c r="AA329" s="225">
        <f t="shared" si="439"/>
        <v>25620</v>
      </c>
      <c r="AB329" s="225">
        <f t="shared" si="440"/>
        <v>22780</v>
      </c>
      <c r="AC329" s="252">
        <f t="shared" si="441"/>
        <v>513560</v>
      </c>
    </row>
    <row r="330" spans="1:29" s="204" customFormat="1" ht="16.5" hidden="1" customHeight="1">
      <c r="A330" s="319"/>
      <c r="B330" s="211"/>
      <c r="C330" s="212"/>
      <c r="D330" s="212"/>
      <c r="E330" s="219" t="s">
        <v>395</v>
      </c>
      <c r="F330" s="221">
        <f t="shared" si="447"/>
        <v>2380000</v>
      </c>
      <c r="G330" s="221"/>
      <c r="H330" s="221"/>
      <c r="I330" s="222"/>
      <c r="J330" s="221"/>
      <c r="K330" s="221"/>
      <c r="L330" s="221"/>
      <c r="M330" s="221"/>
      <c r="N330" s="221"/>
      <c r="O330" s="221">
        <f t="shared" si="443"/>
        <v>40000</v>
      </c>
      <c r="P330" s="221"/>
      <c r="Q330" s="221">
        <f t="shared" si="442"/>
        <v>17080</v>
      </c>
      <c r="R330" s="221">
        <f>Q330*20*2</f>
        <v>683200</v>
      </c>
      <c r="S330" s="221">
        <f>(Q330*5)*2</f>
        <v>170800</v>
      </c>
      <c r="T330" s="222"/>
      <c r="U330" s="214">
        <f t="shared" si="435"/>
        <v>3274000</v>
      </c>
      <c r="V330" s="250"/>
      <c r="W330" s="224">
        <f t="shared" si="446"/>
        <v>272840</v>
      </c>
      <c r="X330" s="225">
        <f t="shared" si="436"/>
        <v>147330</v>
      </c>
      <c r="Y330" s="225">
        <f t="shared" si="384"/>
        <v>105760</v>
      </c>
      <c r="Z330" s="225">
        <f t="shared" si="385"/>
        <v>9010</v>
      </c>
      <c r="AA330" s="225">
        <f t="shared" si="439"/>
        <v>29470</v>
      </c>
      <c r="AB330" s="225">
        <f t="shared" si="440"/>
        <v>26190</v>
      </c>
      <c r="AC330" s="252">
        <f t="shared" si="441"/>
        <v>590600</v>
      </c>
    </row>
    <row r="331" spans="1:29" s="204" customFormat="1" ht="16.5" hidden="1" customHeight="1">
      <c r="A331" s="319">
        <v>26</v>
      </c>
      <c r="B331" s="211" t="s">
        <v>87</v>
      </c>
      <c r="C331" s="212" t="s">
        <v>609</v>
      </c>
      <c r="D331" s="212">
        <v>1</v>
      </c>
      <c r="E331" s="213" t="s">
        <v>86</v>
      </c>
      <c r="F331" s="214">
        <f>SUM(F332:F343)</f>
        <v>29200000</v>
      </c>
      <c r="G331" s="214">
        <f t="shared" ref="G331:N331" si="449">SUM(G332:G343)</f>
        <v>0</v>
      </c>
      <c r="H331" s="214">
        <f t="shared" si="449"/>
        <v>0</v>
      </c>
      <c r="I331" s="214">
        <f t="shared" si="449"/>
        <v>0</v>
      </c>
      <c r="J331" s="214">
        <f t="shared" si="449"/>
        <v>0</v>
      </c>
      <c r="K331" s="214">
        <f t="shared" si="449"/>
        <v>0</v>
      </c>
      <c r="L331" s="214">
        <f t="shared" si="449"/>
        <v>0</v>
      </c>
      <c r="M331" s="214">
        <f t="shared" si="449"/>
        <v>2894400</v>
      </c>
      <c r="N331" s="214">
        <f t="shared" si="449"/>
        <v>0</v>
      </c>
      <c r="O331" s="214">
        <f>SUM(O332:O343)</f>
        <v>1440000</v>
      </c>
      <c r="P331" s="214">
        <f t="shared" ref="P331" si="450">SUM(P332:P343)</f>
        <v>0</v>
      </c>
      <c r="Q331" s="214"/>
      <c r="R331" s="214">
        <f t="shared" ref="R331" si="451">SUM(R332:R343)</f>
        <v>8382400</v>
      </c>
      <c r="S331" s="214">
        <f>SUM(S332:S343)</f>
        <v>0</v>
      </c>
      <c r="T331" s="214">
        <f t="shared" ref="T331:U331" si="452">SUM(T332:T343)</f>
        <v>0</v>
      </c>
      <c r="U331" s="214">
        <f t="shared" si="452"/>
        <v>41916800</v>
      </c>
      <c r="V331" s="250"/>
      <c r="W331" s="217">
        <f t="shared" ref="W331:AB331" si="453">SUM(W332:W343)</f>
        <v>3493130</v>
      </c>
      <c r="X331" s="214">
        <f t="shared" si="453"/>
        <v>1886230</v>
      </c>
      <c r="Y331" s="214">
        <f t="shared" si="453"/>
        <v>1353950</v>
      </c>
      <c r="Z331" s="214">
        <f t="shared" si="453"/>
        <v>115270</v>
      </c>
      <c r="AA331" s="214">
        <f t="shared" si="453"/>
        <v>377240</v>
      </c>
      <c r="AB331" s="214">
        <f t="shared" si="453"/>
        <v>335310</v>
      </c>
      <c r="AC331" s="266">
        <f>SUM(AC332:AC343)</f>
        <v>7561130</v>
      </c>
    </row>
    <row r="332" spans="1:29" s="204" customFormat="1" ht="16.5" hidden="1" customHeight="1">
      <c r="A332" s="319"/>
      <c r="B332" s="211" t="s">
        <v>474</v>
      </c>
      <c r="C332" s="310">
        <v>11</v>
      </c>
      <c r="D332" s="310"/>
      <c r="E332" s="311" t="s">
        <v>389</v>
      </c>
      <c r="F332" s="312">
        <v>2380000</v>
      </c>
      <c r="G332" s="221"/>
      <c r="H332" s="220"/>
      <c r="I332" s="222"/>
      <c r="J332" s="221"/>
      <c r="K332" s="221"/>
      <c r="L332" s="221"/>
      <c r="M332" s="221" t="s">
        <v>60</v>
      </c>
      <c r="N332" s="221"/>
      <c r="O332" s="221">
        <f>40000+20000+60000</f>
        <v>120000</v>
      </c>
      <c r="P332" s="221"/>
      <c r="Q332" s="221"/>
      <c r="R332" s="221"/>
      <c r="S332" s="221"/>
      <c r="T332" s="222"/>
      <c r="U332" s="214">
        <f t="shared" ref="U332:U343" si="454">SUM(F332,M332,O332,R332,T332,S332)</f>
        <v>2500000</v>
      </c>
      <c r="V332" s="250"/>
      <c r="W332" s="224">
        <f>ROUNDUP(U332*1/12,-1)</f>
        <v>208340</v>
      </c>
      <c r="X332" s="225">
        <f t="shared" ref="X332:X343" si="455">ROUND(U332*4.5%,-1)</f>
        <v>112500</v>
      </c>
      <c r="Y332" s="225">
        <f t="shared" ref="Y332" si="456">ROUNDUP((U332-L332)*3.23%,-1)</f>
        <v>80750</v>
      </c>
      <c r="Z332" s="225">
        <f t="shared" ref="Z332" si="457">ROUNDUP(Y332*8.51%,-1)</f>
        <v>6880</v>
      </c>
      <c r="AA332" s="225">
        <f t="shared" ref="AA332:AA343" si="458">ROUND(U332*0.9%,-1)</f>
        <v>22500</v>
      </c>
      <c r="AB332" s="225">
        <f t="shared" ref="AB332:AB343" si="459">ROUND(U332*0.8%,-1)</f>
        <v>20000</v>
      </c>
      <c r="AC332" s="252">
        <f t="shared" ref="AC332:AC343" si="460">SUM(W332:AB332)</f>
        <v>450970</v>
      </c>
    </row>
    <row r="333" spans="1:29" s="204" customFormat="1" ht="16.5" hidden="1" customHeight="1">
      <c r="A333" s="319"/>
      <c r="B333" s="211"/>
      <c r="C333" s="212"/>
      <c r="D333" s="212"/>
      <c r="E333" s="219" t="s">
        <v>390</v>
      </c>
      <c r="F333" s="221">
        <f>F332</f>
        <v>2380000</v>
      </c>
      <c r="G333" s="221"/>
      <c r="H333" s="221"/>
      <c r="I333" s="222"/>
      <c r="J333" s="221"/>
      <c r="K333" s="221"/>
      <c r="L333" s="221"/>
      <c r="M333" s="221">
        <f>F333*60%</f>
        <v>1428000</v>
      </c>
      <c r="N333" s="221"/>
      <c r="O333" s="221">
        <f t="shared" ref="O333:O343" si="461">40000+20000+60000</f>
        <v>120000</v>
      </c>
      <c r="P333" s="221"/>
      <c r="Q333" s="221">
        <f>ROUND((F332+T332)*1/209*1.5,-1)</f>
        <v>17080</v>
      </c>
      <c r="R333" s="221">
        <f>Q333*40</f>
        <v>683200</v>
      </c>
      <c r="S333" s="221"/>
      <c r="T333" s="222"/>
      <c r="U333" s="214">
        <f t="shared" si="454"/>
        <v>4611200</v>
      </c>
      <c r="V333" s="250"/>
      <c r="W333" s="224">
        <f>ROUNDUP((T333+U333)*1/12,-1)</f>
        <v>384270</v>
      </c>
      <c r="X333" s="225">
        <f t="shared" si="455"/>
        <v>207500</v>
      </c>
      <c r="Y333" s="225">
        <f t="shared" si="384"/>
        <v>148950</v>
      </c>
      <c r="Z333" s="225">
        <f t="shared" si="385"/>
        <v>12680</v>
      </c>
      <c r="AA333" s="225">
        <f t="shared" si="458"/>
        <v>41500</v>
      </c>
      <c r="AB333" s="225">
        <f t="shared" si="459"/>
        <v>36890</v>
      </c>
      <c r="AC333" s="252">
        <f t="shared" si="460"/>
        <v>831790</v>
      </c>
    </row>
    <row r="334" spans="1:29" s="204" customFormat="1" ht="16.5" hidden="1" customHeight="1">
      <c r="A334" s="319"/>
      <c r="B334" s="211"/>
      <c r="C334" s="310">
        <f>C332+1</f>
        <v>12</v>
      </c>
      <c r="D334" s="212"/>
      <c r="E334" s="311" t="s">
        <v>391</v>
      </c>
      <c r="F334" s="312">
        <v>2444000</v>
      </c>
      <c r="G334" s="221"/>
      <c r="H334" s="221"/>
      <c r="I334" s="222"/>
      <c r="J334" s="221"/>
      <c r="K334" s="221"/>
      <c r="L334" s="221"/>
      <c r="M334" s="221"/>
      <c r="N334" s="221"/>
      <c r="O334" s="221">
        <f t="shared" si="461"/>
        <v>120000</v>
      </c>
      <c r="P334" s="221"/>
      <c r="Q334" s="221">
        <f t="shared" ref="Q334:Q343" si="462">ROUND((F333+T333)*1/209*1.5,-1)</f>
        <v>17080</v>
      </c>
      <c r="R334" s="221">
        <f t="shared" ref="R334:R342" si="463">Q334*40</f>
        <v>683200</v>
      </c>
      <c r="S334" s="221"/>
      <c r="T334" s="222"/>
      <c r="U334" s="214">
        <f t="shared" si="454"/>
        <v>3247200</v>
      </c>
      <c r="V334" s="250"/>
      <c r="W334" s="224">
        <f t="shared" ref="W334:W343" si="464">ROUNDUP(U334*1/12,-1)</f>
        <v>270600</v>
      </c>
      <c r="X334" s="225">
        <f t="shared" si="455"/>
        <v>146120</v>
      </c>
      <c r="Y334" s="225">
        <f t="shared" si="384"/>
        <v>104890</v>
      </c>
      <c r="Z334" s="225">
        <f t="shared" si="385"/>
        <v>8930</v>
      </c>
      <c r="AA334" s="225">
        <f t="shared" si="458"/>
        <v>29220</v>
      </c>
      <c r="AB334" s="225">
        <f t="shared" si="459"/>
        <v>25980</v>
      </c>
      <c r="AC334" s="252">
        <f t="shared" si="460"/>
        <v>585740</v>
      </c>
    </row>
    <row r="335" spans="1:29" s="204" customFormat="1" ht="16.5" hidden="1" customHeight="1">
      <c r="A335" s="319"/>
      <c r="B335" s="211"/>
      <c r="C335" s="212"/>
      <c r="D335" s="212"/>
      <c r="E335" s="219" t="s">
        <v>392</v>
      </c>
      <c r="F335" s="221">
        <f t="shared" ref="F335:F343" si="465">F334</f>
        <v>2444000</v>
      </c>
      <c r="G335" s="221"/>
      <c r="H335" s="221"/>
      <c r="I335" s="222"/>
      <c r="J335" s="221"/>
      <c r="K335" s="221"/>
      <c r="L335" s="221"/>
      <c r="M335" s="221"/>
      <c r="N335" s="221"/>
      <c r="O335" s="221">
        <f t="shared" si="461"/>
        <v>120000</v>
      </c>
      <c r="P335" s="221"/>
      <c r="Q335" s="221">
        <f t="shared" si="462"/>
        <v>17540</v>
      </c>
      <c r="R335" s="221">
        <f t="shared" si="463"/>
        <v>701600</v>
      </c>
      <c r="S335" s="221"/>
      <c r="T335" s="222"/>
      <c r="U335" s="214">
        <f t="shared" si="454"/>
        <v>3265600</v>
      </c>
      <c r="V335" s="250"/>
      <c r="W335" s="224">
        <f t="shared" si="464"/>
        <v>272140</v>
      </c>
      <c r="X335" s="225">
        <f t="shared" si="455"/>
        <v>146950</v>
      </c>
      <c r="Y335" s="225">
        <f t="shared" si="384"/>
        <v>105480</v>
      </c>
      <c r="Z335" s="225">
        <f t="shared" si="385"/>
        <v>8980</v>
      </c>
      <c r="AA335" s="225">
        <f t="shared" si="458"/>
        <v>29390</v>
      </c>
      <c r="AB335" s="225">
        <f t="shared" si="459"/>
        <v>26120</v>
      </c>
      <c r="AC335" s="252">
        <f t="shared" si="460"/>
        <v>589060</v>
      </c>
    </row>
    <row r="336" spans="1:29" s="204" customFormat="1" ht="16.5" hidden="1" customHeight="1">
      <c r="A336" s="319"/>
      <c r="B336" s="211"/>
      <c r="C336" s="212"/>
      <c r="D336" s="212"/>
      <c r="E336" s="219" t="s">
        <v>393</v>
      </c>
      <c r="F336" s="221">
        <f t="shared" si="465"/>
        <v>2444000</v>
      </c>
      <c r="G336" s="221"/>
      <c r="H336" s="221"/>
      <c r="I336" s="222"/>
      <c r="J336" s="221"/>
      <c r="K336" s="221"/>
      <c r="L336" s="221"/>
      <c r="M336" s="221"/>
      <c r="N336" s="221"/>
      <c r="O336" s="221">
        <f t="shared" si="461"/>
        <v>120000</v>
      </c>
      <c r="P336" s="221"/>
      <c r="Q336" s="221">
        <f t="shared" si="462"/>
        <v>17540</v>
      </c>
      <c r="R336" s="221">
        <f t="shared" si="463"/>
        <v>701600</v>
      </c>
      <c r="S336" s="221"/>
      <c r="T336" s="222"/>
      <c r="U336" s="214">
        <f t="shared" si="454"/>
        <v>3265600</v>
      </c>
      <c r="V336" s="250"/>
      <c r="W336" s="224">
        <f t="shared" si="464"/>
        <v>272140</v>
      </c>
      <c r="X336" s="225">
        <f t="shared" si="455"/>
        <v>146950</v>
      </c>
      <c r="Y336" s="225">
        <f t="shared" si="384"/>
        <v>105480</v>
      </c>
      <c r="Z336" s="225">
        <f t="shared" si="385"/>
        <v>8980</v>
      </c>
      <c r="AA336" s="225">
        <f t="shared" si="458"/>
        <v>29390</v>
      </c>
      <c r="AB336" s="225">
        <f t="shared" si="459"/>
        <v>26120</v>
      </c>
      <c r="AC336" s="252">
        <f t="shared" si="460"/>
        <v>589060</v>
      </c>
    </row>
    <row r="337" spans="1:29" s="204" customFormat="1" ht="16.5" hidden="1" customHeight="1">
      <c r="A337" s="319"/>
      <c r="B337" s="211"/>
      <c r="C337" s="212"/>
      <c r="D337" s="212"/>
      <c r="E337" s="219" t="s">
        <v>394</v>
      </c>
      <c r="F337" s="221">
        <f t="shared" si="465"/>
        <v>2444000</v>
      </c>
      <c r="G337" s="221"/>
      <c r="H337" s="221"/>
      <c r="I337" s="222"/>
      <c r="J337" s="221"/>
      <c r="K337" s="221"/>
      <c r="L337" s="221"/>
      <c r="M337" s="221"/>
      <c r="N337" s="221"/>
      <c r="O337" s="221">
        <f t="shared" si="461"/>
        <v>120000</v>
      </c>
      <c r="P337" s="221"/>
      <c r="Q337" s="221">
        <f t="shared" si="462"/>
        <v>17540</v>
      </c>
      <c r="R337" s="221">
        <f t="shared" si="463"/>
        <v>701600</v>
      </c>
      <c r="S337" s="221"/>
      <c r="T337" s="222"/>
      <c r="U337" s="214">
        <f t="shared" si="454"/>
        <v>3265600</v>
      </c>
      <c r="V337" s="250"/>
      <c r="W337" s="224">
        <f t="shared" si="464"/>
        <v>272140</v>
      </c>
      <c r="X337" s="225">
        <f t="shared" si="455"/>
        <v>146950</v>
      </c>
      <c r="Y337" s="225">
        <f t="shared" si="384"/>
        <v>105480</v>
      </c>
      <c r="Z337" s="225">
        <f t="shared" si="385"/>
        <v>8980</v>
      </c>
      <c r="AA337" s="225">
        <f t="shared" si="458"/>
        <v>29390</v>
      </c>
      <c r="AB337" s="225">
        <f t="shared" si="459"/>
        <v>26120</v>
      </c>
      <c r="AC337" s="252">
        <f t="shared" si="460"/>
        <v>589060</v>
      </c>
    </row>
    <row r="338" spans="1:29" s="204" customFormat="1" ht="16.5" hidden="1" customHeight="1">
      <c r="A338" s="319"/>
      <c r="B338" s="211"/>
      <c r="C338" s="212"/>
      <c r="D338" s="212"/>
      <c r="E338" s="219" t="s">
        <v>279</v>
      </c>
      <c r="F338" s="221">
        <f t="shared" si="465"/>
        <v>2444000</v>
      </c>
      <c r="G338" s="221"/>
      <c r="H338" s="220"/>
      <c r="I338" s="222"/>
      <c r="J338" s="221"/>
      <c r="K338" s="221"/>
      <c r="L338" s="221"/>
      <c r="M338" s="221"/>
      <c r="N338" s="221"/>
      <c r="O338" s="221">
        <f t="shared" si="461"/>
        <v>120000</v>
      </c>
      <c r="P338" s="221"/>
      <c r="Q338" s="221">
        <f t="shared" si="462"/>
        <v>17540</v>
      </c>
      <c r="R338" s="221">
        <f t="shared" si="463"/>
        <v>701600</v>
      </c>
      <c r="S338" s="221"/>
      <c r="T338" s="222"/>
      <c r="U338" s="214">
        <f t="shared" si="454"/>
        <v>3265600</v>
      </c>
      <c r="V338" s="250"/>
      <c r="W338" s="224">
        <f t="shared" si="464"/>
        <v>272140</v>
      </c>
      <c r="X338" s="225">
        <f t="shared" si="455"/>
        <v>146950</v>
      </c>
      <c r="Y338" s="225">
        <f t="shared" si="384"/>
        <v>105480</v>
      </c>
      <c r="Z338" s="225">
        <f t="shared" si="385"/>
        <v>8980</v>
      </c>
      <c r="AA338" s="225">
        <f t="shared" si="458"/>
        <v>29390</v>
      </c>
      <c r="AB338" s="225">
        <f t="shared" si="459"/>
        <v>26120</v>
      </c>
      <c r="AC338" s="252">
        <f t="shared" si="460"/>
        <v>589060</v>
      </c>
    </row>
    <row r="339" spans="1:29" s="204" customFormat="1" ht="16.5" hidden="1" customHeight="1">
      <c r="A339" s="319"/>
      <c r="B339" s="211"/>
      <c r="C339" s="212"/>
      <c r="D339" s="212"/>
      <c r="E339" s="219" t="s">
        <v>280</v>
      </c>
      <c r="F339" s="221">
        <f t="shared" si="465"/>
        <v>2444000</v>
      </c>
      <c r="G339" s="221"/>
      <c r="H339" s="221"/>
      <c r="I339" s="222"/>
      <c r="J339" s="221"/>
      <c r="K339" s="221"/>
      <c r="L339" s="221"/>
      <c r="M339" s="221"/>
      <c r="N339" s="221"/>
      <c r="O339" s="221">
        <f t="shared" si="461"/>
        <v>120000</v>
      </c>
      <c r="P339" s="221"/>
      <c r="Q339" s="221">
        <f t="shared" si="462"/>
        <v>17540</v>
      </c>
      <c r="R339" s="221">
        <f t="shared" si="463"/>
        <v>701600</v>
      </c>
      <c r="S339" s="221"/>
      <c r="T339" s="222"/>
      <c r="U339" s="214">
        <f t="shared" si="454"/>
        <v>3265600</v>
      </c>
      <c r="V339" s="250"/>
      <c r="W339" s="224">
        <f t="shared" si="464"/>
        <v>272140</v>
      </c>
      <c r="X339" s="225">
        <f t="shared" si="455"/>
        <v>146950</v>
      </c>
      <c r="Y339" s="225">
        <f t="shared" si="384"/>
        <v>105480</v>
      </c>
      <c r="Z339" s="225">
        <f t="shared" si="385"/>
        <v>8980</v>
      </c>
      <c r="AA339" s="225">
        <f t="shared" si="458"/>
        <v>29390</v>
      </c>
      <c r="AB339" s="225">
        <f t="shared" si="459"/>
        <v>26120</v>
      </c>
      <c r="AC339" s="252">
        <f t="shared" si="460"/>
        <v>589060</v>
      </c>
    </row>
    <row r="340" spans="1:29" s="204" customFormat="1" ht="16.5" hidden="1" customHeight="1">
      <c r="A340" s="319"/>
      <c r="B340" s="211"/>
      <c r="C340" s="212"/>
      <c r="D340" s="212"/>
      <c r="E340" s="219" t="s">
        <v>54</v>
      </c>
      <c r="F340" s="221">
        <f t="shared" si="465"/>
        <v>2444000</v>
      </c>
      <c r="G340" s="221"/>
      <c r="H340" s="221"/>
      <c r="I340" s="222"/>
      <c r="J340" s="221"/>
      <c r="K340" s="221"/>
      <c r="L340" s="221"/>
      <c r="M340" s="221">
        <f t="shared" ref="M340" si="466">F340*60%</f>
        <v>1466400</v>
      </c>
      <c r="N340" s="221"/>
      <c r="O340" s="221">
        <f t="shared" si="461"/>
        <v>120000</v>
      </c>
      <c r="P340" s="221"/>
      <c r="Q340" s="221">
        <f t="shared" si="462"/>
        <v>17540</v>
      </c>
      <c r="R340" s="221">
        <f t="shared" si="463"/>
        <v>701600</v>
      </c>
      <c r="S340" s="221"/>
      <c r="T340" s="222"/>
      <c r="U340" s="214">
        <f t="shared" si="454"/>
        <v>4732000</v>
      </c>
      <c r="V340" s="250"/>
      <c r="W340" s="224">
        <f t="shared" si="464"/>
        <v>394340</v>
      </c>
      <c r="X340" s="225">
        <f t="shared" si="455"/>
        <v>212940</v>
      </c>
      <c r="Y340" s="225">
        <f t="shared" si="384"/>
        <v>152850</v>
      </c>
      <c r="Z340" s="225">
        <f t="shared" si="385"/>
        <v>13010</v>
      </c>
      <c r="AA340" s="225">
        <f t="shared" si="458"/>
        <v>42590</v>
      </c>
      <c r="AB340" s="225">
        <f t="shared" si="459"/>
        <v>37860</v>
      </c>
      <c r="AC340" s="252">
        <f t="shared" si="460"/>
        <v>853590</v>
      </c>
    </row>
    <row r="341" spans="1:29" s="204" customFormat="1" ht="16.5" hidden="1" customHeight="1">
      <c r="A341" s="319"/>
      <c r="B341" s="211"/>
      <c r="C341" s="212"/>
      <c r="D341" s="212"/>
      <c r="E341" s="219" t="s">
        <v>55</v>
      </c>
      <c r="F341" s="221">
        <f t="shared" si="465"/>
        <v>2444000</v>
      </c>
      <c r="G341" s="221"/>
      <c r="H341" s="221"/>
      <c r="I341" s="222"/>
      <c r="J341" s="221"/>
      <c r="K341" s="221"/>
      <c r="L341" s="221"/>
      <c r="M341" s="221"/>
      <c r="N341" s="221"/>
      <c r="O341" s="221">
        <f t="shared" si="461"/>
        <v>120000</v>
      </c>
      <c r="P341" s="221"/>
      <c r="Q341" s="221">
        <f t="shared" si="462"/>
        <v>17540</v>
      </c>
      <c r="R341" s="221">
        <f t="shared" si="463"/>
        <v>701600</v>
      </c>
      <c r="S341" s="221"/>
      <c r="T341" s="222"/>
      <c r="U341" s="214">
        <f t="shared" si="454"/>
        <v>3265600</v>
      </c>
      <c r="V341" s="250"/>
      <c r="W341" s="224">
        <f t="shared" si="464"/>
        <v>272140</v>
      </c>
      <c r="X341" s="225">
        <f t="shared" si="455"/>
        <v>146950</v>
      </c>
      <c r="Y341" s="225">
        <f t="shared" si="384"/>
        <v>105480</v>
      </c>
      <c r="Z341" s="225">
        <f t="shared" si="385"/>
        <v>8980</v>
      </c>
      <c r="AA341" s="225">
        <f t="shared" si="458"/>
        <v>29390</v>
      </c>
      <c r="AB341" s="225">
        <f t="shared" si="459"/>
        <v>26120</v>
      </c>
      <c r="AC341" s="252">
        <f t="shared" si="460"/>
        <v>589060</v>
      </c>
    </row>
    <row r="342" spans="1:29" s="204" customFormat="1" ht="16.5" hidden="1" customHeight="1">
      <c r="A342" s="319"/>
      <c r="B342" s="211"/>
      <c r="C342" s="212"/>
      <c r="D342" s="212"/>
      <c r="E342" s="219" t="s">
        <v>56</v>
      </c>
      <c r="F342" s="221">
        <f t="shared" si="465"/>
        <v>2444000</v>
      </c>
      <c r="G342" s="221"/>
      <c r="H342" s="221"/>
      <c r="I342" s="222"/>
      <c r="J342" s="221"/>
      <c r="K342" s="221"/>
      <c r="L342" s="221"/>
      <c r="M342" s="221"/>
      <c r="N342" s="221"/>
      <c r="O342" s="221">
        <f t="shared" si="461"/>
        <v>120000</v>
      </c>
      <c r="P342" s="221"/>
      <c r="Q342" s="221">
        <f t="shared" si="462"/>
        <v>17540</v>
      </c>
      <c r="R342" s="221">
        <f t="shared" si="463"/>
        <v>701600</v>
      </c>
      <c r="S342" s="221"/>
      <c r="T342" s="222"/>
      <c r="U342" s="214">
        <f t="shared" si="454"/>
        <v>3265600</v>
      </c>
      <c r="V342" s="250"/>
      <c r="W342" s="224">
        <f t="shared" si="464"/>
        <v>272140</v>
      </c>
      <c r="X342" s="225">
        <f t="shared" si="455"/>
        <v>146950</v>
      </c>
      <c r="Y342" s="225">
        <f t="shared" si="384"/>
        <v>105480</v>
      </c>
      <c r="Z342" s="225">
        <f t="shared" si="385"/>
        <v>8980</v>
      </c>
      <c r="AA342" s="225">
        <f t="shared" si="458"/>
        <v>29390</v>
      </c>
      <c r="AB342" s="225">
        <f t="shared" si="459"/>
        <v>26120</v>
      </c>
      <c r="AC342" s="252">
        <f t="shared" si="460"/>
        <v>589060</v>
      </c>
    </row>
    <row r="343" spans="1:29" s="204" customFormat="1" ht="16.5" hidden="1" customHeight="1">
      <c r="A343" s="319"/>
      <c r="B343" s="211"/>
      <c r="C343" s="212"/>
      <c r="D343" s="212"/>
      <c r="E343" s="219" t="s">
        <v>395</v>
      </c>
      <c r="F343" s="221">
        <f t="shared" si="465"/>
        <v>2444000</v>
      </c>
      <c r="G343" s="221"/>
      <c r="H343" s="221"/>
      <c r="I343" s="222"/>
      <c r="J343" s="221"/>
      <c r="K343" s="221"/>
      <c r="L343" s="221"/>
      <c r="M343" s="221"/>
      <c r="N343" s="221"/>
      <c r="O343" s="221">
        <f t="shared" si="461"/>
        <v>120000</v>
      </c>
      <c r="P343" s="221"/>
      <c r="Q343" s="221">
        <f t="shared" si="462"/>
        <v>17540</v>
      </c>
      <c r="R343" s="221">
        <f>Q343*40*2</f>
        <v>1403200</v>
      </c>
      <c r="S343" s="221"/>
      <c r="T343" s="222"/>
      <c r="U343" s="214">
        <f t="shared" si="454"/>
        <v>3967200</v>
      </c>
      <c r="V343" s="250"/>
      <c r="W343" s="224">
        <f t="shared" si="464"/>
        <v>330600</v>
      </c>
      <c r="X343" s="225">
        <f t="shared" si="455"/>
        <v>178520</v>
      </c>
      <c r="Y343" s="225">
        <f t="shared" si="384"/>
        <v>128150</v>
      </c>
      <c r="Z343" s="225">
        <f t="shared" si="385"/>
        <v>10910</v>
      </c>
      <c r="AA343" s="225">
        <f t="shared" si="458"/>
        <v>35700</v>
      </c>
      <c r="AB343" s="225">
        <f t="shared" si="459"/>
        <v>31740</v>
      </c>
      <c r="AC343" s="252">
        <f t="shared" si="460"/>
        <v>715620</v>
      </c>
    </row>
    <row r="344" spans="1:29" s="204" customFormat="1" ht="16.5" hidden="1" customHeight="1">
      <c r="A344" s="319">
        <v>27</v>
      </c>
      <c r="B344" s="211" t="s">
        <v>87</v>
      </c>
      <c r="C344" s="212" t="s">
        <v>522</v>
      </c>
      <c r="D344" s="212">
        <v>1</v>
      </c>
      <c r="E344" s="213" t="s">
        <v>86</v>
      </c>
      <c r="F344" s="214">
        <f t="shared" ref="F344:N344" si="467">SUM(F345:F356)</f>
        <v>26736000</v>
      </c>
      <c r="G344" s="214">
        <f t="shared" si="467"/>
        <v>0</v>
      </c>
      <c r="H344" s="214">
        <f t="shared" si="467"/>
        <v>0</v>
      </c>
      <c r="I344" s="214">
        <f t="shared" si="467"/>
        <v>0</v>
      </c>
      <c r="J344" s="214">
        <f t="shared" si="467"/>
        <v>0</v>
      </c>
      <c r="K344" s="214">
        <f t="shared" si="467"/>
        <v>0</v>
      </c>
      <c r="L344" s="214">
        <f t="shared" si="467"/>
        <v>0</v>
      </c>
      <c r="M344" s="214">
        <f t="shared" si="467"/>
        <v>2673600</v>
      </c>
      <c r="N344" s="214">
        <f t="shared" si="467"/>
        <v>0</v>
      </c>
      <c r="O344" s="214">
        <f>SUM(O345:O356)</f>
        <v>680000</v>
      </c>
      <c r="P344" s="214">
        <f t="shared" ref="P344" si="468">SUM(P345:P356)</f>
        <v>0</v>
      </c>
      <c r="Q344" s="214"/>
      <c r="R344" s="214">
        <f t="shared" ref="R344:R370" si="469">SUM(R345:R356)</f>
        <v>7675200</v>
      </c>
      <c r="S344" s="214">
        <f>SUM(S345:S356)</f>
        <v>0</v>
      </c>
      <c r="T344" s="214">
        <f t="shared" ref="T344:U344" si="470">SUM(T345:T356)</f>
        <v>0</v>
      </c>
      <c r="U344" s="214">
        <f t="shared" si="470"/>
        <v>37764800</v>
      </c>
      <c r="V344" s="250"/>
      <c r="W344" s="217">
        <f t="shared" ref="W344:AB344" si="471">SUM(W345:W356)</f>
        <v>3147110</v>
      </c>
      <c r="X344" s="214">
        <f t="shared" si="471"/>
        <v>1699410</v>
      </c>
      <c r="Y344" s="214">
        <f t="shared" si="471"/>
        <v>1219850</v>
      </c>
      <c r="Z344" s="214">
        <f t="shared" si="471"/>
        <v>103840</v>
      </c>
      <c r="AA344" s="214">
        <f t="shared" si="471"/>
        <v>339890</v>
      </c>
      <c r="AB344" s="214">
        <f t="shared" si="471"/>
        <v>302120</v>
      </c>
      <c r="AC344" s="266">
        <f>SUM(AC345:AC356)</f>
        <v>6812220</v>
      </c>
    </row>
    <row r="345" spans="1:29" s="204" customFormat="1" ht="16.5" hidden="1" customHeight="1">
      <c r="A345" s="319"/>
      <c r="B345" s="211" t="s">
        <v>827</v>
      </c>
      <c r="C345" s="310">
        <v>8</v>
      </c>
      <c r="D345" s="310"/>
      <c r="E345" s="311" t="s">
        <v>389</v>
      </c>
      <c r="F345" s="312">
        <v>2197000</v>
      </c>
      <c r="G345" s="221"/>
      <c r="H345" s="220"/>
      <c r="I345" s="222"/>
      <c r="J345" s="221"/>
      <c r="K345" s="221"/>
      <c r="L345" s="221"/>
      <c r="M345" s="221" t="s">
        <v>60</v>
      </c>
      <c r="N345" s="221"/>
      <c r="O345" s="221">
        <v>40000</v>
      </c>
      <c r="P345" s="221"/>
      <c r="Q345" s="221"/>
      <c r="R345" s="221"/>
      <c r="S345" s="221"/>
      <c r="T345" s="222"/>
      <c r="U345" s="214">
        <f t="shared" ref="U345:U356" si="472">SUM(F345,M345,O345,R345,T345,S345)</f>
        <v>2237000</v>
      </c>
      <c r="V345" s="250"/>
      <c r="W345" s="224">
        <f>ROUNDUP(U345*1/12,-1)</f>
        <v>186420</v>
      </c>
      <c r="X345" s="225">
        <f t="shared" ref="X345:X356" si="473">ROUND(U345*4.5%,-1)</f>
        <v>100670</v>
      </c>
      <c r="Y345" s="225">
        <f t="shared" ref="Y345:Y408" si="474">ROUNDUP((U345-L345)*3.23%,-1)</f>
        <v>72260</v>
      </c>
      <c r="Z345" s="225">
        <f t="shared" ref="Z345:Z408" si="475">ROUNDUP(Y345*8.51%,-1)</f>
        <v>6150</v>
      </c>
      <c r="AA345" s="225">
        <f t="shared" ref="AA345:AA356" si="476">ROUND(U345*0.9%,-1)</f>
        <v>20130</v>
      </c>
      <c r="AB345" s="225">
        <f t="shared" ref="AB345:AB356" si="477">ROUND(U345*0.8%,-1)</f>
        <v>17900</v>
      </c>
      <c r="AC345" s="252">
        <f t="shared" ref="AC345:AC356" si="478">SUM(W345:AB345)</f>
        <v>403530</v>
      </c>
    </row>
    <row r="346" spans="1:29" s="204" customFormat="1" ht="16.5" hidden="1" customHeight="1">
      <c r="A346" s="319"/>
      <c r="B346" s="211"/>
      <c r="C346" s="212"/>
      <c r="D346" s="212"/>
      <c r="E346" s="219" t="s">
        <v>390</v>
      </c>
      <c r="F346" s="221">
        <f>F345</f>
        <v>2197000</v>
      </c>
      <c r="G346" s="221"/>
      <c r="H346" s="221"/>
      <c r="I346" s="222"/>
      <c r="J346" s="221"/>
      <c r="K346" s="221"/>
      <c r="L346" s="221"/>
      <c r="M346" s="221">
        <f>F346*60%</f>
        <v>1318200</v>
      </c>
      <c r="N346" s="221"/>
      <c r="O346" s="221">
        <f t="shared" ref="O346:O356" si="479">O345</f>
        <v>40000</v>
      </c>
      <c r="P346" s="221"/>
      <c r="Q346" s="221">
        <f t="shared" ref="Q346:Q356" si="480">ROUND((F345+T345)*1/209*1.5,-1)</f>
        <v>15770</v>
      </c>
      <c r="R346" s="221">
        <f>Q346*40</f>
        <v>630800</v>
      </c>
      <c r="S346" s="221"/>
      <c r="T346" s="222"/>
      <c r="U346" s="214">
        <f t="shared" si="472"/>
        <v>4186000</v>
      </c>
      <c r="V346" s="250"/>
      <c r="W346" s="224">
        <f>ROUNDUP((T346+U346)*1/12,-1)</f>
        <v>348840</v>
      </c>
      <c r="X346" s="225">
        <f t="shared" si="473"/>
        <v>188370</v>
      </c>
      <c r="Y346" s="225">
        <f t="shared" si="474"/>
        <v>135210</v>
      </c>
      <c r="Z346" s="225">
        <f t="shared" si="475"/>
        <v>11510</v>
      </c>
      <c r="AA346" s="225">
        <f t="shared" si="476"/>
        <v>37670</v>
      </c>
      <c r="AB346" s="225">
        <f t="shared" si="477"/>
        <v>33490</v>
      </c>
      <c r="AC346" s="252">
        <f t="shared" si="478"/>
        <v>755090</v>
      </c>
    </row>
    <row r="347" spans="1:29" s="204" customFormat="1" ht="16.5" hidden="1" customHeight="1">
      <c r="A347" s="319"/>
      <c r="B347" s="211"/>
      <c r="C347" s="212"/>
      <c r="D347" s="212"/>
      <c r="E347" s="219" t="s">
        <v>391</v>
      </c>
      <c r="F347" s="221">
        <f>F346</f>
        <v>2197000</v>
      </c>
      <c r="G347" s="221"/>
      <c r="H347" s="221"/>
      <c r="I347" s="222"/>
      <c r="J347" s="221"/>
      <c r="K347" s="221"/>
      <c r="L347" s="221"/>
      <c r="M347" s="221"/>
      <c r="N347" s="221"/>
      <c r="O347" s="221">
        <v>60000</v>
      </c>
      <c r="P347" s="221"/>
      <c r="Q347" s="221">
        <f t="shared" si="480"/>
        <v>15770</v>
      </c>
      <c r="R347" s="221">
        <f t="shared" ref="R347:R355" si="481">Q347*40</f>
        <v>630800</v>
      </c>
      <c r="S347" s="221"/>
      <c r="T347" s="222"/>
      <c r="U347" s="214">
        <f t="shared" si="472"/>
        <v>2887800</v>
      </c>
      <c r="V347" s="250"/>
      <c r="W347" s="224">
        <f t="shared" ref="W347:W356" si="482">ROUNDUP(U347*1/12,-1)</f>
        <v>240650</v>
      </c>
      <c r="X347" s="225">
        <f t="shared" si="473"/>
        <v>129950</v>
      </c>
      <c r="Y347" s="225">
        <f t="shared" si="474"/>
        <v>93280</v>
      </c>
      <c r="Z347" s="225">
        <f t="shared" si="475"/>
        <v>7940</v>
      </c>
      <c r="AA347" s="225">
        <f t="shared" si="476"/>
        <v>25990</v>
      </c>
      <c r="AB347" s="225">
        <f t="shared" si="477"/>
        <v>23100</v>
      </c>
      <c r="AC347" s="252">
        <f t="shared" si="478"/>
        <v>520910</v>
      </c>
    </row>
    <row r="348" spans="1:29" s="204" customFormat="1" ht="16.5" hidden="1" customHeight="1">
      <c r="A348" s="319"/>
      <c r="B348" s="211"/>
      <c r="C348" s="212"/>
      <c r="D348" s="212"/>
      <c r="E348" s="219" t="s">
        <v>392</v>
      </c>
      <c r="F348" s="221">
        <f>F347</f>
        <v>2197000</v>
      </c>
      <c r="G348" s="221"/>
      <c r="H348" s="221"/>
      <c r="I348" s="222"/>
      <c r="J348" s="221"/>
      <c r="K348" s="221"/>
      <c r="L348" s="221"/>
      <c r="M348" s="221"/>
      <c r="N348" s="221"/>
      <c r="O348" s="221">
        <f t="shared" si="479"/>
        <v>60000</v>
      </c>
      <c r="P348" s="221"/>
      <c r="Q348" s="221">
        <f t="shared" si="480"/>
        <v>15770</v>
      </c>
      <c r="R348" s="221">
        <f t="shared" si="481"/>
        <v>630800</v>
      </c>
      <c r="S348" s="221"/>
      <c r="T348" s="222"/>
      <c r="U348" s="214">
        <f t="shared" si="472"/>
        <v>2887800</v>
      </c>
      <c r="V348" s="250"/>
      <c r="W348" s="224">
        <f t="shared" si="482"/>
        <v>240650</v>
      </c>
      <c r="X348" s="225">
        <f t="shared" si="473"/>
        <v>129950</v>
      </c>
      <c r="Y348" s="225">
        <f t="shared" si="474"/>
        <v>93280</v>
      </c>
      <c r="Z348" s="225">
        <f t="shared" si="475"/>
        <v>7940</v>
      </c>
      <c r="AA348" s="225">
        <f t="shared" si="476"/>
        <v>25990</v>
      </c>
      <c r="AB348" s="225">
        <f t="shared" si="477"/>
        <v>23100</v>
      </c>
      <c r="AC348" s="252">
        <f t="shared" si="478"/>
        <v>520910</v>
      </c>
    </row>
    <row r="349" spans="1:29" s="204" customFormat="1" ht="16.5" hidden="1" customHeight="1">
      <c r="A349" s="319"/>
      <c r="B349" s="211"/>
      <c r="C349" s="212"/>
      <c r="D349" s="212"/>
      <c r="E349" s="219" t="s">
        <v>393</v>
      </c>
      <c r="F349" s="221">
        <f>F348</f>
        <v>2197000</v>
      </c>
      <c r="G349" s="221"/>
      <c r="H349" s="221"/>
      <c r="I349" s="222"/>
      <c r="J349" s="221"/>
      <c r="K349" s="221"/>
      <c r="L349" s="221"/>
      <c r="M349" s="221"/>
      <c r="N349" s="221"/>
      <c r="O349" s="221">
        <f t="shared" si="479"/>
        <v>60000</v>
      </c>
      <c r="P349" s="221"/>
      <c r="Q349" s="221">
        <f t="shared" si="480"/>
        <v>15770</v>
      </c>
      <c r="R349" s="221">
        <f t="shared" si="481"/>
        <v>630800</v>
      </c>
      <c r="S349" s="221"/>
      <c r="T349" s="222"/>
      <c r="U349" s="214">
        <f t="shared" si="472"/>
        <v>2887800</v>
      </c>
      <c r="V349" s="250"/>
      <c r="W349" s="224">
        <f t="shared" si="482"/>
        <v>240650</v>
      </c>
      <c r="X349" s="225">
        <f t="shared" si="473"/>
        <v>129950</v>
      </c>
      <c r="Y349" s="225">
        <f t="shared" si="474"/>
        <v>93280</v>
      </c>
      <c r="Z349" s="225">
        <f t="shared" si="475"/>
        <v>7940</v>
      </c>
      <c r="AA349" s="225">
        <f t="shared" si="476"/>
        <v>25990</v>
      </c>
      <c r="AB349" s="225">
        <f t="shared" si="477"/>
        <v>23100</v>
      </c>
      <c r="AC349" s="252">
        <f t="shared" si="478"/>
        <v>520910</v>
      </c>
    </row>
    <row r="350" spans="1:29" s="204" customFormat="1" ht="16.5" hidden="1" customHeight="1">
      <c r="A350" s="319"/>
      <c r="B350" s="211"/>
      <c r="C350" s="212"/>
      <c r="D350" s="212"/>
      <c r="E350" s="219" t="s">
        <v>394</v>
      </c>
      <c r="F350" s="221">
        <f>F349</f>
        <v>2197000</v>
      </c>
      <c r="G350" s="221"/>
      <c r="H350" s="221"/>
      <c r="I350" s="222"/>
      <c r="J350" s="221"/>
      <c r="K350" s="221"/>
      <c r="L350" s="221"/>
      <c r="M350" s="221"/>
      <c r="N350" s="221"/>
      <c r="O350" s="221">
        <f t="shared" si="479"/>
        <v>60000</v>
      </c>
      <c r="P350" s="221"/>
      <c r="Q350" s="221">
        <f t="shared" si="480"/>
        <v>15770</v>
      </c>
      <c r="R350" s="221">
        <f t="shared" si="481"/>
        <v>630800</v>
      </c>
      <c r="S350" s="221"/>
      <c r="T350" s="222"/>
      <c r="U350" s="214">
        <f t="shared" si="472"/>
        <v>2887800</v>
      </c>
      <c r="V350" s="250"/>
      <c r="W350" s="224">
        <f t="shared" si="482"/>
        <v>240650</v>
      </c>
      <c r="X350" s="225">
        <f t="shared" si="473"/>
        <v>129950</v>
      </c>
      <c r="Y350" s="225">
        <f t="shared" si="474"/>
        <v>93280</v>
      </c>
      <c r="Z350" s="225">
        <f t="shared" si="475"/>
        <v>7940</v>
      </c>
      <c r="AA350" s="225">
        <f t="shared" si="476"/>
        <v>25990</v>
      </c>
      <c r="AB350" s="225">
        <f t="shared" si="477"/>
        <v>23100</v>
      </c>
      <c r="AC350" s="252">
        <f t="shared" si="478"/>
        <v>520910</v>
      </c>
    </row>
    <row r="351" spans="1:29" s="204" customFormat="1" ht="16.5" hidden="1" customHeight="1">
      <c r="A351" s="319"/>
      <c r="B351" s="211"/>
      <c r="C351" s="310">
        <f>C345+1</f>
        <v>9</v>
      </c>
      <c r="D351" s="310"/>
      <c r="E351" s="311" t="s">
        <v>279</v>
      </c>
      <c r="F351" s="312">
        <v>2259000</v>
      </c>
      <c r="G351" s="221"/>
      <c r="H351" s="220"/>
      <c r="I351" s="222"/>
      <c r="J351" s="221"/>
      <c r="K351" s="221"/>
      <c r="L351" s="221"/>
      <c r="M351" s="221"/>
      <c r="N351" s="221"/>
      <c r="O351" s="221">
        <f t="shared" si="479"/>
        <v>60000</v>
      </c>
      <c r="P351" s="221"/>
      <c r="Q351" s="221">
        <f t="shared" si="480"/>
        <v>15770</v>
      </c>
      <c r="R351" s="221">
        <f t="shared" si="481"/>
        <v>630800</v>
      </c>
      <c r="S351" s="221"/>
      <c r="T351" s="222"/>
      <c r="U351" s="214">
        <f t="shared" si="472"/>
        <v>2949800</v>
      </c>
      <c r="V351" s="250"/>
      <c r="W351" s="224">
        <f t="shared" si="482"/>
        <v>245820</v>
      </c>
      <c r="X351" s="225">
        <f t="shared" si="473"/>
        <v>132740</v>
      </c>
      <c r="Y351" s="225">
        <f t="shared" si="474"/>
        <v>95280</v>
      </c>
      <c r="Z351" s="225">
        <f t="shared" si="475"/>
        <v>8110</v>
      </c>
      <c r="AA351" s="225">
        <f t="shared" si="476"/>
        <v>26550</v>
      </c>
      <c r="AB351" s="225">
        <f t="shared" si="477"/>
        <v>23600</v>
      </c>
      <c r="AC351" s="252">
        <f t="shared" si="478"/>
        <v>532100</v>
      </c>
    </row>
    <row r="352" spans="1:29" s="204" customFormat="1" ht="16.5" hidden="1" customHeight="1">
      <c r="A352" s="319"/>
      <c r="B352" s="211"/>
      <c r="C352" s="212"/>
      <c r="D352" s="212"/>
      <c r="E352" s="219" t="s">
        <v>280</v>
      </c>
      <c r="F352" s="221">
        <f>F351</f>
        <v>2259000</v>
      </c>
      <c r="G352" s="221"/>
      <c r="H352" s="221"/>
      <c r="I352" s="222"/>
      <c r="J352" s="221"/>
      <c r="K352" s="221"/>
      <c r="L352" s="221"/>
      <c r="M352" s="221"/>
      <c r="N352" s="221"/>
      <c r="O352" s="221">
        <f t="shared" si="479"/>
        <v>60000</v>
      </c>
      <c r="P352" s="221"/>
      <c r="Q352" s="221">
        <f t="shared" si="480"/>
        <v>16210</v>
      </c>
      <c r="R352" s="221">
        <f t="shared" si="481"/>
        <v>648400</v>
      </c>
      <c r="S352" s="221"/>
      <c r="T352" s="222"/>
      <c r="U352" s="214">
        <f t="shared" si="472"/>
        <v>2967400</v>
      </c>
      <c r="V352" s="250"/>
      <c r="W352" s="224">
        <f t="shared" si="482"/>
        <v>247290</v>
      </c>
      <c r="X352" s="225">
        <f t="shared" si="473"/>
        <v>133530</v>
      </c>
      <c r="Y352" s="225">
        <f t="shared" si="474"/>
        <v>95850</v>
      </c>
      <c r="Z352" s="225">
        <f t="shared" si="475"/>
        <v>8160</v>
      </c>
      <c r="AA352" s="225">
        <f t="shared" si="476"/>
        <v>26710</v>
      </c>
      <c r="AB352" s="225">
        <f t="shared" si="477"/>
        <v>23740</v>
      </c>
      <c r="AC352" s="252">
        <f t="shared" si="478"/>
        <v>535280</v>
      </c>
    </row>
    <row r="353" spans="1:29" s="204" customFormat="1" ht="16.5" hidden="1" customHeight="1">
      <c r="A353" s="319"/>
      <c r="B353" s="211"/>
      <c r="C353" s="212"/>
      <c r="D353" s="212"/>
      <c r="E353" s="219" t="s">
        <v>54</v>
      </c>
      <c r="F353" s="221">
        <f>F352</f>
        <v>2259000</v>
      </c>
      <c r="G353" s="221"/>
      <c r="H353" s="221"/>
      <c r="I353" s="222"/>
      <c r="J353" s="221"/>
      <c r="K353" s="221"/>
      <c r="L353" s="221"/>
      <c r="M353" s="221">
        <f t="shared" ref="M353" si="483">F353*60%</f>
        <v>1355400</v>
      </c>
      <c r="N353" s="221"/>
      <c r="O353" s="221">
        <f t="shared" si="479"/>
        <v>60000</v>
      </c>
      <c r="P353" s="221"/>
      <c r="Q353" s="221">
        <f t="shared" si="480"/>
        <v>16210</v>
      </c>
      <c r="R353" s="221">
        <f t="shared" si="481"/>
        <v>648400</v>
      </c>
      <c r="S353" s="221"/>
      <c r="T353" s="222"/>
      <c r="U353" s="214">
        <f t="shared" si="472"/>
        <v>4322800</v>
      </c>
      <c r="V353" s="250"/>
      <c r="W353" s="224">
        <f t="shared" si="482"/>
        <v>360240</v>
      </c>
      <c r="X353" s="225">
        <f t="shared" si="473"/>
        <v>194530</v>
      </c>
      <c r="Y353" s="225">
        <f t="shared" si="474"/>
        <v>139630</v>
      </c>
      <c r="Z353" s="225">
        <f t="shared" si="475"/>
        <v>11890</v>
      </c>
      <c r="AA353" s="225">
        <f t="shared" si="476"/>
        <v>38910</v>
      </c>
      <c r="AB353" s="225">
        <f t="shared" si="477"/>
        <v>34580</v>
      </c>
      <c r="AC353" s="252">
        <f t="shared" si="478"/>
        <v>779780</v>
      </c>
    </row>
    <row r="354" spans="1:29" s="204" customFormat="1" ht="16.5" hidden="1" customHeight="1">
      <c r="A354" s="319"/>
      <c r="B354" s="211"/>
      <c r="C354" s="212"/>
      <c r="D354" s="212"/>
      <c r="E354" s="219" t="s">
        <v>55</v>
      </c>
      <c r="F354" s="221">
        <f>F353</f>
        <v>2259000</v>
      </c>
      <c r="G354" s="221"/>
      <c r="H354" s="221"/>
      <c r="I354" s="222"/>
      <c r="J354" s="221"/>
      <c r="K354" s="221"/>
      <c r="L354" s="221"/>
      <c r="M354" s="221"/>
      <c r="N354" s="221"/>
      <c r="O354" s="221">
        <f t="shared" si="479"/>
        <v>60000</v>
      </c>
      <c r="P354" s="221"/>
      <c r="Q354" s="221">
        <f t="shared" si="480"/>
        <v>16210</v>
      </c>
      <c r="R354" s="221">
        <f t="shared" si="481"/>
        <v>648400</v>
      </c>
      <c r="S354" s="221"/>
      <c r="T354" s="222"/>
      <c r="U354" s="214">
        <f t="shared" si="472"/>
        <v>2967400</v>
      </c>
      <c r="V354" s="250"/>
      <c r="W354" s="224">
        <f t="shared" si="482"/>
        <v>247290</v>
      </c>
      <c r="X354" s="225">
        <f t="shared" si="473"/>
        <v>133530</v>
      </c>
      <c r="Y354" s="225">
        <f t="shared" si="474"/>
        <v>95850</v>
      </c>
      <c r="Z354" s="225">
        <f t="shared" si="475"/>
        <v>8160</v>
      </c>
      <c r="AA354" s="225">
        <f t="shared" si="476"/>
        <v>26710</v>
      </c>
      <c r="AB354" s="225">
        <f t="shared" si="477"/>
        <v>23740</v>
      </c>
      <c r="AC354" s="252">
        <f t="shared" si="478"/>
        <v>535280</v>
      </c>
    </row>
    <row r="355" spans="1:29" s="204" customFormat="1" ht="16.5" hidden="1" customHeight="1">
      <c r="A355" s="319"/>
      <c r="B355" s="211"/>
      <c r="C355" s="212"/>
      <c r="D355" s="212"/>
      <c r="E355" s="219" t="s">
        <v>56</v>
      </c>
      <c r="F355" s="221">
        <f>F354</f>
        <v>2259000</v>
      </c>
      <c r="G355" s="221"/>
      <c r="H355" s="221"/>
      <c r="I355" s="222"/>
      <c r="J355" s="221"/>
      <c r="K355" s="221"/>
      <c r="L355" s="221"/>
      <c r="M355" s="221"/>
      <c r="N355" s="221"/>
      <c r="O355" s="221">
        <f t="shared" si="479"/>
        <v>60000</v>
      </c>
      <c r="P355" s="221"/>
      <c r="Q355" s="221">
        <f t="shared" si="480"/>
        <v>16210</v>
      </c>
      <c r="R355" s="221">
        <f t="shared" si="481"/>
        <v>648400</v>
      </c>
      <c r="S355" s="221"/>
      <c r="T355" s="222"/>
      <c r="U355" s="214">
        <f t="shared" si="472"/>
        <v>2967400</v>
      </c>
      <c r="V355" s="250"/>
      <c r="W355" s="224">
        <f t="shared" si="482"/>
        <v>247290</v>
      </c>
      <c r="X355" s="225">
        <f t="shared" si="473"/>
        <v>133530</v>
      </c>
      <c r="Y355" s="225">
        <f t="shared" si="474"/>
        <v>95850</v>
      </c>
      <c r="Z355" s="225">
        <f t="shared" si="475"/>
        <v>8160</v>
      </c>
      <c r="AA355" s="225">
        <f t="shared" si="476"/>
        <v>26710</v>
      </c>
      <c r="AB355" s="225">
        <f t="shared" si="477"/>
        <v>23740</v>
      </c>
      <c r="AC355" s="252">
        <f t="shared" si="478"/>
        <v>535280</v>
      </c>
    </row>
    <row r="356" spans="1:29" s="204" customFormat="1" ht="16.5" hidden="1" customHeight="1">
      <c r="A356" s="319"/>
      <c r="B356" s="211"/>
      <c r="C356" s="212"/>
      <c r="D356" s="212"/>
      <c r="E356" s="219" t="s">
        <v>395</v>
      </c>
      <c r="F356" s="221">
        <f>F355</f>
        <v>2259000</v>
      </c>
      <c r="G356" s="221"/>
      <c r="H356" s="221"/>
      <c r="I356" s="222"/>
      <c r="J356" s="221"/>
      <c r="K356" s="221"/>
      <c r="L356" s="221"/>
      <c r="M356" s="221"/>
      <c r="N356" s="221"/>
      <c r="O356" s="221">
        <f t="shared" si="479"/>
        <v>60000</v>
      </c>
      <c r="P356" s="221"/>
      <c r="Q356" s="221">
        <f t="shared" si="480"/>
        <v>16210</v>
      </c>
      <c r="R356" s="221">
        <f>Q356*40*2</f>
        <v>1296800</v>
      </c>
      <c r="S356" s="221"/>
      <c r="T356" s="222"/>
      <c r="U356" s="214">
        <f t="shared" si="472"/>
        <v>3615800</v>
      </c>
      <c r="V356" s="250"/>
      <c r="W356" s="224">
        <f t="shared" si="482"/>
        <v>301320</v>
      </c>
      <c r="X356" s="225">
        <f t="shared" si="473"/>
        <v>162710</v>
      </c>
      <c r="Y356" s="225">
        <f t="shared" si="474"/>
        <v>116800</v>
      </c>
      <c r="Z356" s="225">
        <f t="shared" si="475"/>
        <v>9940</v>
      </c>
      <c r="AA356" s="225">
        <f t="shared" si="476"/>
        <v>32540</v>
      </c>
      <c r="AB356" s="225">
        <f t="shared" si="477"/>
        <v>28930</v>
      </c>
      <c r="AC356" s="252">
        <f t="shared" si="478"/>
        <v>652240</v>
      </c>
    </row>
    <row r="357" spans="1:29" s="204" customFormat="1" ht="16.5" hidden="1" customHeight="1">
      <c r="A357" s="319">
        <v>28</v>
      </c>
      <c r="B357" s="211" t="s">
        <v>87</v>
      </c>
      <c r="C357" s="212" t="s">
        <v>434</v>
      </c>
      <c r="D357" s="212">
        <v>1</v>
      </c>
      <c r="E357" s="213" t="s">
        <v>86</v>
      </c>
      <c r="F357" s="214">
        <f t="shared" ref="F357:N357" si="484">SUM(F358:F369)</f>
        <v>25909000</v>
      </c>
      <c r="G357" s="214">
        <f t="shared" si="484"/>
        <v>0</v>
      </c>
      <c r="H357" s="214">
        <f t="shared" si="484"/>
        <v>0</v>
      </c>
      <c r="I357" s="214">
        <f t="shared" si="484"/>
        <v>0</v>
      </c>
      <c r="J357" s="214">
        <f t="shared" si="484"/>
        <v>0</v>
      </c>
      <c r="K357" s="214">
        <f t="shared" si="484"/>
        <v>0</v>
      </c>
      <c r="L357" s="214">
        <f t="shared" si="484"/>
        <v>0</v>
      </c>
      <c r="M357" s="214">
        <f t="shared" si="484"/>
        <v>2597400</v>
      </c>
      <c r="N357" s="214">
        <f t="shared" si="484"/>
        <v>0</v>
      </c>
      <c r="O357" s="214">
        <f>SUM(O358:O369)</f>
        <v>480000</v>
      </c>
      <c r="P357" s="214">
        <f t="shared" ref="P357" si="485">SUM(P358:P369)</f>
        <v>0</v>
      </c>
      <c r="Q357" s="214"/>
      <c r="R357" s="214">
        <f t="shared" si="469"/>
        <v>7438000</v>
      </c>
      <c r="S357" s="214">
        <f>SUM(S358:S369)</f>
        <v>0</v>
      </c>
      <c r="T357" s="214">
        <f t="shared" ref="T357:U357" si="486">SUM(T358:T369)</f>
        <v>0</v>
      </c>
      <c r="U357" s="214">
        <f t="shared" si="486"/>
        <v>36424400</v>
      </c>
      <c r="V357" s="250"/>
      <c r="W357" s="217">
        <f t="shared" ref="W357:AB357" si="487">SUM(W358:W369)</f>
        <v>3035390</v>
      </c>
      <c r="X357" s="214">
        <f t="shared" si="487"/>
        <v>1639100</v>
      </c>
      <c r="Y357" s="214">
        <f t="shared" si="487"/>
        <v>1176570</v>
      </c>
      <c r="Z357" s="214">
        <f t="shared" si="487"/>
        <v>100200</v>
      </c>
      <c r="AA357" s="214">
        <f t="shared" si="487"/>
        <v>327840</v>
      </c>
      <c r="AB357" s="214">
        <f t="shared" si="487"/>
        <v>291390</v>
      </c>
      <c r="AC357" s="266">
        <f>SUM(AC358:AC369)</f>
        <v>6570490</v>
      </c>
    </row>
    <row r="358" spans="1:29" s="204" customFormat="1" ht="16.5" hidden="1" customHeight="1">
      <c r="A358" s="319"/>
      <c r="B358" s="211" t="s">
        <v>828</v>
      </c>
      <c r="C358" s="310">
        <v>7</v>
      </c>
      <c r="D358" s="310"/>
      <c r="E358" s="311" t="s">
        <v>389</v>
      </c>
      <c r="F358" s="312">
        <v>2132000</v>
      </c>
      <c r="G358" s="221"/>
      <c r="H358" s="220"/>
      <c r="I358" s="222"/>
      <c r="J358" s="221"/>
      <c r="K358" s="221"/>
      <c r="L358" s="221"/>
      <c r="M358" s="221" t="s">
        <v>60</v>
      </c>
      <c r="N358" s="221"/>
      <c r="O358" s="221">
        <v>40000</v>
      </c>
      <c r="P358" s="221"/>
      <c r="Q358" s="221"/>
      <c r="R358" s="221"/>
      <c r="S358" s="221"/>
      <c r="T358" s="222"/>
      <c r="U358" s="214">
        <f t="shared" ref="U358:U369" si="488">SUM(F358,M358,O358,R358,T358,S358)</f>
        <v>2172000</v>
      </c>
      <c r="V358" s="250"/>
      <c r="W358" s="224">
        <f>ROUNDUP(U358*1/12,-1)</f>
        <v>181000</v>
      </c>
      <c r="X358" s="225">
        <f t="shared" ref="X358:X369" si="489">ROUND(U358*4.5%,-1)</f>
        <v>97740</v>
      </c>
      <c r="Y358" s="225">
        <f t="shared" ref="Y358" si="490">ROUNDUP((U358-L358)*3.23%,-1)</f>
        <v>70160</v>
      </c>
      <c r="Z358" s="225">
        <f t="shared" ref="Z358" si="491">ROUNDUP(Y358*8.51%,-1)</f>
        <v>5980</v>
      </c>
      <c r="AA358" s="225">
        <f t="shared" ref="AA358:AA369" si="492">ROUND(U358*0.9%,-1)</f>
        <v>19550</v>
      </c>
      <c r="AB358" s="225">
        <f t="shared" ref="AB358:AB369" si="493">ROUND(U358*0.8%,-1)</f>
        <v>17380</v>
      </c>
      <c r="AC358" s="252">
        <f t="shared" ref="AC358:AC369" si="494">SUM(W358:AB358)</f>
        <v>391810</v>
      </c>
    </row>
    <row r="359" spans="1:29" s="204" customFormat="1" ht="16.5" hidden="1" customHeight="1">
      <c r="A359" s="319"/>
      <c r="B359" s="211"/>
      <c r="C359" s="212"/>
      <c r="D359" s="212"/>
      <c r="E359" s="219" t="s">
        <v>390</v>
      </c>
      <c r="F359" s="221">
        <f>F358</f>
        <v>2132000</v>
      </c>
      <c r="G359" s="221"/>
      <c r="H359" s="221"/>
      <c r="I359" s="222"/>
      <c r="J359" s="221"/>
      <c r="K359" s="221"/>
      <c r="L359" s="221"/>
      <c r="M359" s="221">
        <f>F359*60%</f>
        <v>1279200</v>
      </c>
      <c r="N359" s="221"/>
      <c r="O359" s="221">
        <f t="shared" ref="O359:O369" si="495">O358</f>
        <v>40000</v>
      </c>
      <c r="P359" s="221"/>
      <c r="Q359" s="221">
        <f t="shared" ref="Q359:Q369" si="496">ROUND((F358+T358)*1/209*1.5,-1)</f>
        <v>15300</v>
      </c>
      <c r="R359" s="221">
        <f>Q359*40</f>
        <v>612000</v>
      </c>
      <c r="S359" s="221"/>
      <c r="T359" s="222"/>
      <c r="U359" s="214">
        <f t="shared" si="488"/>
        <v>4063200</v>
      </c>
      <c r="V359" s="250"/>
      <c r="W359" s="224">
        <f>ROUNDUP((T359+U359)*1/12,-1)</f>
        <v>338600</v>
      </c>
      <c r="X359" s="225">
        <f t="shared" si="489"/>
        <v>182840</v>
      </c>
      <c r="Y359" s="225">
        <f t="shared" si="474"/>
        <v>131250</v>
      </c>
      <c r="Z359" s="225">
        <f t="shared" si="475"/>
        <v>11170</v>
      </c>
      <c r="AA359" s="225">
        <f t="shared" si="492"/>
        <v>36570</v>
      </c>
      <c r="AB359" s="225">
        <f t="shared" si="493"/>
        <v>32510</v>
      </c>
      <c r="AC359" s="252">
        <f t="shared" si="494"/>
        <v>732940</v>
      </c>
    </row>
    <row r="360" spans="1:29" s="204" customFormat="1" ht="16.5" hidden="1" customHeight="1">
      <c r="A360" s="319"/>
      <c r="B360" s="211"/>
      <c r="C360" s="212"/>
      <c r="D360" s="212"/>
      <c r="E360" s="219" t="s">
        <v>391</v>
      </c>
      <c r="F360" s="221">
        <f>F359</f>
        <v>2132000</v>
      </c>
      <c r="G360" s="221"/>
      <c r="H360" s="221"/>
      <c r="I360" s="222"/>
      <c r="J360" s="221"/>
      <c r="K360" s="221"/>
      <c r="L360" s="221"/>
      <c r="M360" s="221"/>
      <c r="N360" s="221"/>
      <c r="O360" s="221">
        <f t="shared" si="495"/>
        <v>40000</v>
      </c>
      <c r="P360" s="221"/>
      <c r="Q360" s="221">
        <f t="shared" si="496"/>
        <v>15300</v>
      </c>
      <c r="R360" s="221">
        <f t="shared" ref="R360:R368" si="497">Q360*40</f>
        <v>612000</v>
      </c>
      <c r="S360" s="221"/>
      <c r="T360" s="222"/>
      <c r="U360" s="214">
        <f t="shared" si="488"/>
        <v>2784000</v>
      </c>
      <c r="V360" s="250"/>
      <c r="W360" s="224">
        <f t="shared" ref="W360:W369" si="498">ROUNDUP(U360*1/12,-1)</f>
        <v>232000</v>
      </c>
      <c r="X360" s="225">
        <f t="shared" si="489"/>
        <v>125280</v>
      </c>
      <c r="Y360" s="225">
        <f t="shared" si="474"/>
        <v>89930</v>
      </c>
      <c r="Z360" s="225">
        <f t="shared" si="475"/>
        <v>7660</v>
      </c>
      <c r="AA360" s="225">
        <f t="shared" si="492"/>
        <v>25060</v>
      </c>
      <c r="AB360" s="225">
        <f t="shared" si="493"/>
        <v>22270</v>
      </c>
      <c r="AC360" s="252">
        <f t="shared" si="494"/>
        <v>502200</v>
      </c>
    </row>
    <row r="361" spans="1:29" s="204" customFormat="1" ht="16.5" hidden="1" customHeight="1">
      <c r="A361" s="319"/>
      <c r="B361" s="211"/>
      <c r="C361" s="212"/>
      <c r="D361" s="212"/>
      <c r="E361" s="219" t="s">
        <v>392</v>
      </c>
      <c r="F361" s="221">
        <f>F360</f>
        <v>2132000</v>
      </c>
      <c r="G361" s="221"/>
      <c r="H361" s="221"/>
      <c r="I361" s="222"/>
      <c r="J361" s="221"/>
      <c r="K361" s="221"/>
      <c r="L361" s="221"/>
      <c r="M361" s="221"/>
      <c r="N361" s="221"/>
      <c r="O361" s="221">
        <f t="shared" si="495"/>
        <v>40000</v>
      </c>
      <c r="P361" s="221"/>
      <c r="Q361" s="221">
        <f t="shared" si="496"/>
        <v>15300</v>
      </c>
      <c r="R361" s="221">
        <f t="shared" si="497"/>
        <v>612000</v>
      </c>
      <c r="S361" s="221"/>
      <c r="T361" s="222"/>
      <c r="U361" s="214">
        <f t="shared" si="488"/>
        <v>2784000</v>
      </c>
      <c r="V361" s="250"/>
      <c r="W361" s="224">
        <f t="shared" si="498"/>
        <v>232000</v>
      </c>
      <c r="X361" s="225">
        <f t="shared" si="489"/>
        <v>125280</v>
      </c>
      <c r="Y361" s="225">
        <f t="shared" si="474"/>
        <v>89930</v>
      </c>
      <c r="Z361" s="225">
        <f t="shared" si="475"/>
        <v>7660</v>
      </c>
      <c r="AA361" s="225">
        <f t="shared" si="492"/>
        <v>25060</v>
      </c>
      <c r="AB361" s="225">
        <f t="shared" si="493"/>
        <v>22270</v>
      </c>
      <c r="AC361" s="252">
        <f t="shared" si="494"/>
        <v>502200</v>
      </c>
    </row>
    <row r="362" spans="1:29" s="204" customFormat="1" ht="16.5" hidden="1" customHeight="1">
      <c r="A362" s="319"/>
      <c r="B362" s="211"/>
      <c r="C362" s="212"/>
      <c r="D362" s="212"/>
      <c r="E362" s="219" t="s">
        <v>393</v>
      </c>
      <c r="F362" s="221">
        <f>F361</f>
        <v>2132000</v>
      </c>
      <c r="G362" s="221"/>
      <c r="H362" s="221"/>
      <c r="I362" s="222"/>
      <c r="J362" s="221"/>
      <c r="K362" s="221"/>
      <c r="L362" s="221"/>
      <c r="M362" s="221"/>
      <c r="N362" s="221"/>
      <c r="O362" s="221">
        <f t="shared" si="495"/>
        <v>40000</v>
      </c>
      <c r="P362" s="221"/>
      <c r="Q362" s="221">
        <f t="shared" si="496"/>
        <v>15300</v>
      </c>
      <c r="R362" s="221">
        <f t="shared" si="497"/>
        <v>612000</v>
      </c>
      <c r="S362" s="221"/>
      <c r="T362" s="222"/>
      <c r="U362" s="214">
        <f t="shared" si="488"/>
        <v>2784000</v>
      </c>
      <c r="V362" s="250"/>
      <c r="W362" s="224">
        <f t="shared" si="498"/>
        <v>232000</v>
      </c>
      <c r="X362" s="225">
        <f t="shared" si="489"/>
        <v>125280</v>
      </c>
      <c r="Y362" s="225">
        <f t="shared" si="474"/>
        <v>89930</v>
      </c>
      <c r="Z362" s="225">
        <f t="shared" si="475"/>
        <v>7660</v>
      </c>
      <c r="AA362" s="225">
        <f t="shared" si="492"/>
        <v>25060</v>
      </c>
      <c r="AB362" s="225">
        <f t="shared" si="493"/>
        <v>22270</v>
      </c>
      <c r="AC362" s="252">
        <f t="shared" si="494"/>
        <v>502200</v>
      </c>
    </row>
    <row r="363" spans="1:29" s="204" customFormat="1" ht="16.5" hidden="1" customHeight="1">
      <c r="A363" s="319"/>
      <c r="B363" s="211"/>
      <c r="C363" s="212"/>
      <c r="D363" s="212"/>
      <c r="E363" s="219" t="s">
        <v>394</v>
      </c>
      <c r="F363" s="221">
        <f>F362</f>
        <v>2132000</v>
      </c>
      <c r="G363" s="221"/>
      <c r="H363" s="221"/>
      <c r="I363" s="222"/>
      <c r="J363" s="221"/>
      <c r="K363" s="221"/>
      <c r="L363" s="221"/>
      <c r="M363" s="221"/>
      <c r="N363" s="221"/>
      <c r="O363" s="221">
        <f t="shared" si="495"/>
        <v>40000</v>
      </c>
      <c r="P363" s="221"/>
      <c r="Q363" s="221">
        <f t="shared" si="496"/>
        <v>15300</v>
      </c>
      <c r="R363" s="221">
        <f t="shared" si="497"/>
        <v>612000</v>
      </c>
      <c r="S363" s="221"/>
      <c r="T363" s="222"/>
      <c r="U363" s="214">
        <f t="shared" si="488"/>
        <v>2784000</v>
      </c>
      <c r="V363" s="250"/>
      <c r="W363" s="224">
        <f t="shared" si="498"/>
        <v>232000</v>
      </c>
      <c r="X363" s="225">
        <f t="shared" si="489"/>
        <v>125280</v>
      </c>
      <c r="Y363" s="225">
        <f t="shared" si="474"/>
        <v>89930</v>
      </c>
      <c r="Z363" s="225">
        <f t="shared" si="475"/>
        <v>7660</v>
      </c>
      <c r="AA363" s="225">
        <f t="shared" si="492"/>
        <v>25060</v>
      </c>
      <c r="AB363" s="225">
        <f t="shared" si="493"/>
        <v>22270</v>
      </c>
      <c r="AC363" s="252">
        <f t="shared" si="494"/>
        <v>502200</v>
      </c>
    </row>
    <row r="364" spans="1:29" s="204" customFormat="1" ht="16.5" hidden="1" customHeight="1">
      <c r="A364" s="319"/>
      <c r="B364" s="211"/>
      <c r="C364" s="212"/>
      <c r="D364" s="212"/>
      <c r="E364" s="219" t="s">
        <v>279</v>
      </c>
      <c r="F364" s="221">
        <f t="shared" ref="F364:F369" si="499">F363</f>
        <v>2132000</v>
      </c>
      <c r="G364" s="221"/>
      <c r="H364" s="220"/>
      <c r="I364" s="222"/>
      <c r="J364" s="221"/>
      <c r="K364" s="221"/>
      <c r="L364" s="221"/>
      <c r="M364" s="221"/>
      <c r="N364" s="221"/>
      <c r="O364" s="221">
        <f t="shared" si="495"/>
        <v>40000</v>
      </c>
      <c r="P364" s="221"/>
      <c r="Q364" s="221">
        <f t="shared" si="496"/>
        <v>15300</v>
      </c>
      <c r="R364" s="221">
        <f t="shared" si="497"/>
        <v>612000</v>
      </c>
      <c r="S364" s="221"/>
      <c r="T364" s="222"/>
      <c r="U364" s="214">
        <f t="shared" si="488"/>
        <v>2784000</v>
      </c>
      <c r="V364" s="250"/>
      <c r="W364" s="224">
        <f t="shared" si="498"/>
        <v>232000</v>
      </c>
      <c r="X364" s="225">
        <f t="shared" si="489"/>
        <v>125280</v>
      </c>
      <c r="Y364" s="225">
        <f t="shared" si="474"/>
        <v>89930</v>
      </c>
      <c r="Z364" s="225">
        <f t="shared" si="475"/>
        <v>7660</v>
      </c>
      <c r="AA364" s="225">
        <f t="shared" si="492"/>
        <v>25060</v>
      </c>
      <c r="AB364" s="225">
        <f t="shared" si="493"/>
        <v>22270</v>
      </c>
      <c r="AC364" s="252">
        <f t="shared" si="494"/>
        <v>502200</v>
      </c>
    </row>
    <row r="365" spans="1:29" s="204" customFormat="1" ht="16.5" hidden="1" customHeight="1">
      <c r="A365" s="319"/>
      <c r="B365" s="211"/>
      <c r="C365" s="310">
        <f>C358+1</f>
        <v>8</v>
      </c>
      <c r="D365" s="212"/>
      <c r="E365" s="311" t="s">
        <v>280</v>
      </c>
      <c r="F365" s="312">
        <v>2197000</v>
      </c>
      <c r="G365" s="221"/>
      <c r="H365" s="221"/>
      <c r="I365" s="222"/>
      <c r="J365" s="221"/>
      <c r="K365" s="221"/>
      <c r="L365" s="221"/>
      <c r="M365" s="221"/>
      <c r="N365" s="221"/>
      <c r="O365" s="221">
        <f t="shared" si="495"/>
        <v>40000</v>
      </c>
      <c r="P365" s="221"/>
      <c r="Q365" s="221">
        <f t="shared" si="496"/>
        <v>15300</v>
      </c>
      <c r="R365" s="221">
        <f t="shared" si="497"/>
        <v>612000</v>
      </c>
      <c r="S365" s="221"/>
      <c r="T365" s="222"/>
      <c r="U365" s="214">
        <f t="shared" si="488"/>
        <v>2849000</v>
      </c>
      <c r="V365" s="250"/>
      <c r="W365" s="224">
        <f t="shared" si="498"/>
        <v>237420</v>
      </c>
      <c r="X365" s="225">
        <f t="shared" si="489"/>
        <v>128210</v>
      </c>
      <c r="Y365" s="225">
        <f t="shared" si="474"/>
        <v>92030</v>
      </c>
      <c r="Z365" s="225">
        <f t="shared" si="475"/>
        <v>7840</v>
      </c>
      <c r="AA365" s="225">
        <f t="shared" si="492"/>
        <v>25640</v>
      </c>
      <c r="AB365" s="225">
        <f t="shared" si="493"/>
        <v>22790</v>
      </c>
      <c r="AC365" s="252">
        <f t="shared" si="494"/>
        <v>513930</v>
      </c>
    </row>
    <row r="366" spans="1:29" s="204" customFormat="1" ht="16.5" hidden="1" customHeight="1">
      <c r="A366" s="319"/>
      <c r="B366" s="211"/>
      <c r="C366" s="212"/>
      <c r="D366" s="310"/>
      <c r="E366" s="219" t="s">
        <v>54</v>
      </c>
      <c r="F366" s="222">
        <f>F365</f>
        <v>2197000</v>
      </c>
      <c r="G366" s="221"/>
      <c r="H366" s="221"/>
      <c r="I366" s="222"/>
      <c r="J366" s="221"/>
      <c r="K366" s="221"/>
      <c r="L366" s="221"/>
      <c r="M366" s="221">
        <f t="shared" ref="M366" si="500">F366*60%</f>
        <v>1318200</v>
      </c>
      <c r="N366" s="221"/>
      <c r="O366" s="221">
        <f t="shared" si="495"/>
        <v>40000</v>
      </c>
      <c r="P366" s="221"/>
      <c r="Q366" s="221">
        <f t="shared" si="496"/>
        <v>15770</v>
      </c>
      <c r="R366" s="221">
        <f t="shared" si="497"/>
        <v>630800</v>
      </c>
      <c r="S366" s="221"/>
      <c r="T366" s="222"/>
      <c r="U366" s="214">
        <f t="shared" si="488"/>
        <v>4186000</v>
      </c>
      <c r="V366" s="250"/>
      <c r="W366" s="224">
        <f t="shared" si="498"/>
        <v>348840</v>
      </c>
      <c r="X366" s="225">
        <f t="shared" si="489"/>
        <v>188370</v>
      </c>
      <c r="Y366" s="225">
        <f t="shared" si="474"/>
        <v>135210</v>
      </c>
      <c r="Z366" s="225">
        <f t="shared" si="475"/>
        <v>11510</v>
      </c>
      <c r="AA366" s="225">
        <f t="shared" si="492"/>
        <v>37670</v>
      </c>
      <c r="AB366" s="225">
        <f t="shared" si="493"/>
        <v>33490</v>
      </c>
      <c r="AC366" s="252">
        <f t="shared" si="494"/>
        <v>755090</v>
      </c>
    </row>
    <row r="367" spans="1:29" s="204" customFormat="1" ht="16.5" hidden="1" customHeight="1">
      <c r="A367" s="319"/>
      <c r="B367" s="211"/>
      <c r="C367" s="212"/>
      <c r="D367" s="212"/>
      <c r="E367" s="219" t="s">
        <v>55</v>
      </c>
      <c r="F367" s="221">
        <f t="shared" si="499"/>
        <v>2197000</v>
      </c>
      <c r="G367" s="221"/>
      <c r="H367" s="221"/>
      <c r="I367" s="222"/>
      <c r="J367" s="221"/>
      <c r="K367" s="221"/>
      <c r="L367" s="221"/>
      <c r="M367" s="221"/>
      <c r="N367" s="221"/>
      <c r="O367" s="221">
        <f t="shared" si="495"/>
        <v>40000</v>
      </c>
      <c r="P367" s="221"/>
      <c r="Q367" s="221">
        <f t="shared" si="496"/>
        <v>15770</v>
      </c>
      <c r="R367" s="221">
        <f t="shared" si="497"/>
        <v>630800</v>
      </c>
      <c r="S367" s="221"/>
      <c r="T367" s="222"/>
      <c r="U367" s="214">
        <f t="shared" si="488"/>
        <v>2867800</v>
      </c>
      <c r="V367" s="250"/>
      <c r="W367" s="224">
        <f t="shared" si="498"/>
        <v>238990</v>
      </c>
      <c r="X367" s="225">
        <f t="shared" si="489"/>
        <v>129050</v>
      </c>
      <c r="Y367" s="225">
        <f t="shared" si="474"/>
        <v>92630</v>
      </c>
      <c r="Z367" s="225">
        <f t="shared" si="475"/>
        <v>7890</v>
      </c>
      <c r="AA367" s="225">
        <f t="shared" si="492"/>
        <v>25810</v>
      </c>
      <c r="AB367" s="225">
        <f t="shared" si="493"/>
        <v>22940</v>
      </c>
      <c r="AC367" s="252">
        <f t="shared" si="494"/>
        <v>517310</v>
      </c>
    </row>
    <row r="368" spans="1:29" s="204" customFormat="1" ht="16.5" hidden="1" customHeight="1">
      <c r="A368" s="319"/>
      <c r="B368" s="211"/>
      <c r="C368" s="212"/>
      <c r="D368" s="212"/>
      <c r="E368" s="219" t="s">
        <v>56</v>
      </c>
      <c r="F368" s="221">
        <f t="shared" si="499"/>
        <v>2197000</v>
      </c>
      <c r="G368" s="221"/>
      <c r="H368" s="221"/>
      <c r="I368" s="222"/>
      <c r="J368" s="221"/>
      <c r="K368" s="221"/>
      <c r="L368" s="221"/>
      <c r="M368" s="221"/>
      <c r="N368" s="221"/>
      <c r="O368" s="221">
        <f t="shared" si="495"/>
        <v>40000</v>
      </c>
      <c r="P368" s="221"/>
      <c r="Q368" s="221">
        <f t="shared" si="496"/>
        <v>15770</v>
      </c>
      <c r="R368" s="221">
        <f t="shared" si="497"/>
        <v>630800</v>
      </c>
      <c r="S368" s="221"/>
      <c r="T368" s="222"/>
      <c r="U368" s="214">
        <f t="shared" si="488"/>
        <v>2867800</v>
      </c>
      <c r="V368" s="250"/>
      <c r="W368" s="224">
        <f t="shared" si="498"/>
        <v>238990</v>
      </c>
      <c r="X368" s="225">
        <f t="shared" si="489"/>
        <v>129050</v>
      </c>
      <c r="Y368" s="225">
        <f t="shared" si="474"/>
        <v>92630</v>
      </c>
      <c r="Z368" s="225">
        <f t="shared" si="475"/>
        <v>7890</v>
      </c>
      <c r="AA368" s="225">
        <f t="shared" si="492"/>
        <v>25810</v>
      </c>
      <c r="AB368" s="225">
        <f t="shared" si="493"/>
        <v>22940</v>
      </c>
      <c r="AC368" s="252">
        <f t="shared" si="494"/>
        <v>517310</v>
      </c>
    </row>
    <row r="369" spans="1:29" s="204" customFormat="1" ht="16.5" hidden="1" customHeight="1">
      <c r="A369" s="319"/>
      <c r="B369" s="211"/>
      <c r="C369" s="212"/>
      <c r="D369" s="212"/>
      <c r="E369" s="219" t="s">
        <v>395</v>
      </c>
      <c r="F369" s="221">
        <f t="shared" si="499"/>
        <v>2197000</v>
      </c>
      <c r="G369" s="221"/>
      <c r="H369" s="221"/>
      <c r="I369" s="222"/>
      <c r="J369" s="221"/>
      <c r="K369" s="221"/>
      <c r="L369" s="221"/>
      <c r="M369" s="221"/>
      <c r="N369" s="221"/>
      <c r="O369" s="221">
        <f t="shared" si="495"/>
        <v>40000</v>
      </c>
      <c r="P369" s="221"/>
      <c r="Q369" s="221">
        <f t="shared" si="496"/>
        <v>15770</v>
      </c>
      <c r="R369" s="221">
        <f>Q369*40*2</f>
        <v>1261600</v>
      </c>
      <c r="S369" s="221"/>
      <c r="T369" s="222"/>
      <c r="U369" s="214">
        <f t="shared" si="488"/>
        <v>3498600</v>
      </c>
      <c r="V369" s="250"/>
      <c r="W369" s="224">
        <f t="shared" si="498"/>
        <v>291550</v>
      </c>
      <c r="X369" s="225">
        <f t="shared" si="489"/>
        <v>157440</v>
      </c>
      <c r="Y369" s="225">
        <f t="shared" si="474"/>
        <v>113010</v>
      </c>
      <c r="Z369" s="225">
        <f t="shared" si="475"/>
        <v>9620</v>
      </c>
      <c r="AA369" s="225">
        <f t="shared" si="492"/>
        <v>31490</v>
      </c>
      <c r="AB369" s="225">
        <f t="shared" si="493"/>
        <v>27990</v>
      </c>
      <c r="AC369" s="252">
        <f t="shared" si="494"/>
        <v>631100</v>
      </c>
    </row>
    <row r="370" spans="1:29" s="204" customFormat="1" ht="16.5" hidden="1" customHeight="1">
      <c r="A370" s="319">
        <v>29</v>
      </c>
      <c r="B370" s="211" t="s">
        <v>87</v>
      </c>
      <c r="C370" s="212" t="s">
        <v>821</v>
      </c>
      <c r="D370" s="212">
        <v>1</v>
      </c>
      <c r="E370" s="213" t="s">
        <v>86</v>
      </c>
      <c r="F370" s="214">
        <f t="shared" ref="F370:N370" si="501">SUM(F371:F382)</f>
        <v>21986000</v>
      </c>
      <c r="G370" s="214">
        <f t="shared" si="501"/>
        <v>0</v>
      </c>
      <c r="H370" s="214">
        <f t="shared" si="501"/>
        <v>0</v>
      </c>
      <c r="I370" s="214">
        <f t="shared" si="501"/>
        <v>0</v>
      </c>
      <c r="J370" s="214">
        <f t="shared" si="501"/>
        <v>0</v>
      </c>
      <c r="K370" s="214">
        <f t="shared" si="501"/>
        <v>0</v>
      </c>
      <c r="L370" s="214">
        <f t="shared" si="501"/>
        <v>0</v>
      </c>
      <c r="M370" s="214">
        <f t="shared" si="501"/>
        <v>2311800</v>
      </c>
      <c r="N370" s="214">
        <f t="shared" si="501"/>
        <v>0</v>
      </c>
      <c r="O370" s="214">
        <f>SUM(O371:O382)</f>
        <v>200000</v>
      </c>
      <c r="P370" s="214">
        <f t="shared" ref="P370" si="502">SUM(P371:P382)</f>
        <v>0</v>
      </c>
      <c r="Q370" s="214"/>
      <c r="R370" s="214">
        <f t="shared" si="469"/>
        <v>6311200</v>
      </c>
      <c r="S370" s="214">
        <f>SUM(S371:S382)</f>
        <v>0</v>
      </c>
      <c r="T370" s="214">
        <f t="shared" ref="T370:U370" si="503">SUM(T371:T382)</f>
        <v>0</v>
      </c>
      <c r="U370" s="214">
        <f t="shared" si="503"/>
        <v>30809000</v>
      </c>
      <c r="V370" s="250"/>
      <c r="W370" s="217">
        <f t="shared" ref="W370:AB370" si="504">SUM(W371:W382)</f>
        <v>2567460</v>
      </c>
      <c r="X370" s="214">
        <f t="shared" si="504"/>
        <v>1386390</v>
      </c>
      <c r="Y370" s="214">
        <f t="shared" si="504"/>
        <v>995210</v>
      </c>
      <c r="Z370" s="214">
        <f t="shared" si="504"/>
        <v>84780</v>
      </c>
      <c r="AA370" s="214">
        <f t="shared" si="504"/>
        <v>277310</v>
      </c>
      <c r="AB370" s="214">
        <f t="shared" si="504"/>
        <v>246480</v>
      </c>
      <c r="AC370" s="266">
        <f>SUM(AC371:AC382)</f>
        <v>5557630</v>
      </c>
    </row>
    <row r="371" spans="1:29" s="204" customFormat="1" ht="16.5" hidden="1" customHeight="1">
      <c r="A371" s="319"/>
      <c r="B371" s="211" t="s">
        <v>829</v>
      </c>
      <c r="C371" s="310">
        <v>6</v>
      </c>
      <c r="D371" s="310"/>
      <c r="E371" s="311" t="s">
        <v>389</v>
      </c>
      <c r="F371" s="312">
        <v>2068000</v>
      </c>
      <c r="G371" s="221"/>
      <c r="H371" s="220"/>
      <c r="I371" s="222"/>
      <c r="J371" s="221"/>
      <c r="K371" s="221"/>
      <c r="L371" s="221"/>
      <c r="M371" s="221" t="s">
        <v>60</v>
      </c>
      <c r="N371" s="221"/>
      <c r="O371" s="221"/>
      <c r="P371" s="221"/>
      <c r="Q371" s="221"/>
      <c r="R371" s="221"/>
      <c r="S371" s="221"/>
      <c r="T371" s="222"/>
      <c r="U371" s="214">
        <f t="shared" ref="U371:U382" si="505">SUM(F371,M371,O371,R371,T371,S371)</f>
        <v>2068000</v>
      </c>
      <c r="V371" s="250"/>
      <c r="W371" s="224">
        <f>ROUNDUP(U371*1/12,-1)</f>
        <v>172340</v>
      </c>
      <c r="X371" s="225">
        <f t="shared" ref="X371:X382" si="506">ROUND(U371*4.5%,-1)</f>
        <v>93060</v>
      </c>
      <c r="Y371" s="225">
        <f t="shared" ref="Y371" si="507">ROUNDUP((U371-L371)*3.23%,-1)</f>
        <v>66800</v>
      </c>
      <c r="Z371" s="225">
        <f t="shared" ref="Z371" si="508">ROUNDUP(Y371*8.51%,-1)</f>
        <v>5690</v>
      </c>
      <c r="AA371" s="225">
        <f t="shared" ref="AA371:AA382" si="509">ROUND(U371*0.9%,-1)</f>
        <v>18610</v>
      </c>
      <c r="AB371" s="225">
        <f t="shared" ref="AB371:AB382" si="510">ROUND(U371*0.8%,-1)</f>
        <v>16540</v>
      </c>
      <c r="AC371" s="252">
        <f t="shared" ref="AC371:AC382" si="511">SUM(W371:AB371)</f>
        <v>373040</v>
      </c>
    </row>
    <row r="372" spans="1:29" s="204" customFormat="1" ht="16.5" hidden="1" customHeight="1">
      <c r="A372" s="319"/>
      <c r="B372" s="211"/>
      <c r="C372" s="212"/>
      <c r="D372" s="212"/>
      <c r="E372" s="219" t="s">
        <v>390</v>
      </c>
      <c r="F372" s="221">
        <f t="shared" ref="F372:F382" si="512">F371</f>
        <v>2068000</v>
      </c>
      <c r="G372" s="221"/>
      <c r="H372" s="221"/>
      <c r="I372" s="222"/>
      <c r="J372" s="221"/>
      <c r="K372" s="221"/>
      <c r="L372" s="221"/>
      <c r="M372" s="221">
        <f>F372*60%</f>
        <v>1240800</v>
      </c>
      <c r="N372" s="221"/>
      <c r="O372" s="221"/>
      <c r="P372" s="221"/>
      <c r="Q372" s="221">
        <f t="shared" ref="Q372:Q382" si="513">ROUND((F371+T371)*1/209*1.5,-1)</f>
        <v>14840</v>
      </c>
      <c r="R372" s="221">
        <f>Q372*40</f>
        <v>593600</v>
      </c>
      <c r="S372" s="221"/>
      <c r="T372" s="222"/>
      <c r="U372" s="214">
        <f t="shared" si="505"/>
        <v>3902400</v>
      </c>
      <c r="V372" s="250"/>
      <c r="W372" s="224">
        <f>ROUNDUP((T372+U372)*1/12,-1)</f>
        <v>325200</v>
      </c>
      <c r="X372" s="225">
        <f t="shared" si="506"/>
        <v>175610</v>
      </c>
      <c r="Y372" s="225">
        <f t="shared" si="474"/>
        <v>126050</v>
      </c>
      <c r="Z372" s="225">
        <f t="shared" si="475"/>
        <v>10730</v>
      </c>
      <c r="AA372" s="225">
        <f t="shared" si="509"/>
        <v>35120</v>
      </c>
      <c r="AB372" s="225">
        <f t="shared" si="510"/>
        <v>31220</v>
      </c>
      <c r="AC372" s="252">
        <f t="shared" si="511"/>
        <v>703930</v>
      </c>
    </row>
    <row r="373" spans="1:29" s="204" customFormat="1" ht="16.5" hidden="1" customHeight="1">
      <c r="A373" s="319"/>
      <c r="B373" s="211" t="s">
        <v>923</v>
      </c>
      <c r="C373" s="310">
        <v>1</v>
      </c>
      <c r="D373" s="310"/>
      <c r="E373" s="311" t="s">
        <v>391</v>
      </c>
      <c r="F373" s="312">
        <v>1785000</v>
      </c>
      <c r="G373" s="221"/>
      <c r="H373" s="221"/>
      <c r="I373" s="222"/>
      <c r="J373" s="221"/>
      <c r="K373" s="221"/>
      <c r="L373" s="221"/>
      <c r="M373" s="221"/>
      <c r="N373" s="221"/>
      <c r="O373" s="221">
        <v>20000</v>
      </c>
      <c r="P373" s="221"/>
      <c r="Q373" s="221">
        <f t="shared" si="513"/>
        <v>14840</v>
      </c>
      <c r="R373" s="221">
        <f t="shared" ref="R373:R381" si="514">Q373*40</f>
        <v>593600</v>
      </c>
      <c r="S373" s="221"/>
      <c r="T373" s="222"/>
      <c r="U373" s="214">
        <f t="shared" si="505"/>
        <v>2398600</v>
      </c>
      <c r="V373" s="250"/>
      <c r="W373" s="224">
        <f t="shared" ref="W373:W382" si="515">ROUNDUP(U373*1/12,-1)</f>
        <v>199890</v>
      </c>
      <c r="X373" s="225">
        <f t="shared" si="506"/>
        <v>107940</v>
      </c>
      <c r="Y373" s="225">
        <f t="shared" si="474"/>
        <v>77480</v>
      </c>
      <c r="Z373" s="225">
        <f t="shared" si="475"/>
        <v>6600</v>
      </c>
      <c r="AA373" s="225">
        <f t="shared" si="509"/>
        <v>21590</v>
      </c>
      <c r="AB373" s="225">
        <f t="shared" si="510"/>
        <v>19190</v>
      </c>
      <c r="AC373" s="252">
        <f t="shared" si="511"/>
        <v>432690</v>
      </c>
    </row>
    <row r="374" spans="1:29" s="204" customFormat="1" ht="16.5" hidden="1" customHeight="1">
      <c r="A374" s="319"/>
      <c r="B374" s="211"/>
      <c r="C374" s="212"/>
      <c r="D374" s="212"/>
      <c r="E374" s="219" t="s">
        <v>392</v>
      </c>
      <c r="F374" s="221">
        <f t="shared" si="512"/>
        <v>1785000</v>
      </c>
      <c r="G374" s="221"/>
      <c r="H374" s="221"/>
      <c r="I374" s="222"/>
      <c r="J374" s="221"/>
      <c r="K374" s="221"/>
      <c r="L374" s="221"/>
      <c r="M374" s="221"/>
      <c r="N374" s="221"/>
      <c r="O374" s="221">
        <v>20000</v>
      </c>
      <c r="P374" s="221"/>
      <c r="Q374" s="221">
        <f t="shared" si="513"/>
        <v>12810</v>
      </c>
      <c r="R374" s="221">
        <f t="shared" si="514"/>
        <v>512400</v>
      </c>
      <c r="S374" s="221"/>
      <c r="T374" s="222"/>
      <c r="U374" s="214">
        <f t="shared" si="505"/>
        <v>2317400</v>
      </c>
      <c r="V374" s="250"/>
      <c r="W374" s="224">
        <f t="shared" si="515"/>
        <v>193120</v>
      </c>
      <c r="X374" s="225">
        <f t="shared" si="506"/>
        <v>104280</v>
      </c>
      <c r="Y374" s="225">
        <f t="shared" si="474"/>
        <v>74860</v>
      </c>
      <c r="Z374" s="225">
        <f t="shared" si="475"/>
        <v>6380</v>
      </c>
      <c r="AA374" s="225">
        <f t="shared" si="509"/>
        <v>20860</v>
      </c>
      <c r="AB374" s="225">
        <f t="shared" si="510"/>
        <v>18540</v>
      </c>
      <c r="AC374" s="252">
        <f t="shared" si="511"/>
        <v>418040</v>
      </c>
    </row>
    <row r="375" spans="1:29" s="204" customFormat="1" ht="16.5" hidden="1" customHeight="1">
      <c r="A375" s="319"/>
      <c r="B375" s="211"/>
      <c r="C375" s="212"/>
      <c r="D375" s="212"/>
      <c r="E375" s="219" t="s">
        <v>393</v>
      </c>
      <c r="F375" s="221">
        <f t="shared" si="512"/>
        <v>1785000</v>
      </c>
      <c r="G375" s="221"/>
      <c r="H375" s="221"/>
      <c r="I375" s="222"/>
      <c r="J375" s="221"/>
      <c r="K375" s="221"/>
      <c r="L375" s="221"/>
      <c r="M375" s="221"/>
      <c r="N375" s="221"/>
      <c r="O375" s="221">
        <v>20000</v>
      </c>
      <c r="P375" s="221"/>
      <c r="Q375" s="221">
        <f t="shared" si="513"/>
        <v>12810</v>
      </c>
      <c r="R375" s="221">
        <f t="shared" si="514"/>
        <v>512400</v>
      </c>
      <c r="S375" s="221"/>
      <c r="T375" s="222"/>
      <c r="U375" s="214">
        <f t="shared" si="505"/>
        <v>2317400</v>
      </c>
      <c r="V375" s="250"/>
      <c r="W375" s="224">
        <f t="shared" si="515"/>
        <v>193120</v>
      </c>
      <c r="X375" s="225">
        <f t="shared" si="506"/>
        <v>104280</v>
      </c>
      <c r="Y375" s="225">
        <f t="shared" si="474"/>
        <v>74860</v>
      </c>
      <c r="Z375" s="225">
        <f t="shared" si="475"/>
        <v>6380</v>
      </c>
      <c r="AA375" s="225">
        <f t="shared" si="509"/>
        <v>20860</v>
      </c>
      <c r="AB375" s="225">
        <f t="shared" si="510"/>
        <v>18540</v>
      </c>
      <c r="AC375" s="252">
        <f t="shared" si="511"/>
        <v>418040</v>
      </c>
    </row>
    <row r="376" spans="1:29" s="204" customFormat="1" ht="16.5" hidden="1" customHeight="1">
      <c r="A376" s="319"/>
      <c r="B376" s="211"/>
      <c r="C376" s="212"/>
      <c r="D376" s="212"/>
      <c r="E376" s="219" t="s">
        <v>394</v>
      </c>
      <c r="F376" s="221">
        <f t="shared" si="512"/>
        <v>1785000</v>
      </c>
      <c r="G376" s="221"/>
      <c r="H376" s="221"/>
      <c r="I376" s="222"/>
      <c r="J376" s="221"/>
      <c r="K376" s="221"/>
      <c r="L376" s="221"/>
      <c r="M376" s="221"/>
      <c r="N376" s="221"/>
      <c r="O376" s="221">
        <v>20000</v>
      </c>
      <c r="P376" s="221"/>
      <c r="Q376" s="221">
        <f t="shared" si="513"/>
        <v>12810</v>
      </c>
      <c r="R376" s="221">
        <f t="shared" si="514"/>
        <v>512400</v>
      </c>
      <c r="S376" s="221"/>
      <c r="T376" s="222"/>
      <c r="U376" s="214">
        <f t="shared" si="505"/>
        <v>2317400</v>
      </c>
      <c r="V376" s="250"/>
      <c r="W376" s="224">
        <f t="shared" si="515"/>
        <v>193120</v>
      </c>
      <c r="X376" s="225">
        <f t="shared" si="506"/>
        <v>104280</v>
      </c>
      <c r="Y376" s="225">
        <f t="shared" si="474"/>
        <v>74860</v>
      </c>
      <c r="Z376" s="225">
        <f t="shared" si="475"/>
        <v>6380</v>
      </c>
      <c r="AA376" s="225">
        <f t="shared" si="509"/>
        <v>20860</v>
      </c>
      <c r="AB376" s="225">
        <f t="shared" si="510"/>
        <v>18540</v>
      </c>
      <c r="AC376" s="252">
        <f t="shared" si="511"/>
        <v>418040</v>
      </c>
    </row>
    <row r="377" spans="1:29" s="204" customFormat="1" ht="16.5" hidden="1" customHeight="1">
      <c r="A377" s="319"/>
      <c r="B377" s="211"/>
      <c r="C377" s="212"/>
      <c r="D377" s="212"/>
      <c r="E377" s="219" t="s">
        <v>279</v>
      </c>
      <c r="F377" s="221">
        <f t="shared" si="512"/>
        <v>1785000</v>
      </c>
      <c r="G377" s="221"/>
      <c r="H377" s="220"/>
      <c r="I377" s="222"/>
      <c r="J377" s="221"/>
      <c r="K377" s="221"/>
      <c r="L377" s="221"/>
      <c r="M377" s="221"/>
      <c r="N377" s="221"/>
      <c r="O377" s="221">
        <v>20000</v>
      </c>
      <c r="P377" s="221"/>
      <c r="Q377" s="221">
        <f t="shared" si="513"/>
        <v>12810</v>
      </c>
      <c r="R377" s="221">
        <f>Q377*40</f>
        <v>512400</v>
      </c>
      <c r="S377" s="221"/>
      <c r="T377" s="222"/>
      <c r="U377" s="214">
        <f t="shared" si="505"/>
        <v>2317400</v>
      </c>
      <c r="V377" s="250"/>
      <c r="W377" s="224">
        <f t="shared" si="515"/>
        <v>193120</v>
      </c>
      <c r="X377" s="225">
        <f t="shared" si="506"/>
        <v>104280</v>
      </c>
      <c r="Y377" s="225">
        <f t="shared" si="474"/>
        <v>74860</v>
      </c>
      <c r="Z377" s="225">
        <f t="shared" si="475"/>
        <v>6380</v>
      </c>
      <c r="AA377" s="225">
        <f t="shared" si="509"/>
        <v>20860</v>
      </c>
      <c r="AB377" s="225">
        <f t="shared" si="510"/>
        <v>18540</v>
      </c>
      <c r="AC377" s="252">
        <f t="shared" si="511"/>
        <v>418040</v>
      </c>
    </row>
    <row r="378" spans="1:29" s="204" customFormat="1" ht="16.5" hidden="1" customHeight="1">
      <c r="A378" s="319"/>
      <c r="B378" s="211"/>
      <c r="C378" s="212"/>
      <c r="D378" s="212"/>
      <c r="E378" s="219" t="s">
        <v>280</v>
      </c>
      <c r="F378" s="221">
        <f t="shared" si="512"/>
        <v>1785000</v>
      </c>
      <c r="G378" s="221"/>
      <c r="H378" s="221"/>
      <c r="I378" s="222"/>
      <c r="J378" s="221"/>
      <c r="K378" s="221"/>
      <c r="L378" s="221"/>
      <c r="M378" s="221"/>
      <c r="N378" s="221"/>
      <c r="O378" s="221">
        <v>20000</v>
      </c>
      <c r="P378" s="221"/>
      <c r="Q378" s="221">
        <f t="shared" si="513"/>
        <v>12810</v>
      </c>
      <c r="R378" s="221">
        <f t="shared" si="514"/>
        <v>512400</v>
      </c>
      <c r="S378" s="221"/>
      <c r="T378" s="222"/>
      <c r="U378" s="214">
        <f t="shared" si="505"/>
        <v>2317400</v>
      </c>
      <c r="V378" s="250"/>
      <c r="W378" s="224">
        <f t="shared" si="515"/>
        <v>193120</v>
      </c>
      <c r="X378" s="225">
        <f t="shared" si="506"/>
        <v>104280</v>
      </c>
      <c r="Y378" s="225">
        <f t="shared" si="474"/>
        <v>74860</v>
      </c>
      <c r="Z378" s="225">
        <f t="shared" si="475"/>
        <v>6380</v>
      </c>
      <c r="AA378" s="225">
        <f t="shared" si="509"/>
        <v>20860</v>
      </c>
      <c r="AB378" s="225">
        <f t="shared" si="510"/>
        <v>18540</v>
      </c>
      <c r="AC378" s="252">
        <f t="shared" si="511"/>
        <v>418040</v>
      </c>
    </row>
    <row r="379" spans="1:29" s="204" customFormat="1" ht="16.5" hidden="1" customHeight="1">
      <c r="A379" s="319"/>
      <c r="B379" s="211"/>
      <c r="C379" s="212"/>
      <c r="D379" s="212"/>
      <c r="E379" s="219" t="s">
        <v>54</v>
      </c>
      <c r="F379" s="221">
        <f t="shared" si="512"/>
        <v>1785000</v>
      </c>
      <c r="G379" s="221"/>
      <c r="H379" s="221"/>
      <c r="I379" s="222"/>
      <c r="J379" s="221"/>
      <c r="K379" s="221"/>
      <c r="L379" s="221"/>
      <c r="M379" s="221">
        <f t="shared" ref="M379" si="516">F379*60%</f>
        <v>1071000</v>
      </c>
      <c r="N379" s="221"/>
      <c r="O379" s="221">
        <v>20000</v>
      </c>
      <c r="P379" s="221"/>
      <c r="Q379" s="221">
        <f t="shared" si="513"/>
        <v>12810</v>
      </c>
      <c r="R379" s="221">
        <f t="shared" si="514"/>
        <v>512400</v>
      </c>
      <c r="S379" s="221"/>
      <c r="T379" s="222"/>
      <c r="U379" s="214">
        <f t="shared" si="505"/>
        <v>3388400</v>
      </c>
      <c r="V379" s="250"/>
      <c r="W379" s="224">
        <f t="shared" si="515"/>
        <v>282370</v>
      </c>
      <c r="X379" s="225">
        <f t="shared" si="506"/>
        <v>152480</v>
      </c>
      <c r="Y379" s="225">
        <f t="shared" si="474"/>
        <v>109450</v>
      </c>
      <c r="Z379" s="225">
        <f t="shared" si="475"/>
        <v>9320</v>
      </c>
      <c r="AA379" s="225">
        <f t="shared" si="509"/>
        <v>30500</v>
      </c>
      <c r="AB379" s="225">
        <f t="shared" si="510"/>
        <v>27110</v>
      </c>
      <c r="AC379" s="252">
        <f t="shared" si="511"/>
        <v>611230</v>
      </c>
    </row>
    <row r="380" spans="1:29" s="204" customFormat="1" ht="16.5" hidden="1" customHeight="1">
      <c r="A380" s="319"/>
      <c r="B380" s="211"/>
      <c r="C380" s="212"/>
      <c r="D380" s="212"/>
      <c r="E380" s="219" t="s">
        <v>55</v>
      </c>
      <c r="F380" s="221">
        <f t="shared" si="512"/>
        <v>1785000</v>
      </c>
      <c r="G380" s="221"/>
      <c r="H380" s="221"/>
      <c r="I380" s="222"/>
      <c r="J380" s="221"/>
      <c r="K380" s="221"/>
      <c r="L380" s="221"/>
      <c r="M380" s="221"/>
      <c r="N380" s="221"/>
      <c r="O380" s="221">
        <v>20000</v>
      </c>
      <c r="P380" s="221"/>
      <c r="Q380" s="221">
        <f t="shared" si="513"/>
        <v>12810</v>
      </c>
      <c r="R380" s="221">
        <f t="shared" si="514"/>
        <v>512400</v>
      </c>
      <c r="S380" s="221"/>
      <c r="T380" s="222"/>
      <c r="U380" s="214">
        <f t="shared" si="505"/>
        <v>2317400</v>
      </c>
      <c r="V380" s="250"/>
      <c r="W380" s="224">
        <f t="shared" si="515"/>
        <v>193120</v>
      </c>
      <c r="X380" s="225">
        <f t="shared" si="506"/>
        <v>104280</v>
      </c>
      <c r="Y380" s="225">
        <f t="shared" si="474"/>
        <v>74860</v>
      </c>
      <c r="Z380" s="225">
        <f t="shared" si="475"/>
        <v>6380</v>
      </c>
      <c r="AA380" s="225">
        <f t="shared" si="509"/>
        <v>20860</v>
      </c>
      <c r="AB380" s="225">
        <f t="shared" si="510"/>
        <v>18540</v>
      </c>
      <c r="AC380" s="252">
        <f t="shared" si="511"/>
        <v>418040</v>
      </c>
    </row>
    <row r="381" spans="1:29" s="204" customFormat="1" ht="16.5" hidden="1" customHeight="1">
      <c r="A381" s="319"/>
      <c r="B381" s="211"/>
      <c r="C381" s="212"/>
      <c r="D381" s="212"/>
      <c r="E381" s="219" t="s">
        <v>56</v>
      </c>
      <c r="F381" s="221">
        <f t="shared" si="512"/>
        <v>1785000</v>
      </c>
      <c r="G381" s="221"/>
      <c r="H381" s="221"/>
      <c r="I381" s="222"/>
      <c r="J381" s="221"/>
      <c r="K381" s="221"/>
      <c r="L381" s="221"/>
      <c r="M381" s="221"/>
      <c r="N381" s="221"/>
      <c r="O381" s="221">
        <v>20000</v>
      </c>
      <c r="P381" s="221"/>
      <c r="Q381" s="221">
        <f t="shared" si="513"/>
        <v>12810</v>
      </c>
      <c r="R381" s="221">
        <f t="shared" si="514"/>
        <v>512400</v>
      </c>
      <c r="S381" s="221"/>
      <c r="T381" s="222"/>
      <c r="U381" s="214">
        <f t="shared" si="505"/>
        <v>2317400</v>
      </c>
      <c r="V381" s="250"/>
      <c r="W381" s="224">
        <f t="shared" si="515"/>
        <v>193120</v>
      </c>
      <c r="X381" s="225">
        <f t="shared" si="506"/>
        <v>104280</v>
      </c>
      <c r="Y381" s="225">
        <f t="shared" si="474"/>
        <v>74860</v>
      </c>
      <c r="Z381" s="225">
        <f t="shared" si="475"/>
        <v>6380</v>
      </c>
      <c r="AA381" s="225">
        <f t="shared" si="509"/>
        <v>20860</v>
      </c>
      <c r="AB381" s="225">
        <f t="shared" si="510"/>
        <v>18540</v>
      </c>
      <c r="AC381" s="252">
        <f t="shared" si="511"/>
        <v>418040</v>
      </c>
    </row>
    <row r="382" spans="1:29" s="204" customFormat="1" ht="16.5" hidden="1" customHeight="1">
      <c r="A382" s="319"/>
      <c r="B382" s="211"/>
      <c r="C382" s="212"/>
      <c r="D382" s="212"/>
      <c r="E382" s="219" t="s">
        <v>395</v>
      </c>
      <c r="F382" s="221">
        <f t="shared" si="512"/>
        <v>1785000</v>
      </c>
      <c r="G382" s="221"/>
      <c r="H382" s="221"/>
      <c r="I382" s="222"/>
      <c r="J382" s="221"/>
      <c r="K382" s="221"/>
      <c r="L382" s="221"/>
      <c r="M382" s="221"/>
      <c r="N382" s="221"/>
      <c r="O382" s="221">
        <v>20000</v>
      </c>
      <c r="P382" s="221"/>
      <c r="Q382" s="221">
        <f t="shared" si="513"/>
        <v>12810</v>
      </c>
      <c r="R382" s="221">
        <f>Q382*40*2</f>
        <v>1024800</v>
      </c>
      <c r="S382" s="221"/>
      <c r="T382" s="222"/>
      <c r="U382" s="214">
        <f t="shared" si="505"/>
        <v>2829800</v>
      </c>
      <c r="V382" s="250"/>
      <c r="W382" s="224">
        <f t="shared" si="515"/>
        <v>235820</v>
      </c>
      <c r="X382" s="225">
        <f t="shared" si="506"/>
        <v>127340</v>
      </c>
      <c r="Y382" s="225">
        <f t="shared" si="474"/>
        <v>91410</v>
      </c>
      <c r="Z382" s="225">
        <f t="shared" si="475"/>
        <v>7780</v>
      </c>
      <c r="AA382" s="225">
        <f t="shared" si="509"/>
        <v>25470</v>
      </c>
      <c r="AB382" s="225">
        <f t="shared" si="510"/>
        <v>22640</v>
      </c>
      <c r="AC382" s="252">
        <f t="shared" si="511"/>
        <v>510460</v>
      </c>
    </row>
    <row r="383" spans="1:29" s="204" customFormat="1" ht="16.5" hidden="1" customHeight="1">
      <c r="A383" s="319">
        <v>30</v>
      </c>
      <c r="B383" s="211" t="s">
        <v>87</v>
      </c>
      <c r="C383" s="212" t="s">
        <v>821</v>
      </c>
      <c r="D383" s="212">
        <v>1</v>
      </c>
      <c r="E383" s="213" t="s">
        <v>86</v>
      </c>
      <c r="F383" s="214">
        <f t="shared" ref="F383:N383" si="517">SUM(F384:F395)</f>
        <v>25200000</v>
      </c>
      <c r="G383" s="214">
        <f t="shared" si="517"/>
        <v>0</v>
      </c>
      <c r="H383" s="214">
        <f t="shared" si="517"/>
        <v>0</v>
      </c>
      <c r="I383" s="214">
        <f t="shared" si="517"/>
        <v>0</v>
      </c>
      <c r="J383" s="214">
        <f t="shared" si="517"/>
        <v>0</v>
      </c>
      <c r="K383" s="214">
        <f t="shared" si="517"/>
        <v>0</v>
      </c>
      <c r="L383" s="214">
        <f t="shared" si="517"/>
        <v>0</v>
      </c>
      <c r="M383" s="214">
        <f t="shared" si="517"/>
        <v>2520000</v>
      </c>
      <c r="N383" s="214">
        <f t="shared" si="517"/>
        <v>0</v>
      </c>
      <c r="O383" s="214">
        <f>SUM(O384:O395)</f>
        <v>0</v>
      </c>
      <c r="P383" s="214">
        <f t="shared" ref="P383" si="518">SUM(P384:P395)</f>
        <v>0</v>
      </c>
      <c r="Q383" s="214"/>
      <c r="R383" s="214">
        <f t="shared" ref="R383" si="519">SUM(R384:R395)</f>
        <v>7233600</v>
      </c>
      <c r="S383" s="214">
        <f>SUM(S384:S395)</f>
        <v>0</v>
      </c>
      <c r="T383" s="214">
        <f t="shared" ref="T383:U383" si="520">SUM(T384:T395)</f>
        <v>0</v>
      </c>
      <c r="U383" s="214">
        <f t="shared" si="520"/>
        <v>34953600</v>
      </c>
      <c r="V383" s="250"/>
      <c r="W383" s="217">
        <f t="shared" ref="W383:AB383" si="521">SUM(W384:W395)</f>
        <v>2912830</v>
      </c>
      <c r="X383" s="214">
        <f t="shared" si="521"/>
        <v>1572900</v>
      </c>
      <c r="Y383" s="214">
        <f t="shared" si="521"/>
        <v>1129040</v>
      </c>
      <c r="Z383" s="214">
        <f t="shared" si="521"/>
        <v>96140</v>
      </c>
      <c r="AA383" s="214">
        <f t="shared" si="521"/>
        <v>314570</v>
      </c>
      <c r="AB383" s="214">
        <f t="shared" si="521"/>
        <v>279610</v>
      </c>
      <c r="AC383" s="266">
        <f>SUM(AC384:AC395)</f>
        <v>6305090</v>
      </c>
    </row>
    <row r="384" spans="1:29" s="204" customFormat="1" ht="16.5" hidden="1" customHeight="1">
      <c r="A384" s="319"/>
      <c r="B384" s="211" t="s">
        <v>613</v>
      </c>
      <c r="C384" s="310">
        <v>6</v>
      </c>
      <c r="D384" s="310"/>
      <c r="E384" s="311" t="s">
        <v>389</v>
      </c>
      <c r="F384" s="312">
        <v>2068000</v>
      </c>
      <c r="G384" s="221"/>
      <c r="H384" s="220"/>
      <c r="I384" s="222"/>
      <c r="J384" s="221"/>
      <c r="K384" s="221"/>
      <c r="L384" s="221"/>
      <c r="M384" s="221" t="s">
        <v>60</v>
      </c>
      <c r="N384" s="221"/>
      <c r="O384" s="221"/>
      <c r="P384" s="221"/>
      <c r="Q384" s="221"/>
      <c r="R384" s="221"/>
      <c r="S384" s="221"/>
      <c r="T384" s="222"/>
      <c r="U384" s="214">
        <f t="shared" ref="U384:U395" si="522">SUM(F384,M384,O384,R384,T384,S384)</f>
        <v>2068000</v>
      </c>
      <c r="V384" s="250"/>
      <c r="W384" s="224">
        <f>ROUNDUP(U384*1/12,-1)</f>
        <v>172340</v>
      </c>
      <c r="X384" s="225">
        <f t="shared" ref="X384:X395" si="523">ROUND(U384*4.5%,-1)</f>
        <v>93060</v>
      </c>
      <c r="Y384" s="225">
        <f t="shared" ref="Y384" si="524">ROUNDUP((U384-L384)*3.23%,-1)</f>
        <v>66800</v>
      </c>
      <c r="Z384" s="225">
        <f t="shared" ref="Z384" si="525">ROUNDUP(Y384*8.51%,-1)</f>
        <v>5690</v>
      </c>
      <c r="AA384" s="225">
        <f t="shared" ref="AA384:AA395" si="526">ROUND(U384*0.9%,-1)</f>
        <v>18610</v>
      </c>
      <c r="AB384" s="225">
        <f t="shared" ref="AB384:AB395" si="527">ROUND(U384*0.8%,-1)</f>
        <v>16540</v>
      </c>
      <c r="AC384" s="252">
        <f t="shared" ref="AC384:AC395" si="528">SUM(W384:AB384)</f>
        <v>373040</v>
      </c>
    </row>
    <row r="385" spans="1:29" s="204" customFormat="1" ht="16.5" hidden="1" customHeight="1">
      <c r="A385" s="319"/>
      <c r="B385" s="211"/>
      <c r="C385" s="212"/>
      <c r="D385" s="212"/>
      <c r="E385" s="219" t="s">
        <v>390</v>
      </c>
      <c r="F385" s="221">
        <f>F384</f>
        <v>2068000</v>
      </c>
      <c r="G385" s="221"/>
      <c r="H385" s="221"/>
      <c r="I385" s="222"/>
      <c r="J385" s="221"/>
      <c r="K385" s="221"/>
      <c r="L385" s="221"/>
      <c r="M385" s="221">
        <f>F385*60%</f>
        <v>1240800</v>
      </c>
      <c r="N385" s="221"/>
      <c r="O385" s="221"/>
      <c r="P385" s="221"/>
      <c r="Q385" s="221">
        <f t="shared" ref="Q385:Q395" si="529">ROUND((F384+T384)*1/209*1.5,-1)</f>
        <v>14840</v>
      </c>
      <c r="R385" s="221">
        <f>Q385*40</f>
        <v>593600</v>
      </c>
      <c r="S385" s="221"/>
      <c r="T385" s="222"/>
      <c r="U385" s="214">
        <f t="shared" si="522"/>
        <v>3902400</v>
      </c>
      <c r="V385" s="250"/>
      <c r="W385" s="224">
        <f>ROUNDUP((T385+U385)*1/12,-1)</f>
        <v>325200</v>
      </c>
      <c r="X385" s="225">
        <f t="shared" si="523"/>
        <v>175610</v>
      </c>
      <c r="Y385" s="225">
        <f t="shared" si="474"/>
        <v>126050</v>
      </c>
      <c r="Z385" s="225">
        <f t="shared" si="475"/>
        <v>10730</v>
      </c>
      <c r="AA385" s="225">
        <f t="shared" si="526"/>
        <v>35120</v>
      </c>
      <c r="AB385" s="225">
        <f t="shared" si="527"/>
        <v>31220</v>
      </c>
      <c r="AC385" s="252">
        <f t="shared" si="528"/>
        <v>703930</v>
      </c>
    </row>
    <row r="386" spans="1:29" s="204" customFormat="1" ht="16.5" hidden="1" customHeight="1">
      <c r="A386" s="319"/>
      <c r="B386" s="211"/>
      <c r="C386" s="212"/>
      <c r="D386" s="212"/>
      <c r="E386" s="219" t="s">
        <v>391</v>
      </c>
      <c r="F386" s="221">
        <f t="shared" ref="F386:F389" si="530">F385</f>
        <v>2068000</v>
      </c>
      <c r="G386" s="221"/>
      <c r="H386" s="221"/>
      <c r="I386" s="222"/>
      <c r="J386" s="221"/>
      <c r="K386" s="221"/>
      <c r="L386" s="221"/>
      <c r="M386" s="221"/>
      <c r="N386" s="221"/>
      <c r="O386" s="221"/>
      <c r="P386" s="221"/>
      <c r="Q386" s="221">
        <f t="shared" si="529"/>
        <v>14840</v>
      </c>
      <c r="R386" s="221">
        <f t="shared" ref="R386:R394" si="531">Q386*40</f>
        <v>593600</v>
      </c>
      <c r="S386" s="221"/>
      <c r="T386" s="222"/>
      <c r="U386" s="214">
        <f t="shared" si="522"/>
        <v>2661600</v>
      </c>
      <c r="V386" s="250"/>
      <c r="W386" s="224">
        <f t="shared" ref="W386:W395" si="532">ROUNDUP(U386*1/12,-1)</f>
        <v>221800</v>
      </c>
      <c r="X386" s="225">
        <f t="shared" si="523"/>
        <v>119770</v>
      </c>
      <c r="Y386" s="225">
        <f t="shared" si="474"/>
        <v>85970</v>
      </c>
      <c r="Z386" s="225">
        <f t="shared" si="475"/>
        <v>7320</v>
      </c>
      <c r="AA386" s="225">
        <f t="shared" si="526"/>
        <v>23950</v>
      </c>
      <c r="AB386" s="225">
        <f t="shared" si="527"/>
        <v>21290</v>
      </c>
      <c r="AC386" s="252">
        <f t="shared" si="528"/>
        <v>480100</v>
      </c>
    </row>
    <row r="387" spans="1:29" s="204" customFormat="1" ht="16.5" hidden="1" customHeight="1">
      <c r="A387" s="319"/>
      <c r="B387" s="211"/>
      <c r="C387" s="212"/>
      <c r="D387" s="212"/>
      <c r="E387" s="219" t="s">
        <v>392</v>
      </c>
      <c r="F387" s="221">
        <f t="shared" si="530"/>
        <v>2068000</v>
      </c>
      <c r="G387" s="221"/>
      <c r="H387" s="221"/>
      <c r="I387" s="222"/>
      <c r="J387" s="221"/>
      <c r="K387" s="221"/>
      <c r="L387" s="221"/>
      <c r="M387" s="221"/>
      <c r="N387" s="221"/>
      <c r="O387" s="221"/>
      <c r="P387" s="221"/>
      <c r="Q387" s="221">
        <f t="shared" si="529"/>
        <v>14840</v>
      </c>
      <c r="R387" s="221">
        <f t="shared" si="531"/>
        <v>593600</v>
      </c>
      <c r="S387" s="221"/>
      <c r="T387" s="222"/>
      <c r="U387" s="214">
        <f t="shared" si="522"/>
        <v>2661600</v>
      </c>
      <c r="V387" s="250"/>
      <c r="W387" s="224">
        <f t="shared" si="532"/>
        <v>221800</v>
      </c>
      <c r="X387" s="225">
        <f t="shared" si="523"/>
        <v>119770</v>
      </c>
      <c r="Y387" s="225">
        <f t="shared" si="474"/>
        <v>85970</v>
      </c>
      <c r="Z387" s="225">
        <f t="shared" si="475"/>
        <v>7320</v>
      </c>
      <c r="AA387" s="225">
        <f t="shared" si="526"/>
        <v>23950</v>
      </c>
      <c r="AB387" s="225">
        <f t="shared" si="527"/>
        <v>21290</v>
      </c>
      <c r="AC387" s="252">
        <f t="shared" si="528"/>
        <v>480100</v>
      </c>
    </row>
    <row r="388" spans="1:29" s="204" customFormat="1" ht="16.5" hidden="1" customHeight="1">
      <c r="A388" s="319"/>
      <c r="B388" s="211"/>
      <c r="C388" s="212"/>
      <c r="D388" s="212"/>
      <c r="E388" s="219" t="s">
        <v>393</v>
      </c>
      <c r="F388" s="221">
        <f t="shared" si="530"/>
        <v>2068000</v>
      </c>
      <c r="G388" s="221"/>
      <c r="H388" s="221"/>
      <c r="I388" s="222"/>
      <c r="J388" s="221"/>
      <c r="K388" s="221"/>
      <c r="L388" s="221"/>
      <c r="M388" s="221"/>
      <c r="N388" s="221"/>
      <c r="O388" s="221"/>
      <c r="P388" s="221"/>
      <c r="Q388" s="221">
        <f t="shared" si="529"/>
        <v>14840</v>
      </c>
      <c r="R388" s="221">
        <f t="shared" si="531"/>
        <v>593600</v>
      </c>
      <c r="S388" s="221"/>
      <c r="T388" s="222"/>
      <c r="U388" s="214">
        <f t="shared" si="522"/>
        <v>2661600</v>
      </c>
      <c r="V388" s="250"/>
      <c r="W388" s="224">
        <f t="shared" si="532"/>
        <v>221800</v>
      </c>
      <c r="X388" s="225">
        <f t="shared" si="523"/>
        <v>119770</v>
      </c>
      <c r="Y388" s="225">
        <f t="shared" si="474"/>
        <v>85970</v>
      </c>
      <c r="Z388" s="225">
        <f t="shared" si="475"/>
        <v>7320</v>
      </c>
      <c r="AA388" s="225">
        <f t="shared" si="526"/>
        <v>23950</v>
      </c>
      <c r="AB388" s="225">
        <f t="shared" si="527"/>
        <v>21290</v>
      </c>
      <c r="AC388" s="252">
        <f t="shared" si="528"/>
        <v>480100</v>
      </c>
    </row>
    <row r="389" spans="1:29" s="204" customFormat="1" ht="16.5" hidden="1" customHeight="1">
      <c r="A389" s="319"/>
      <c r="B389" s="211"/>
      <c r="C389" s="212"/>
      <c r="D389" s="212"/>
      <c r="E389" s="219" t="s">
        <v>394</v>
      </c>
      <c r="F389" s="221">
        <f t="shared" si="530"/>
        <v>2068000</v>
      </c>
      <c r="G389" s="221"/>
      <c r="H389" s="221"/>
      <c r="I389" s="222"/>
      <c r="J389" s="221"/>
      <c r="K389" s="221"/>
      <c r="L389" s="221"/>
      <c r="M389" s="221"/>
      <c r="N389" s="221"/>
      <c r="O389" s="221"/>
      <c r="P389" s="221"/>
      <c r="Q389" s="221">
        <f t="shared" si="529"/>
        <v>14840</v>
      </c>
      <c r="R389" s="221">
        <f t="shared" si="531"/>
        <v>593600</v>
      </c>
      <c r="S389" s="221"/>
      <c r="T389" s="222"/>
      <c r="U389" s="214">
        <f t="shared" si="522"/>
        <v>2661600</v>
      </c>
      <c r="V389" s="250"/>
      <c r="W389" s="224">
        <f t="shared" si="532"/>
        <v>221800</v>
      </c>
      <c r="X389" s="225">
        <f t="shared" si="523"/>
        <v>119770</v>
      </c>
      <c r="Y389" s="225">
        <f t="shared" si="474"/>
        <v>85970</v>
      </c>
      <c r="Z389" s="225">
        <f t="shared" si="475"/>
        <v>7320</v>
      </c>
      <c r="AA389" s="225">
        <f t="shared" si="526"/>
        <v>23950</v>
      </c>
      <c r="AB389" s="225">
        <f t="shared" si="527"/>
        <v>21290</v>
      </c>
      <c r="AC389" s="252">
        <f t="shared" si="528"/>
        <v>480100</v>
      </c>
    </row>
    <row r="390" spans="1:29" s="204" customFormat="1" ht="16.5" hidden="1" customHeight="1">
      <c r="A390" s="319"/>
      <c r="B390" s="211"/>
      <c r="C390" s="310">
        <f>C384+1</f>
        <v>7</v>
      </c>
      <c r="D390" s="310"/>
      <c r="E390" s="311" t="s">
        <v>279</v>
      </c>
      <c r="F390" s="312">
        <v>2132000</v>
      </c>
      <c r="G390" s="221"/>
      <c r="H390" s="220"/>
      <c r="I390" s="222"/>
      <c r="J390" s="221"/>
      <c r="K390" s="221"/>
      <c r="L390" s="221"/>
      <c r="M390" s="221"/>
      <c r="N390" s="221"/>
      <c r="O390" s="221"/>
      <c r="P390" s="221"/>
      <c r="Q390" s="221">
        <f t="shared" si="529"/>
        <v>14840</v>
      </c>
      <c r="R390" s="221">
        <f t="shared" si="531"/>
        <v>593600</v>
      </c>
      <c r="S390" s="221"/>
      <c r="T390" s="222"/>
      <c r="U390" s="214">
        <f t="shared" si="522"/>
        <v>2725600</v>
      </c>
      <c r="V390" s="250"/>
      <c r="W390" s="224">
        <f t="shared" si="532"/>
        <v>227140</v>
      </c>
      <c r="X390" s="225">
        <f t="shared" si="523"/>
        <v>122650</v>
      </c>
      <c r="Y390" s="225">
        <f t="shared" si="474"/>
        <v>88040</v>
      </c>
      <c r="Z390" s="225">
        <f t="shared" si="475"/>
        <v>7500</v>
      </c>
      <c r="AA390" s="225">
        <f t="shared" si="526"/>
        <v>24530</v>
      </c>
      <c r="AB390" s="225">
        <f t="shared" si="527"/>
        <v>21800</v>
      </c>
      <c r="AC390" s="252">
        <f t="shared" si="528"/>
        <v>491660</v>
      </c>
    </row>
    <row r="391" spans="1:29" s="204" customFormat="1" ht="16.5" hidden="1" customHeight="1">
      <c r="A391" s="319"/>
      <c r="B391" s="211"/>
      <c r="C391" s="212"/>
      <c r="D391" s="212"/>
      <c r="E391" s="219" t="s">
        <v>280</v>
      </c>
      <c r="F391" s="221">
        <f t="shared" ref="F391:F395" si="533">F390</f>
        <v>2132000</v>
      </c>
      <c r="G391" s="221"/>
      <c r="H391" s="221"/>
      <c r="I391" s="222"/>
      <c r="J391" s="221"/>
      <c r="K391" s="221"/>
      <c r="L391" s="221"/>
      <c r="M391" s="221"/>
      <c r="N391" s="221"/>
      <c r="O391" s="221"/>
      <c r="P391" s="221"/>
      <c r="Q391" s="221">
        <f t="shared" si="529"/>
        <v>15300</v>
      </c>
      <c r="R391" s="221">
        <f t="shared" si="531"/>
        <v>612000</v>
      </c>
      <c r="S391" s="221"/>
      <c r="T391" s="222"/>
      <c r="U391" s="214">
        <f t="shared" si="522"/>
        <v>2744000</v>
      </c>
      <c r="V391" s="250"/>
      <c r="W391" s="224">
        <f t="shared" si="532"/>
        <v>228670</v>
      </c>
      <c r="X391" s="225">
        <f t="shared" si="523"/>
        <v>123480</v>
      </c>
      <c r="Y391" s="225">
        <f t="shared" si="474"/>
        <v>88640</v>
      </c>
      <c r="Z391" s="225">
        <f t="shared" si="475"/>
        <v>7550</v>
      </c>
      <c r="AA391" s="225">
        <f t="shared" si="526"/>
        <v>24700</v>
      </c>
      <c r="AB391" s="225">
        <f t="shared" si="527"/>
        <v>21950</v>
      </c>
      <c r="AC391" s="252">
        <f t="shared" si="528"/>
        <v>494990</v>
      </c>
    </row>
    <row r="392" spans="1:29" s="204" customFormat="1" ht="16.5" hidden="1" customHeight="1">
      <c r="A392" s="319"/>
      <c r="B392" s="211"/>
      <c r="C392" s="212"/>
      <c r="D392" s="212"/>
      <c r="E392" s="219" t="s">
        <v>54</v>
      </c>
      <c r="F392" s="221">
        <f t="shared" si="533"/>
        <v>2132000</v>
      </c>
      <c r="G392" s="221"/>
      <c r="H392" s="221"/>
      <c r="I392" s="222"/>
      <c r="J392" s="221"/>
      <c r="K392" s="221"/>
      <c r="L392" s="221"/>
      <c r="M392" s="221">
        <f t="shared" ref="M392" si="534">F392*60%</f>
        <v>1279200</v>
      </c>
      <c r="N392" s="221"/>
      <c r="O392" s="221"/>
      <c r="P392" s="221"/>
      <c r="Q392" s="221">
        <f t="shared" si="529"/>
        <v>15300</v>
      </c>
      <c r="R392" s="221">
        <f t="shared" si="531"/>
        <v>612000</v>
      </c>
      <c r="S392" s="221"/>
      <c r="T392" s="222"/>
      <c r="U392" s="214">
        <f t="shared" si="522"/>
        <v>4023200</v>
      </c>
      <c r="V392" s="250"/>
      <c r="W392" s="224">
        <f t="shared" si="532"/>
        <v>335270</v>
      </c>
      <c r="X392" s="225">
        <f t="shared" si="523"/>
        <v>181040</v>
      </c>
      <c r="Y392" s="225">
        <f t="shared" si="474"/>
        <v>129950</v>
      </c>
      <c r="Z392" s="225">
        <f t="shared" si="475"/>
        <v>11060</v>
      </c>
      <c r="AA392" s="225">
        <f t="shared" si="526"/>
        <v>36210</v>
      </c>
      <c r="AB392" s="225">
        <f t="shared" si="527"/>
        <v>32190</v>
      </c>
      <c r="AC392" s="252">
        <f t="shared" si="528"/>
        <v>725720</v>
      </c>
    </row>
    <row r="393" spans="1:29" s="204" customFormat="1" ht="16.5" hidden="1" customHeight="1">
      <c r="A393" s="319"/>
      <c r="B393" s="211"/>
      <c r="C393" s="212"/>
      <c r="D393" s="212"/>
      <c r="E393" s="219" t="s">
        <v>55</v>
      </c>
      <c r="F393" s="221">
        <f t="shared" si="533"/>
        <v>2132000</v>
      </c>
      <c r="G393" s="221"/>
      <c r="H393" s="221"/>
      <c r="I393" s="222"/>
      <c r="J393" s="221"/>
      <c r="K393" s="221"/>
      <c r="L393" s="221"/>
      <c r="M393" s="221"/>
      <c r="N393" s="221"/>
      <c r="O393" s="221"/>
      <c r="P393" s="221"/>
      <c r="Q393" s="221">
        <f t="shared" si="529"/>
        <v>15300</v>
      </c>
      <c r="R393" s="221">
        <f t="shared" si="531"/>
        <v>612000</v>
      </c>
      <c r="S393" s="221"/>
      <c r="T393" s="222"/>
      <c r="U393" s="214">
        <f t="shared" si="522"/>
        <v>2744000</v>
      </c>
      <c r="V393" s="250"/>
      <c r="W393" s="224">
        <f t="shared" si="532"/>
        <v>228670</v>
      </c>
      <c r="X393" s="225">
        <f t="shared" si="523"/>
        <v>123480</v>
      </c>
      <c r="Y393" s="225">
        <f t="shared" si="474"/>
        <v>88640</v>
      </c>
      <c r="Z393" s="225">
        <f t="shared" si="475"/>
        <v>7550</v>
      </c>
      <c r="AA393" s="225">
        <f t="shared" si="526"/>
        <v>24700</v>
      </c>
      <c r="AB393" s="225">
        <f t="shared" si="527"/>
        <v>21950</v>
      </c>
      <c r="AC393" s="252">
        <f t="shared" si="528"/>
        <v>494990</v>
      </c>
    </row>
    <row r="394" spans="1:29" s="204" customFormat="1" ht="16.5" hidden="1" customHeight="1">
      <c r="A394" s="319"/>
      <c r="B394" s="211"/>
      <c r="C394" s="212"/>
      <c r="D394" s="212"/>
      <c r="E394" s="219" t="s">
        <v>56</v>
      </c>
      <c r="F394" s="221">
        <f t="shared" si="533"/>
        <v>2132000</v>
      </c>
      <c r="G394" s="221"/>
      <c r="H394" s="221"/>
      <c r="I394" s="222"/>
      <c r="J394" s="221"/>
      <c r="K394" s="221"/>
      <c r="L394" s="221"/>
      <c r="M394" s="221"/>
      <c r="N394" s="221"/>
      <c r="O394" s="221"/>
      <c r="P394" s="221"/>
      <c r="Q394" s="221">
        <f t="shared" si="529"/>
        <v>15300</v>
      </c>
      <c r="R394" s="221">
        <f t="shared" si="531"/>
        <v>612000</v>
      </c>
      <c r="S394" s="221"/>
      <c r="T394" s="222"/>
      <c r="U394" s="214">
        <f t="shared" si="522"/>
        <v>2744000</v>
      </c>
      <c r="V394" s="250"/>
      <c r="W394" s="224">
        <f t="shared" si="532"/>
        <v>228670</v>
      </c>
      <c r="X394" s="225">
        <f t="shared" si="523"/>
        <v>123480</v>
      </c>
      <c r="Y394" s="225">
        <f t="shared" si="474"/>
        <v>88640</v>
      </c>
      <c r="Z394" s="225">
        <f t="shared" si="475"/>
        <v>7550</v>
      </c>
      <c r="AA394" s="225">
        <f t="shared" si="526"/>
        <v>24700</v>
      </c>
      <c r="AB394" s="225">
        <f t="shared" si="527"/>
        <v>21950</v>
      </c>
      <c r="AC394" s="252">
        <f t="shared" si="528"/>
        <v>494990</v>
      </c>
    </row>
    <row r="395" spans="1:29" s="204" customFormat="1" ht="16.5" hidden="1" customHeight="1">
      <c r="A395" s="319"/>
      <c r="B395" s="211"/>
      <c r="C395" s="212"/>
      <c r="D395" s="212"/>
      <c r="E395" s="219" t="s">
        <v>395</v>
      </c>
      <c r="F395" s="221">
        <f t="shared" si="533"/>
        <v>2132000</v>
      </c>
      <c r="G395" s="221"/>
      <c r="H395" s="221"/>
      <c r="I395" s="222"/>
      <c r="J395" s="221"/>
      <c r="K395" s="221"/>
      <c r="L395" s="221"/>
      <c r="M395" s="221"/>
      <c r="N395" s="221"/>
      <c r="O395" s="221"/>
      <c r="P395" s="221"/>
      <c r="Q395" s="221">
        <f t="shared" si="529"/>
        <v>15300</v>
      </c>
      <c r="R395" s="221">
        <f>Q395*40*2</f>
        <v>1224000</v>
      </c>
      <c r="S395" s="221"/>
      <c r="T395" s="222"/>
      <c r="U395" s="214">
        <f t="shared" si="522"/>
        <v>3356000</v>
      </c>
      <c r="V395" s="250"/>
      <c r="W395" s="224">
        <f t="shared" si="532"/>
        <v>279670</v>
      </c>
      <c r="X395" s="225">
        <f t="shared" si="523"/>
        <v>151020</v>
      </c>
      <c r="Y395" s="225">
        <f t="shared" si="474"/>
        <v>108400</v>
      </c>
      <c r="Z395" s="225">
        <f t="shared" si="475"/>
        <v>9230</v>
      </c>
      <c r="AA395" s="225">
        <f t="shared" si="526"/>
        <v>30200</v>
      </c>
      <c r="AB395" s="225">
        <f t="shared" si="527"/>
        <v>26850</v>
      </c>
      <c r="AC395" s="252">
        <f t="shared" si="528"/>
        <v>605370</v>
      </c>
    </row>
    <row r="396" spans="1:29" s="204" customFormat="1" ht="16.5" hidden="1" customHeight="1">
      <c r="A396" s="319">
        <v>31</v>
      </c>
      <c r="B396" s="211" t="s">
        <v>87</v>
      </c>
      <c r="C396" s="212" t="s">
        <v>525</v>
      </c>
      <c r="D396" s="212">
        <v>1</v>
      </c>
      <c r="E396" s="213" t="s">
        <v>86</v>
      </c>
      <c r="F396" s="214">
        <f t="shared" ref="F396:N396" si="535">SUM(F397:F408)</f>
        <v>23848000</v>
      </c>
      <c r="G396" s="214">
        <f t="shared" si="535"/>
        <v>0</v>
      </c>
      <c r="H396" s="214">
        <f t="shared" si="535"/>
        <v>0</v>
      </c>
      <c r="I396" s="214">
        <f t="shared" si="535"/>
        <v>0</v>
      </c>
      <c r="J396" s="214">
        <f t="shared" si="535"/>
        <v>0</v>
      </c>
      <c r="K396" s="214">
        <f t="shared" si="535"/>
        <v>0</v>
      </c>
      <c r="L396" s="214">
        <f t="shared" si="535"/>
        <v>0</v>
      </c>
      <c r="M396" s="214">
        <f t="shared" si="535"/>
        <v>2373000</v>
      </c>
      <c r="N396" s="214">
        <f t="shared" si="535"/>
        <v>0</v>
      </c>
      <c r="O396" s="214">
        <f>SUM(O397:O408)</f>
        <v>0</v>
      </c>
      <c r="P396" s="214">
        <f t="shared" ref="P396" si="536">SUM(P397:P408)</f>
        <v>0</v>
      </c>
      <c r="Q396" s="214"/>
      <c r="R396" s="214">
        <f t="shared" ref="R396" si="537">SUM(R397:R408)</f>
        <v>6844800</v>
      </c>
      <c r="S396" s="214">
        <f>SUM(S397:S408)</f>
        <v>0</v>
      </c>
      <c r="T396" s="214">
        <f t="shared" ref="T396:U396" si="538">SUM(T397:T408)</f>
        <v>0</v>
      </c>
      <c r="U396" s="214">
        <f t="shared" si="538"/>
        <v>33065800</v>
      </c>
      <c r="V396" s="250"/>
      <c r="W396" s="217">
        <f t="shared" ref="W396:AB396" si="539">SUM(W397:W408)</f>
        <v>2755510</v>
      </c>
      <c r="X396" s="214">
        <f t="shared" si="539"/>
        <v>1487980</v>
      </c>
      <c r="Y396" s="214">
        <f t="shared" si="539"/>
        <v>1068110</v>
      </c>
      <c r="Z396" s="214">
        <f t="shared" si="539"/>
        <v>90990</v>
      </c>
      <c r="AA396" s="214">
        <f t="shared" si="539"/>
        <v>297590</v>
      </c>
      <c r="AB396" s="214">
        <f t="shared" si="539"/>
        <v>264510</v>
      </c>
      <c r="AC396" s="266">
        <f>SUM(AC397:AC408)</f>
        <v>5964690</v>
      </c>
    </row>
    <row r="397" spans="1:29" s="204" customFormat="1" ht="16.5" hidden="1" customHeight="1">
      <c r="A397" s="319"/>
      <c r="B397" s="211" t="s">
        <v>845</v>
      </c>
      <c r="C397" s="310">
        <v>4</v>
      </c>
      <c r="D397" s="310"/>
      <c r="E397" s="311" t="s">
        <v>389</v>
      </c>
      <c r="F397" s="312">
        <v>1948000</v>
      </c>
      <c r="G397" s="221"/>
      <c r="H397" s="220"/>
      <c r="I397" s="222"/>
      <c r="J397" s="221"/>
      <c r="K397" s="221"/>
      <c r="L397" s="221"/>
      <c r="M397" s="221" t="s">
        <v>60</v>
      </c>
      <c r="N397" s="221"/>
      <c r="O397" s="221"/>
      <c r="P397" s="221"/>
      <c r="Q397" s="221"/>
      <c r="R397" s="221"/>
      <c r="S397" s="221"/>
      <c r="T397" s="222"/>
      <c r="U397" s="214">
        <f t="shared" ref="U397:U408" si="540">SUM(F397,M397,O397,R397,T397,S397)</f>
        <v>1948000</v>
      </c>
      <c r="V397" s="250"/>
      <c r="W397" s="224">
        <f>ROUNDUP(U397*1/12,-1)</f>
        <v>162340</v>
      </c>
      <c r="X397" s="225">
        <f t="shared" ref="X397:X408" si="541">ROUND(U397*4.5%,-1)</f>
        <v>87660</v>
      </c>
      <c r="Y397" s="225">
        <f t="shared" ref="Y397" si="542">ROUNDUP((U397-L397)*3.23%,-1)</f>
        <v>62930</v>
      </c>
      <c r="Z397" s="225">
        <f t="shared" ref="Z397" si="543">ROUNDUP(Y397*8.51%,-1)</f>
        <v>5360</v>
      </c>
      <c r="AA397" s="225">
        <f t="shared" ref="AA397:AA408" si="544">ROUND(U397*0.9%,-1)</f>
        <v>17530</v>
      </c>
      <c r="AB397" s="225">
        <f t="shared" ref="AB397:AB408" si="545">ROUND(U397*0.8%,-1)</f>
        <v>15580</v>
      </c>
      <c r="AC397" s="252">
        <f t="shared" ref="AC397:AC408" si="546">SUM(W397:AB397)</f>
        <v>351400</v>
      </c>
    </row>
    <row r="398" spans="1:29" s="204" customFormat="1" ht="16.5" hidden="1" customHeight="1">
      <c r="A398" s="319"/>
      <c r="B398" s="211"/>
      <c r="C398" s="212"/>
      <c r="D398" s="212"/>
      <c r="E398" s="219" t="s">
        <v>390</v>
      </c>
      <c r="F398" s="221">
        <f>F397</f>
        <v>1948000</v>
      </c>
      <c r="G398" s="221"/>
      <c r="H398" s="221"/>
      <c r="I398" s="222"/>
      <c r="J398" s="221"/>
      <c r="K398" s="221"/>
      <c r="L398" s="221"/>
      <c r="M398" s="221">
        <f>F398*60%</f>
        <v>1168800</v>
      </c>
      <c r="N398" s="221"/>
      <c r="O398" s="221">
        <f t="shared" ref="O398:O408" si="547">O397</f>
        <v>0</v>
      </c>
      <c r="P398" s="221"/>
      <c r="Q398" s="221">
        <f t="shared" ref="Q398:Q408" si="548">ROUND((F397+T397)*1/209*1.5,-1)</f>
        <v>13980</v>
      </c>
      <c r="R398" s="221">
        <f>Q398*40</f>
        <v>559200</v>
      </c>
      <c r="S398" s="221"/>
      <c r="T398" s="222"/>
      <c r="U398" s="214">
        <f t="shared" si="540"/>
        <v>3676000</v>
      </c>
      <c r="V398" s="250"/>
      <c r="W398" s="224">
        <f>ROUNDUP((T398+U398)*1/12,-1)</f>
        <v>306340</v>
      </c>
      <c r="X398" s="225">
        <f t="shared" si="541"/>
        <v>165420</v>
      </c>
      <c r="Y398" s="225">
        <f t="shared" si="474"/>
        <v>118740</v>
      </c>
      <c r="Z398" s="225">
        <f t="shared" si="475"/>
        <v>10110</v>
      </c>
      <c r="AA398" s="225">
        <f t="shared" si="544"/>
        <v>33080</v>
      </c>
      <c r="AB398" s="225">
        <f t="shared" si="545"/>
        <v>29410</v>
      </c>
      <c r="AC398" s="252">
        <f t="shared" si="546"/>
        <v>663100</v>
      </c>
    </row>
    <row r="399" spans="1:29" s="204" customFormat="1" ht="16.5" hidden="1" customHeight="1">
      <c r="A399" s="319"/>
      <c r="B399" s="211"/>
      <c r="C399" s="212"/>
      <c r="D399" s="212"/>
      <c r="E399" s="219" t="s">
        <v>391</v>
      </c>
      <c r="F399" s="221">
        <f>F398</f>
        <v>1948000</v>
      </c>
      <c r="G399" s="221"/>
      <c r="H399" s="221"/>
      <c r="I399" s="222"/>
      <c r="J399" s="221"/>
      <c r="K399" s="221"/>
      <c r="L399" s="221"/>
      <c r="M399" s="221"/>
      <c r="N399" s="221"/>
      <c r="O399" s="221">
        <f t="shared" si="547"/>
        <v>0</v>
      </c>
      <c r="P399" s="221"/>
      <c r="Q399" s="221">
        <f t="shared" si="548"/>
        <v>13980</v>
      </c>
      <c r="R399" s="221">
        <f t="shared" ref="R399:R407" si="549">Q399*40</f>
        <v>559200</v>
      </c>
      <c r="S399" s="221"/>
      <c r="T399" s="222"/>
      <c r="U399" s="214">
        <f t="shared" si="540"/>
        <v>2507200</v>
      </c>
      <c r="V399" s="250"/>
      <c r="W399" s="224">
        <f t="shared" ref="W399:W408" si="550">ROUNDUP(U399*1/12,-1)</f>
        <v>208940</v>
      </c>
      <c r="X399" s="225">
        <f t="shared" si="541"/>
        <v>112820</v>
      </c>
      <c r="Y399" s="225">
        <f t="shared" si="474"/>
        <v>80990</v>
      </c>
      <c r="Z399" s="225">
        <f t="shared" si="475"/>
        <v>6900</v>
      </c>
      <c r="AA399" s="225">
        <f t="shared" si="544"/>
        <v>22560</v>
      </c>
      <c r="AB399" s="225">
        <f t="shared" si="545"/>
        <v>20060</v>
      </c>
      <c r="AC399" s="252">
        <f t="shared" si="546"/>
        <v>452270</v>
      </c>
    </row>
    <row r="400" spans="1:29" s="204" customFormat="1" ht="16.5" hidden="1" customHeight="1">
      <c r="A400" s="319"/>
      <c r="B400" s="211"/>
      <c r="C400" s="212"/>
      <c r="D400" s="212"/>
      <c r="E400" s="219" t="s">
        <v>392</v>
      </c>
      <c r="F400" s="222">
        <f>F399</f>
        <v>1948000</v>
      </c>
      <c r="G400" s="221"/>
      <c r="H400" s="221"/>
      <c r="I400" s="222"/>
      <c r="J400" s="221"/>
      <c r="K400" s="221"/>
      <c r="L400" s="221"/>
      <c r="M400" s="221"/>
      <c r="N400" s="221"/>
      <c r="O400" s="221">
        <f t="shared" si="547"/>
        <v>0</v>
      </c>
      <c r="P400" s="221"/>
      <c r="Q400" s="221">
        <f t="shared" si="548"/>
        <v>13980</v>
      </c>
      <c r="R400" s="221">
        <f t="shared" si="549"/>
        <v>559200</v>
      </c>
      <c r="S400" s="221"/>
      <c r="T400" s="222"/>
      <c r="U400" s="214">
        <f t="shared" si="540"/>
        <v>2507200</v>
      </c>
      <c r="V400" s="250"/>
      <c r="W400" s="224">
        <f t="shared" si="550"/>
        <v>208940</v>
      </c>
      <c r="X400" s="225">
        <f t="shared" si="541"/>
        <v>112820</v>
      </c>
      <c r="Y400" s="225">
        <f t="shared" si="474"/>
        <v>80990</v>
      </c>
      <c r="Z400" s="225">
        <f t="shared" si="475"/>
        <v>6900</v>
      </c>
      <c r="AA400" s="225">
        <f t="shared" si="544"/>
        <v>22560</v>
      </c>
      <c r="AB400" s="225">
        <f t="shared" si="545"/>
        <v>20060</v>
      </c>
      <c r="AC400" s="252">
        <f t="shared" si="546"/>
        <v>452270</v>
      </c>
    </row>
    <row r="401" spans="1:29" s="204" customFormat="1" ht="16.5" hidden="1" customHeight="1">
      <c r="A401" s="319"/>
      <c r="B401" s="211"/>
      <c r="C401" s="310">
        <f>C397+1</f>
        <v>5</v>
      </c>
      <c r="D401" s="212"/>
      <c r="E401" s="311" t="s">
        <v>393</v>
      </c>
      <c r="F401" s="312">
        <v>2007000</v>
      </c>
      <c r="G401" s="221"/>
      <c r="H401" s="221"/>
      <c r="I401" s="222"/>
      <c r="J401" s="221"/>
      <c r="K401" s="221"/>
      <c r="L401" s="221"/>
      <c r="M401" s="221"/>
      <c r="N401" s="221"/>
      <c r="O401" s="221">
        <f t="shared" si="547"/>
        <v>0</v>
      </c>
      <c r="P401" s="221"/>
      <c r="Q401" s="221">
        <f t="shared" si="548"/>
        <v>13980</v>
      </c>
      <c r="R401" s="221">
        <f t="shared" si="549"/>
        <v>559200</v>
      </c>
      <c r="S401" s="221"/>
      <c r="T401" s="222"/>
      <c r="U401" s="214">
        <f t="shared" si="540"/>
        <v>2566200</v>
      </c>
      <c r="V401" s="250"/>
      <c r="W401" s="224">
        <f t="shared" si="550"/>
        <v>213850</v>
      </c>
      <c r="X401" s="225">
        <f t="shared" si="541"/>
        <v>115480</v>
      </c>
      <c r="Y401" s="225">
        <f t="shared" si="474"/>
        <v>82890</v>
      </c>
      <c r="Z401" s="225">
        <f t="shared" si="475"/>
        <v>7060</v>
      </c>
      <c r="AA401" s="225">
        <f t="shared" si="544"/>
        <v>23100</v>
      </c>
      <c r="AB401" s="225">
        <f t="shared" si="545"/>
        <v>20530</v>
      </c>
      <c r="AC401" s="252">
        <f t="shared" si="546"/>
        <v>462910</v>
      </c>
    </row>
    <row r="402" spans="1:29" s="204" customFormat="1" ht="16.5" hidden="1" customHeight="1">
      <c r="A402" s="319"/>
      <c r="B402" s="211"/>
      <c r="C402" s="212"/>
      <c r="D402" s="212"/>
      <c r="E402" s="219" t="s">
        <v>394</v>
      </c>
      <c r="F402" s="221">
        <f>F401</f>
        <v>2007000</v>
      </c>
      <c r="G402" s="221"/>
      <c r="H402" s="221"/>
      <c r="I402" s="222"/>
      <c r="J402" s="221"/>
      <c r="K402" s="221"/>
      <c r="L402" s="221"/>
      <c r="M402" s="221"/>
      <c r="N402" s="221"/>
      <c r="O402" s="221">
        <f t="shared" si="547"/>
        <v>0</v>
      </c>
      <c r="P402" s="221"/>
      <c r="Q402" s="221">
        <f t="shared" si="548"/>
        <v>14400</v>
      </c>
      <c r="R402" s="221">
        <f t="shared" si="549"/>
        <v>576000</v>
      </c>
      <c r="S402" s="221"/>
      <c r="T402" s="222"/>
      <c r="U402" s="214">
        <f t="shared" si="540"/>
        <v>2583000</v>
      </c>
      <c r="V402" s="250"/>
      <c r="W402" s="224">
        <f t="shared" si="550"/>
        <v>215250</v>
      </c>
      <c r="X402" s="225">
        <f t="shared" si="541"/>
        <v>116240</v>
      </c>
      <c r="Y402" s="225">
        <f t="shared" si="474"/>
        <v>83440</v>
      </c>
      <c r="Z402" s="225">
        <f t="shared" si="475"/>
        <v>7110</v>
      </c>
      <c r="AA402" s="225">
        <f t="shared" si="544"/>
        <v>23250</v>
      </c>
      <c r="AB402" s="225">
        <f t="shared" si="545"/>
        <v>20660</v>
      </c>
      <c r="AC402" s="252">
        <f t="shared" si="546"/>
        <v>465950</v>
      </c>
    </row>
    <row r="403" spans="1:29" s="204" customFormat="1" ht="16.5" hidden="1" customHeight="1">
      <c r="A403" s="319"/>
      <c r="B403" s="211"/>
      <c r="C403" s="212"/>
      <c r="D403" s="212"/>
      <c r="E403" s="219" t="s">
        <v>279</v>
      </c>
      <c r="F403" s="221">
        <f t="shared" ref="F403:F408" si="551">F402</f>
        <v>2007000</v>
      </c>
      <c r="G403" s="221"/>
      <c r="H403" s="220"/>
      <c r="I403" s="222"/>
      <c r="J403" s="221"/>
      <c r="K403" s="221"/>
      <c r="L403" s="221"/>
      <c r="M403" s="221"/>
      <c r="N403" s="221"/>
      <c r="O403" s="221">
        <f t="shared" si="547"/>
        <v>0</v>
      </c>
      <c r="P403" s="221"/>
      <c r="Q403" s="221">
        <f t="shared" si="548"/>
        <v>14400</v>
      </c>
      <c r="R403" s="221">
        <f t="shared" si="549"/>
        <v>576000</v>
      </c>
      <c r="S403" s="221"/>
      <c r="T403" s="222"/>
      <c r="U403" s="214">
        <f t="shared" si="540"/>
        <v>2583000</v>
      </c>
      <c r="V403" s="250"/>
      <c r="W403" s="224">
        <f t="shared" si="550"/>
        <v>215250</v>
      </c>
      <c r="X403" s="225">
        <f t="shared" si="541"/>
        <v>116240</v>
      </c>
      <c r="Y403" s="225">
        <f t="shared" si="474"/>
        <v>83440</v>
      </c>
      <c r="Z403" s="225">
        <f t="shared" si="475"/>
        <v>7110</v>
      </c>
      <c r="AA403" s="225">
        <f t="shared" si="544"/>
        <v>23250</v>
      </c>
      <c r="AB403" s="225">
        <f t="shared" si="545"/>
        <v>20660</v>
      </c>
      <c r="AC403" s="252">
        <f t="shared" si="546"/>
        <v>465950</v>
      </c>
    </row>
    <row r="404" spans="1:29" s="204" customFormat="1" ht="16.5" hidden="1" customHeight="1">
      <c r="A404" s="319"/>
      <c r="B404" s="211"/>
      <c r="C404" s="212"/>
      <c r="D404" s="212"/>
      <c r="E404" s="219" t="s">
        <v>280</v>
      </c>
      <c r="F404" s="221">
        <f t="shared" si="551"/>
        <v>2007000</v>
      </c>
      <c r="G404" s="221"/>
      <c r="H404" s="221"/>
      <c r="I404" s="222"/>
      <c r="J404" s="221"/>
      <c r="K404" s="221"/>
      <c r="L404" s="221"/>
      <c r="M404" s="221"/>
      <c r="N404" s="221"/>
      <c r="O404" s="221">
        <f t="shared" si="547"/>
        <v>0</v>
      </c>
      <c r="P404" s="221"/>
      <c r="Q404" s="221">
        <f t="shared" si="548"/>
        <v>14400</v>
      </c>
      <c r="R404" s="221">
        <f t="shared" si="549"/>
        <v>576000</v>
      </c>
      <c r="S404" s="221"/>
      <c r="T404" s="222"/>
      <c r="U404" s="214">
        <f t="shared" si="540"/>
        <v>2583000</v>
      </c>
      <c r="V404" s="250"/>
      <c r="W404" s="224">
        <f t="shared" si="550"/>
        <v>215250</v>
      </c>
      <c r="X404" s="225">
        <f t="shared" si="541"/>
        <v>116240</v>
      </c>
      <c r="Y404" s="225">
        <f t="shared" si="474"/>
        <v>83440</v>
      </c>
      <c r="Z404" s="225">
        <f t="shared" si="475"/>
        <v>7110</v>
      </c>
      <c r="AA404" s="225">
        <f t="shared" si="544"/>
        <v>23250</v>
      </c>
      <c r="AB404" s="225">
        <f t="shared" si="545"/>
        <v>20660</v>
      </c>
      <c r="AC404" s="252">
        <f t="shared" si="546"/>
        <v>465950</v>
      </c>
    </row>
    <row r="405" spans="1:29" s="204" customFormat="1" ht="16.5" hidden="1" customHeight="1">
      <c r="A405" s="319"/>
      <c r="B405" s="211"/>
      <c r="C405" s="212"/>
      <c r="D405" s="212"/>
      <c r="E405" s="219" t="s">
        <v>54</v>
      </c>
      <c r="F405" s="221">
        <f t="shared" si="551"/>
        <v>2007000</v>
      </c>
      <c r="G405" s="221"/>
      <c r="H405" s="221"/>
      <c r="I405" s="222"/>
      <c r="J405" s="221"/>
      <c r="K405" s="221"/>
      <c r="L405" s="221"/>
      <c r="M405" s="221">
        <f t="shared" ref="M405" si="552">F405*60%</f>
        <v>1204200</v>
      </c>
      <c r="N405" s="221"/>
      <c r="O405" s="221">
        <f t="shared" si="547"/>
        <v>0</v>
      </c>
      <c r="P405" s="221"/>
      <c r="Q405" s="221">
        <f t="shared" si="548"/>
        <v>14400</v>
      </c>
      <c r="R405" s="221">
        <f t="shared" si="549"/>
        <v>576000</v>
      </c>
      <c r="S405" s="221"/>
      <c r="T405" s="222"/>
      <c r="U405" s="214">
        <f t="shared" si="540"/>
        <v>3787200</v>
      </c>
      <c r="V405" s="250"/>
      <c r="W405" s="224">
        <f t="shared" si="550"/>
        <v>315600</v>
      </c>
      <c r="X405" s="225">
        <f t="shared" si="541"/>
        <v>170420</v>
      </c>
      <c r="Y405" s="225">
        <f t="shared" si="474"/>
        <v>122330</v>
      </c>
      <c r="Z405" s="225">
        <f t="shared" si="475"/>
        <v>10420</v>
      </c>
      <c r="AA405" s="225">
        <f t="shared" si="544"/>
        <v>34080</v>
      </c>
      <c r="AB405" s="225">
        <f t="shared" si="545"/>
        <v>30300</v>
      </c>
      <c r="AC405" s="252">
        <f t="shared" si="546"/>
        <v>683150</v>
      </c>
    </row>
    <row r="406" spans="1:29" s="204" customFormat="1" ht="16.5" hidden="1" customHeight="1">
      <c r="A406" s="319"/>
      <c r="B406" s="211"/>
      <c r="C406" s="212"/>
      <c r="D406" s="212"/>
      <c r="E406" s="219" t="s">
        <v>55</v>
      </c>
      <c r="F406" s="221">
        <f t="shared" si="551"/>
        <v>2007000</v>
      </c>
      <c r="G406" s="221"/>
      <c r="H406" s="221"/>
      <c r="I406" s="222"/>
      <c r="J406" s="221"/>
      <c r="K406" s="221"/>
      <c r="L406" s="221"/>
      <c r="M406" s="221"/>
      <c r="N406" s="221"/>
      <c r="O406" s="221">
        <f t="shared" si="547"/>
        <v>0</v>
      </c>
      <c r="P406" s="221"/>
      <c r="Q406" s="221">
        <f t="shared" si="548"/>
        <v>14400</v>
      </c>
      <c r="R406" s="221">
        <f t="shared" si="549"/>
        <v>576000</v>
      </c>
      <c r="S406" s="221"/>
      <c r="T406" s="222"/>
      <c r="U406" s="214">
        <f t="shared" si="540"/>
        <v>2583000</v>
      </c>
      <c r="V406" s="250"/>
      <c r="W406" s="224">
        <f t="shared" si="550"/>
        <v>215250</v>
      </c>
      <c r="X406" s="225">
        <f t="shared" si="541"/>
        <v>116240</v>
      </c>
      <c r="Y406" s="225">
        <f t="shared" si="474"/>
        <v>83440</v>
      </c>
      <c r="Z406" s="225">
        <f t="shared" si="475"/>
        <v>7110</v>
      </c>
      <c r="AA406" s="225">
        <f t="shared" si="544"/>
        <v>23250</v>
      </c>
      <c r="AB406" s="225">
        <f t="shared" si="545"/>
        <v>20660</v>
      </c>
      <c r="AC406" s="252">
        <f t="shared" si="546"/>
        <v>465950</v>
      </c>
    </row>
    <row r="407" spans="1:29" s="204" customFormat="1" ht="16.5" hidden="1" customHeight="1">
      <c r="A407" s="319"/>
      <c r="B407" s="211"/>
      <c r="C407" s="212"/>
      <c r="D407" s="212"/>
      <c r="E407" s="219" t="s">
        <v>56</v>
      </c>
      <c r="F407" s="221">
        <f t="shared" si="551"/>
        <v>2007000</v>
      </c>
      <c r="G407" s="221"/>
      <c r="H407" s="221"/>
      <c r="I407" s="222"/>
      <c r="J407" s="221"/>
      <c r="K407" s="221"/>
      <c r="L407" s="221"/>
      <c r="M407" s="221"/>
      <c r="N407" s="221"/>
      <c r="O407" s="221">
        <f t="shared" si="547"/>
        <v>0</v>
      </c>
      <c r="P407" s="221"/>
      <c r="Q407" s="221">
        <f t="shared" si="548"/>
        <v>14400</v>
      </c>
      <c r="R407" s="221">
        <f t="shared" si="549"/>
        <v>576000</v>
      </c>
      <c r="S407" s="221"/>
      <c r="T407" s="222"/>
      <c r="U407" s="214">
        <f t="shared" si="540"/>
        <v>2583000</v>
      </c>
      <c r="V407" s="250"/>
      <c r="W407" s="224">
        <f t="shared" si="550"/>
        <v>215250</v>
      </c>
      <c r="X407" s="225">
        <f t="shared" si="541"/>
        <v>116240</v>
      </c>
      <c r="Y407" s="225">
        <f t="shared" si="474"/>
        <v>83440</v>
      </c>
      <c r="Z407" s="225">
        <f t="shared" si="475"/>
        <v>7110</v>
      </c>
      <c r="AA407" s="225">
        <f t="shared" si="544"/>
        <v>23250</v>
      </c>
      <c r="AB407" s="225">
        <f t="shared" si="545"/>
        <v>20660</v>
      </c>
      <c r="AC407" s="252">
        <f t="shared" si="546"/>
        <v>465950</v>
      </c>
    </row>
    <row r="408" spans="1:29" s="204" customFormat="1" ht="16.5" hidden="1" customHeight="1">
      <c r="A408" s="319"/>
      <c r="B408" s="211"/>
      <c r="C408" s="212"/>
      <c r="D408" s="212"/>
      <c r="E408" s="219" t="s">
        <v>395</v>
      </c>
      <c r="F408" s="221">
        <f t="shared" si="551"/>
        <v>2007000</v>
      </c>
      <c r="G408" s="221"/>
      <c r="H408" s="221"/>
      <c r="I408" s="222"/>
      <c r="J408" s="221"/>
      <c r="K408" s="221"/>
      <c r="L408" s="221"/>
      <c r="M408" s="221"/>
      <c r="N408" s="221"/>
      <c r="O408" s="221">
        <f t="shared" si="547"/>
        <v>0</v>
      </c>
      <c r="P408" s="221"/>
      <c r="Q408" s="221">
        <f t="shared" si="548"/>
        <v>14400</v>
      </c>
      <c r="R408" s="221">
        <f>Q408*40*2</f>
        <v>1152000</v>
      </c>
      <c r="S408" s="221"/>
      <c r="T408" s="222"/>
      <c r="U408" s="214">
        <f t="shared" si="540"/>
        <v>3159000</v>
      </c>
      <c r="V408" s="250"/>
      <c r="W408" s="224">
        <f t="shared" si="550"/>
        <v>263250</v>
      </c>
      <c r="X408" s="225">
        <f t="shared" si="541"/>
        <v>142160</v>
      </c>
      <c r="Y408" s="225">
        <f t="shared" si="474"/>
        <v>102040</v>
      </c>
      <c r="Z408" s="225">
        <f t="shared" si="475"/>
        <v>8690</v>
      </c>
      <c r="AA408" s="225">
        <f t="shared" si="544"/>
        <v>28430</v>
      </c>
      <c r="AB408" s="225">
        <f t="shared" si="545"/>
        <v>25270</v>
      </c>
      <c r="AC408" s="252">
        <f t="shared" si="546"/>
        <v>569840</v>
      </c>
    </row>
    <row r="409" spans="1:29" s="204" customFormat="1" ht="16.5" hidden="1" customHeight="1">
      <c r="A409" s="319">
        <v>32</v>
      </c>
      <c r="B409" s="211" t="s">
        <v>87</v>
      </c>
      <c r="C409" s="212">
        <v>3</v>
      </c>
      <c r="D409" s="212">
        <v>1</v>
      </c>
      <c r="E409" s="213" t="s">
        <v>86</v>
      </c>
      <c r="F409" s="214">
        <f t="shared" ref="F409:N409" si="553">SUM(F410:F421)</f>
        <v>22692000</v>
      </c>
      <c r="G409" s="214">
        <f t="shared" si="553"/>
        <v>0</v>
      </c>
      <c r="H409" s="214">
        <f t="shared" si="553"/>
        <v>0</v>
      </c>
      <c r="I409" s="214">
        <f t="shared" si="553"/>
        <v>0</v>
      </c>
      <c r="J409" s="214">
        <f t="shared" si="553"/>
        <v>0</v>
      </c>
      <c r="K409" s="214">
        <f t="shared" si="553"/>
        <v>0</v>
      </c>
      <c r="L409" s="214">
        <f t="shared" si="553"/>
        <v>0</v>
      </c>
      <c r="M409" s="214">
        <f t="shared" si="553"/>
        <v>2269200</v>
      </c>
      <c r="N409" s="214">
        <f t="shared" si="553"/>
        <v>0</v>
      </c>
      <c r="O409" s="214">
        <f>SUM(O410:O421)</f>
        <v>240000</v>
      </c>
      <c r="P409" s="214">
        <f t="shared" ref="P409" si="554">SUM(P410:P421)</f>
        <v>0</v>
      </c>
      <c r="Q409" s="214"/>
      <c r="R409" s="214">
        <f t="shared" ref="R409:R422" si="555">SUM(R410:R421)</f>
        <v>6513600</v>
      </c>
      <c r="S409" s="214">
        <f>SUM(S410:S421)</f>
        <v>0</v>
      </c>
      <c r="T409" s="214">
        <f t="shared" ref="T409:U409" si="556">SUM(T410:T421)</f>
        <v>0</v>
      </c>
      <c r="U409" s="214">
        <f t="shared" si="556"/>
        <v>31714800</v>
      </c>
      <c r="V409" s="250"/>
      <c r="W409" s="217">
        <f t="shared" ref="W409:AB409" si="557">SUM(W410:W421)</f>
        <v>2642970</v>
      </c>
      <c r="X409" s="214">
        <f t="shared" si="557"/>
        <v>1427170</v>
      </c>
      <c r="Y409" s="214">
        <f t="shared" si="557"/>
        <v>1024430</v>
      </c>
      <c r="Z409" s="214">
        <f t="shared" si="557"/>
        <v>87240</v>
      </c>
      <c r="AA409" s="214">
        <f t="shared" si="557"/>
        <v>285410</v>
      </c>
      <c r="AB409" s="214">
        <f t="shared" si="557"/>
        <v>253720</v>
      </c>
      <c r="AC409" s="266">
        <f>SUM(AC410:AC421)</f>
        <v>5720940</v>
      </c>
    </row>
    <row r="410" spans="1:29" s="204" customFormat="1" ht="16.5" hidden="1" customHeight="1">
      <c r="A410" s="319"/>
      <c r="B410" s="211" t="s">
        <v>846</v>
      </c>
      <c r="C410" s="310">
        <v>3</v>
      </c>
      <c r="D410" s="310"/>
      <c r="E410" s="311" t="s">
        <v>389</v>
      </c>
      <c r="F410" s="312">
        <v>1891000</v>
      </c>
      <c r="G410" s="221"/>
      <c r="H410" s="220"/>
      <c r="I410" s="222"/>
      <c r="J410" s="221"/>
      <c r="K410" s="221"/>
      <c r="L410" s="221"/>
      <c r="M410" s="221" t="s">
        <v>60</v>
      </c>
      <c r="N410" s="221"/>
      <c r="O410" s="221">
        <v>20000</v>
      </c>
      <c r="P410" s="221"/>
      <c r="Q410" s="221"/>
      <c r="R410" s="221"/>
      <c r="S410" s="221"/>
      <c r="T410" s="222"/>
      <c r="U410" s="214">
        <f t="shared" ref="U410:U421" si="558">SUM(F410,M410,O410,R410,T410,S410)</f>
        <v>1911000</v>
      </c>
      <c r="V410" s="250"/>
      <c r="W410" s="224">
        <f>ROUNDUP(U410*1/12,-1)</f>
        <v>159250</v>
      </c>
      <c r="X410" s="225">
        <f t="shared" ref="X410:X421" si="559">ROUND(U410*4.5%,-1)</f>
        <v>86000</v>
      </c>
      <c r="Y410" s="225">
        <f t="shared" ref="Y410:Y473" si="560">ROUNDUP((U410-L410)*3.23%,-1)</f>
        <v>61730</v>
      </c>
      <c r="Z410" s="225">
        <f t="shared" ref="Z410:Z473" si="561">ROUNDUP(Y410*8.51%,-1)</f>
        <v>5260</v>
      </c>
      <c r="AA410" s="225">
        <f t="shared" ref="AA410:AA421" si="562">ROUND(U410*0.9%,-1)</f>
        <v>17200</v>
      </c>
      <c r="AB410" s="225">
        <f t="shared" ref="AB410:AB421" si="563">ROUND(U410*0.8%,-1)</f>
        <v>15290</v>
      </c>
      <c r="AC410" s="252">
        <f t="shared" ref="AC410:AC421" si="564">SUM(W410:AB410)</f>
        <v>344730</v>
      </c>
    </row>
    <row r="411" spans="1:29" s="204" customFormat="1" ht="16.5" hidden="1" customHeight="1">
      <c r="A411" s="319"/>
      <c r="B411" s="211"/>
      <c r="C411" s="212"/>
      <c r="D411" s="212"/>
      <c r="E411" s="219" t="s">
        <v>390</v>
      </c>
      <c r="F411" s="221">
        <f t="shared" ref="F411:F421" si="565">F410</f>
        <v>1891000</v>
      </c>
      <c r="G411" s="221"/>
      <c r="H411" s="221"/>
      <c r="I411" s="222"/>
      <c r="J411" s="221"/>
      <c r="K411" s="221"/>
      <c r="L411" s="221"/>
      <c r="M411" s="221">
        <f>F411*60%</f>
        <v>1134600</v>
      </c>
      <c r="N411" s="221"/>
      <c r="O411" s="221">
        <f>O410</f>
        <v>20000</v>
      </c>
      <c r="P411" s="221"/>
      <c r="Q411" s="221">
        <f t="shared" ref="Q411:Q421" si="566">ROUND((F410+T410)*1/209*1.5,-1)</f>
        <v>13570</v>
      </c>
      <c r="R411" s="221">
        <f>Q411*40</f>
        <v>542800</v>
      </c>
      <c r="S411" s="221"/>
      <c r="T411" s="222"/>
      <c r="U411" s="214">
        <f t="shared" si="558"/>
        <v>3588400</v>
      </c>
      <c r="V411" s="250"/>
      <c r="W411" s="224">
        <f>ROUNDUP((T411+U411)*1/12,-1)</f>
        <v>299040</v>
      </c>
      <c r="X411" s="225">
        <f t="shared" si="559"/>
        <v>161480</v>
      </c>
      <c r="Y411" s="225">
        <f t="shared" si="560"/>
        <v>115910</v>
      </c>
      <c r="Z411" s="225">
        <f t="shared" si="561"/>
        <v>9870</v>
      </c>
      <c r="AA411" s="225">
        <f t="shared" si="562"/>
        <v>32300</v>
      </c>
      <c r="AB411" s="225">
        <f t="shared" si="563"/>
        <v>28710</v>
      </c>
      <c r="AC411" s="252">
        <f t="shared" si="564"/>
        <v>647310</v>
      </c>
    </row>
    <row r="412" spans="1:29" s="204" customFormat="1" ht="16.5" hidden="1" customHeight="1">
      <c r="A412" s="319"/>
      <c r="B412" s="211"/>
      <c r="C412" s="212"/>
      <c r="D412" s="212"/>
      <c r="E412" s="219" t="s">
        <v>391</v>
      </c>
      <c r="F412" s="221">
        <f t="shared" si="565"/>
        <v>1891000</v>
      </c>
      <c r="G412" s="221"/>
      <c r="H412" s="221"/>
      <c r="I412" s="222"/>
      <c r="J412" s="221"/>
      <c r="K412" s="221"/>
      <c r="L412" s="221"/>
      <c r="M412" s="221"/>
      <c r="N412" s="221"/>
      <c r="O412" s="221">
        <f t="shared" ref="O412:O421" si="567">O411</f>
        <v>20000</v>
      </c>
      <c r="P412" s="221"/>
      <c r="Q412" s="221">
        <f t="shared" si="566"/>
        <v>13570</v>
      </c>
      <c r="R412" s="221">
        <f t="shared" ref="R412:R420" si="568">Q412*40</f>
        <v>542800</v>
      </c>
      <c r="S412" s="221"/>
      <c r="T412" s="222"/>
      <c r="U412" s="214">
        <f t="shared" si="558"/>
        <v>2453800</v>
      </c>
      <c r="V412" s="250"/>
      <c r="W412" s="224">
        <f t="shared" ref="W412:W421" si="569">ROUNDUP(U412*1/12,-1)</f>
        <v>204490</v>
      </c>
      <c r="X412" s="225">
        <f t="shared" si="559"/>
        <v>110420</v>
      </c>
      <c r="Y412" s="225">
        <f t="shared" si="560"/>
        <v>79260</v>
      </c>
      <c r="Z412" s="225">
        <f t="shared" si="561"/>
        <v>6750</v>
      </c>
      <c r="AA412" s="225">
        <f t="shared" si="562"/>
        <v>22080</v>
      </c>
      <c r="AB412" s="225">
        <f t="shared" si="563"/>
        <v>19630</v>
      </c>
      <c r="AC412" s="252">
        <f t="shared" si="564"/>
        <v>442630</v>
      </c>
    </row>
    <row r="413" spans="1:29" s="204" customFormat="1" ht="16.5" hidden="1" customHeight="1">
      <c r="A413" s="319"/>
      <c r="B413" s="211"/>
      <c r="C413" s="212"/>
      <c r="D413" s="212"/>
      <c r="E413" s="219" t="s">
        <v>392</v>
      </c>
      <c r="F413" s="221">
        <f t="shared" si="565"/>
        <v>1891000</v>
      </c>
      <c r="G413" s="221"/>
      <c r="H413" s="221"/>
      <c r="I413" s="222"/>
      <c r="J413" s="221"/>
      <c r="K413" s="221"/>
      <c r="L413" s="221"/>
      <c r="M413" s="221"/>
      <c r="N413" s="221"/>
      <c r="O413" s="221">
        <f t="shared" si="567"/>
        <v>20000</v>
      </c>
      <c r="P413" s="221"/>
      <c r="Q413" s="221">
        <f t="shared" si="566"/>
        <v>13570</v>
      </c>
      <c r="R413" s="221">
        <f t="shared" si="568"/>
        <v>542800</v>
      </c>
      <c r="S413" s="221"/>
      <c r="T413" s="222"/>
      <c r="U413" s="214">
        <f t="shared" si="558"/>
        <v>2453800</v>
      </c>
      <c r="V413" s="250"/>
      <c r="W413" s="224">
        <f t="shared" si="569"/>
        <v>204490</v>
      </c>
      <c r="X413" s="225">
        <f t="shared" si="559"/>
        <v>110420</v>
      </c>
      <c r="Y413" s="225">
        <f t="shared" si="560"/>
        <v>79260</v>
      </c>
      <c r="Z413" s="225">
        <f t="shared" si="561"/>
        <v>6750</v>
      </c>
      <c r="AA413" s="225">
        <f t="shared" si="562"/>
        <v>22080</v>
      </c>
      <c r="AB413" s="225">
        <f t="shared" si="563"/>
        <v>19630</v>
      </c>
      <c r="AC413" s="252">
        <f t="shared" si="564"/>
        <v>442630</v>
      </c>
    </row>
    <row r="414" spans="1:29" s="204" customFormat="1" ht="16.5" hidden="1" customHeight="1">
      <c r="A414" s="319"/>
      <c r="B414" s="211"/>
      <c r="C414" s="212"/>
      <c r="D414" s="212"/>
      <c r="E414" s="219" t="s">
        <v>393</v>
      </c>
      <c r="F414" s="221">
        <f t="shared" si="565"/>
        <v>1891000</v>
      </c>
      <c r="G414" s="221"/>
      <c r="H414" s="221"/>
      <c r="I414" s="222"/>
      <c r="J414" s="221"/>
      <c r="K414" s="221"/>
      <c r="L414" s="221"/>
      <c r="M414" s="221"/>
      <c r="N414" s="221"/>
      <c r="O414" s="221">
        <f t="shared" si="567"/>
        <v>20000</v>
      </c>
      <c r="P414" s="221"/>
      <c r="Q414" s="221">
        <f t="shared" si="566"/>
        <v>13570</v>
      </c>
      <c r="R414" s="221">
        <f t="shared" si="568"/>
        <v>542800</v>
      </c>
      <c r="S414" s="221"/>
      <c r="T414" s="222"/>
      <c r="U414" s="214">
        <f t="shared" si="558"/>
        <v>2453800</v>
      </c>
      <c r="V414" s="250"/>
      <c r="W414" s="224">
        <f t="shared" si="569"/>
        <v>204490</v>
      </c>
      <c r="X414" s="225">
        <f t="shared" si="559"/>
        <v>110420</v>
      </c>
      <c r="Y414" s="225">
        <f t="shared" si="560"/>
        <v>79260</v>
      </c>
      <c r="Z414" s="225">
        <f t="shared" si="561"/>
        <v>6750</v>
      </c>
      <c r="AA414" s="225">
        <f t="shared" si="562"/>
        <v>22080</v>
      </c>
      <c r="AB414" s="225">
        <f t="shared" si="563"/>
        <v>19630</v>
      </c>
      <c r="AC414" s="252">
        <f t="shared" si="564"/>
        <v>442630</v>
      </c>
    </row>
    <row r="415" spans="1:29" s="204" customFormat="1" ht="16.5" hidden="1" customHeight="1">
      <c r="A415" s="319"/>
      <c r="B415" s="211"/>
      <c r="C415" s="212"/>
      <c r="D415" s="212"/>
      <c r="E415" s="219" t="s">
        <v>394</v>
      </c>
      <c r="F415" s="221">
        <f t="shared" si="565"/>
        <v>1891000</v>
      </c>
      <c r="G415" s="221"/>
      <c r="H415" s="221"/>
      <c r="I415" s="222"/>
      <c r="J415" s="221"/>
      <c r="K415" s="221"/>
      <c r="L415" s="221"/>
      <c r="M415" s="221"/>
      <c r="N415" s="221"/>
      <c r="O415" s="221">
        <f t="shared" si="567"/>
        <v>20000</v>
      </c>
      <c r="P415" s="221"/>
      <c r="Q415" s="221">
        <f t="shared" si="566"/>
        <v>13570</v>
      </c>
      <c r="R415" s="221">
        <f t="shared" si="568"/>
        <v>542800</v>
      </c>
      <c r="S415" s="221"/>
      <c r="T415" s="222"/>
      <c r="U415" s="214">
        <f t="shared" si="558"/>
        <v>2453800</v>
      </c>
      <c r="V415" s="250"/>
      <c r="W415" s="224">
        <f t="shared" si="569"/>
        <v>204490</v>
      </c>
      <c r="X415" s="225">
        <f t="shared" si="559"/>
        <v>110420</v>
      </c>
      <c r="Y415" s="225">
        <f t="shared" si="560"/>
        <v>79260</v>
      </c>
      <c r="Z415" s="225">
        <f t="shared" si="561"/>
        <v>6750</v>
      </c>
      <c r="AA415" s="225">
        <f t="shared" si="562"/>
        <v>22080</v>
      </c>
      <c r="AB415" s="225">
        <f t="shared" si="563"/>
        <v>19630</v>
      </c>
      <c r="AC415" s="252">
        <f t="shared" si="564"/>
        <v>442630</v>
      </c>
    </row>
    <row r="416" spans="1:29" s="204" customFormat="1" ht="16.5" hidden="1" customHeight="1">
      <c r="A416" s="319"/>
      <c r="B416" s="211"/>
      <c r="C416" s="212"/>
      <c r="D416" s="212"/>
      <c r="E416" s="219" t="s">
        <v>279</v>
      </c>
      <c r="F416" s="222">
        <f t="shared" si="565"/>
        <v>1891000</v>
      </c>
      <c r="G416" s="221"/>
      <c r="H416" s="220"/>
      <c r="I416" s="222"/>
      <c r="J416" s="221"/>
      <c r="K416" s="221"/>
      <c r="L416" s="221"/>
      <c r="M416" s="221"/>
      <c r="N416" s="221"/>
      <c r="O416" s="221">
        <f t="shared" si="567"/>
        <v>20000</v>
      </c>
      <c r="P416" s="221"/>
      <c r="Q416" s="221">
        <f t="shared" si="566"/>
        <v>13570</v>
      </c>
      <c r="R416" s="221">
        <f t="shared" si="568"/>
        <v>542800</v>
      </c>
      <c r="S416" s="221"/>
      <c r="T416" s="222"/>
      <c r="U416" s="214">
        <f t="shared" si="558"/>
        <v>2453800</v>
      </c>
      <c r="V416" s="250"/>
      <c r="W416" s="224">
        <f t="shared" si="569"/>
        <v>204490</v>
      </c>
      <c r="X416" s="225">
        <f t="shared" si="559"/>
        <v>110420</v>
      </c>
      <c r="Y416" s="225">
        <f t="shared" si="560"/>
        <v>79260</v>
      </c>
      <c r="Z416" s="225">
        <f t="shared" si="561"/>
        <v>6750</v>
      </c>
      <c r="AA416" s="225">
        <f t="shared" si="562"/>
        <v>22080</v>
      </c>
      <c r="AB416" s="225">
        <f t="shared" si="563"/>
        <v>19630</v>
      </c>
      <c r="AC416" s="252">
        <f t="shared" si="564"/>
        <v>442630</v>
      </c>
    </row>
    <row r="417" spans="1:29" s="204" customFormat="1" ht="16.5" hidden="1" customHeight="1">
      <c r="A417" s="319"/>
      <c r="B417" s="211"/>
      <c r="C417" s="212"/>
      <c r="D417" s="212"/>
      <c r="E417" s="219" t="s">
        <v>280</v>
      </c>
      <c r="F417" s="222">
        <f t="shared" si="565"/>
        <v>1891000</v>
      </c>
      <c r="G417" s="221"/>
      <c r="H417" s="221"/>
      <c r="I417" s="222"/>
      <c r="J417" s="221"/>
      <c r="K417" s="221"/>
      <c r="L417" s="221"/>
      <c r="M417" s="221"/>
      <c r="N417" s="221"/>
      <c r="O417" s="221">
        <f t="shared" si="567"/>
        <v>20000</v>
      </c>
      <c r="P417" s="221"/>
      <c r="Q417" s="221">
        <f t="shared" si="566"/>
        <v>13570</v>
      </c>
      <c r="R417" s="221">
        <f t="shared" si="568"/>
        <v>542800</v>
      </c>
      <c r="S417" s="221"/>
      <c r="T417" s="222"/>
      <c r="U417" s="214">
        <f t="shared" si="558"/>
        <v>2453800</v>
      </c>
      <c r="V417" s="250"/>
      <c r="W417" s="224">
        <f t="shared" si="569"/>
        <v>204490</v>
      </c>
      <c r="X417" s="225">
        <f t="shared" si="559"/>
        <v>110420</v>
      </c>
      <c r="Y417" s="225">
        <f t="shared" si="560"/>
        <v>79260</v>
      </c>
      <c r="Z417" s="225">
        <f t="shared" si="561"/>
        <v>6750</v>
      </c>
      <c r="AA417" s="225">
        <f t="shared" si="562"/>
        <v>22080</v>
      </c>
      <c r="AB417" s="225">
        <f t="shared" si="563"/>
        <v>19630</v>
      </c>
      <c r="AC417" s="252">
        <f t="shared" si="564"/>
        <v>442630</v>
      </c>
    </row>
    <row r="418" spans="1:29" s="204" customFormat="1" ht="16.5" hidden="1" customHeight="1">
      <c r="A418" s="319"/>
      <c r="B418" s="211"/>
      <c r="C418" s="212"/>
      <c r="D418" s="212"/>
      <c r="E418" s="219" t="s">
        <v>54</v>
      </c>
      <c r="F418" s="221">
        <f t="shared" si="565"/>
        <v>1891000</v>
      </c>
      <c r="G418" s="221"/>
      <c r="H418" s="221"/>
      <c r="I418" s="222"/>
      <c r="J418" s="221"/>
      <c r="K418" s="221"/>
      <c r="L418" s="221"/>
      <c r="M418" s="221">
        <f t="shared" ref="M418" si="570">F418*60%</f>
        <v>1134600</v>
      </c>
      <c r="N418" s="221"/>
      <c r="O418" s="221">
        <f t="shared" si="567"/>
        <v>20000</v>
      </c>
      <c r="P418" s="221"/>
      <c r="Q418" s="221">
        <f t="shared" si="566"/>
        <v>13570</v>
      </c>
      <c r="R418" s="221">
        <f t="shared" si="568"/>
        <v>542800</v>
      </c>
      <c r="S418" s="221"/>
      <c r="T418" s="222"/>
      <c r="U418" s="214">
        <f t="shared" si="558"/>
        <v>3588400</v>
      </c>
      <c r="V418" s="250"/>
      <c r="W418" s="224">
        <f t="shared" si="569"/>
        <v>299040</v>
      </c>
      <c r="X418" s="225">
        <f t="shared" si="559"/>
        <v>161480</v>
      </c>
      <c r="Y418" s="225">
        <f t="shared" si="560"/>
        <v>115910</v>
      </c>
      <c r="Z418" s="225">
        <f t="shared" si="561"/>
        <v>9870</v>
      </c>
      <c r="AA418" s="225">
        <f t="shared" si="562"/>
        <v>32300</v>
      </c>
      <c r="AB418" s="225">
        <f t="shared" si="563"/>
        <v>28710</v>
      </c>
      <c r="AC418" s="252">
        <f t="shared" si="564"/>
        <v>647310</v>
      </c>
    </row>
    <row r="419" spans="1:29" s="204" customFormat="1" ht="16.5" hidden="1" customHeight="1">
      <c r="A419" s="319"/>
      <c r="B419" s="211"/>
      <c r="C419" s="212"/>
      <c r="D419" s="212"/>
      <c r="E419" s="219" t="s">
        <v>55</v>
      </c>
      <c r="F419" s="221">
        <f t="shared" si="565"/>
        <v>1891000</v>
      </c>
      <c r="G419" s="221"/>
      <c r="H419" s="221"/>
      <c r="I419" s="222"/>
      <c r="J419" s="221"/>
      <c r="K419" s="221"/>
      <c r="L419" s="221"/>
      <c r="M419" s="221"/>
      <c r="N419" s="221"/>
      <c r="O419" s="221">
        <f t="shared" si="567"/>
        <v>20000</v>
      </c>
      <c r="P419" s="221"/>
      <c r="Q419" s="221">
        <f t="shared" si="566"/>
        <v>13570</v>
      </c>
      <c r="R419" s="221">
        <f t="shared" si="568"/>
        <v>542800</v>
      </c>
      <c r="S419" s="221"/>
      <c r="T419" s="222"/>
      <c r="U419" s="214">
        <f t="shared" si="558"/>
        <v>2453800</v>
      </c>
      <c r="V419" s="250"/>
      <c r="W419" s="224">
        <f t="shared" si="569"/>
        <v>204490</v>
      </c>
      <c r="X419" s="225">
        <f t="shared" si="559"/>
        <v>110420</v>
      </c>
      <c r="Y419" s="225">
        <f t="shared" si="560"/>
        <v>79260</v>
      </c>
      <c r="Z419" s="225">
        <f t="shared" si="561"/>
        <v>6750</v>
      </c>
      <c r="AA419" s="225">
        <f t="shared" si="562"/>
        <v>22080</v>
      </c>
      <c r="AB419" s="225">
        <f t="shared" si="563"/>
        <v>19630</v>
      </c>
      <c r="AC419" s="252">
        <f t="shared" si="564"/>
        <v>442630</v>
      </c>
    </row>
    <row r="420" spans="1:29" s="204" customFormat="1" ht="16.5" hidden="1" customHeight="1">
      <c r="A420" s="319"/>
      <c r="B420" s="211"/>
      <c r="C420" s="212"/>
      <c r="D420" s="212"/>
      <c r="E420" s="219" t="s">
        <v>56</v>
      </c>
      <c r="F420" s="221">
        <f t="shared" si="565"/>
        <v>1891000</v>
      </c>
      <c r="G420" s="221"/>
      <c r="H420" s="221"/>
      <c r="I420" s="222"/>
      <c r="J420" s="221"/>
      <c r="K420" s="221"/>
      <c r="L420" s="221"/>
      <c r="M420" s="221"/>
      <c r="N420" s="221"/>
      <c r="O420" s="221">
        <f t="shared" si="567"/>
        <v>20000</v>
      </c>
      <c r="P420" s="221"/>
      <c r="Q420" s="221">
        <f t="shared" si="566"/>
        <v>13570</v>
      </c>
      <c r="R420" s="221">
        <f t="shared" si="568"/>
        <v>542800</v>
      </c>
      <c r="S420" s="221"/>
      <c r="T420" s="222"/>
      <c r="U420" s="214">
        <f t="shared" si="558"/>
        <v>2453800</v>
      </c>
      <c r="V420" s="250"/>
      <c r="W420" s="224">
        <f t="shared" si="569"/>
        <v>204490</v>
      </c>
      <c r="X420" s="225">
        <f t="shared" si="559"/>
        <v>110420</v>
      </c>
      <c r="Y420" s="225">
        <f t="shared" si="560"/>
        <v>79260</v>
      </c>
      <c r="Z420" s="225">
        <f t="shared" si="561"/>
        <v>6750</v>
      </c>
      <c r="AA420" s="225">
        <f t="shared" si="562"/>
        <v>22080</v>
      </c>
      <c r="AB420" s="225">
        <f t="shared" si="563"/>
        <v>19630</v>
      </c>
      <c r="AC420" s="252">
        <f t="shared" si="564"/>
        <v>442630</v>
      </c>
    </row>
    <row r="421" spans="1:29" s="204" customFormat="1" ht="16.5" hidden="1" customHeight="1">
      <c r="A421" s="319"/>
      <c r="B421" s="211"/>
      <c r="C421" s="212"/>
      <c r="D421" s="212"/>
      <c r="E421" s="219" t="s">
        <v>395</v>
      </c>
      <c r="F421" s="221">
        <f t="shared" si="565"/>
        <v>1891000</v>
      </c>
      <c r="G421" s="221"/>
      <c r="H421" s="221"/>
      <c r="I421" s="222"/>
      <c r="J421" s="221"/>
      <c r="K421" s="221"/>
      <c r="L421" s="221"/>
      <c r="M421" s="221"/>
      <c r="N421" s="221"/>
      <c r="O421" s="221">
        <f t="shared" si="567"/>
        <v>20000</v>
      </c>
      <c r="P421" s="221"/>
      <c r="Q421" s="221">
        <f t="shared" si="566"/>
        <v>13570</v>
      </c>
      <c r="R421" s="221">
        <f>Q421*40*2</f>
        <v>1085600</v>
      </c>
      <c r="S421" s="221"/>
      <c r="T421" s="222"/>
      <c r="U421" s="214">
        <f t="shared" si="558"/>
        <v>2996600</v>
      </c>
      <c r="V421" s="250"/>
      <c r="W421" s="224">
        <f t="shared" si="569"/>
        <v>249720</v>
      </c>
      <c r="X421" s="225">
        <f t="shared" si="559"/>
        <v>134850</v>
      </c>
      <c r="Y421" s="225">
        <f t="shared" si="560"/>
        <v>96800</v>
      </c>
      <c r="Z421" s="225">
        <f t="shared" si="561"/>
        <v>8240</v>
      </c>
      <c r="AA421" s="225">
        <f t="shared" si="562"/>
        <v>26970</v>
      </c>
      <c r="AB421" s="225">
        <f t="shared" si="563"/>
        <v>23970</v>
      </c>
      <c r="AC421" s="252">
        <f t="shared" si="564"/>
        <v>540550</v>
      </c>
    </row>
    <row r="422" spans="1:29" s="204" customFormat="1" ht="16.5" hidden="1" customHeight="1">
      <c r="A422" s="319">
        <v>33</v>
      </c>
      <c r="B422" s="211" t="s">
        <v>87</v>
      </c>
      <c r="C422" s="212" t="s">
        <v>282</v>
      </c>
      <c r="D422" s="212">
        <v>1</v>
      </c>
      <c r="E422" s="213" t="s">
        <v>86</v>
      </c>
      <c r="F422" s="214">
        <f t="shared" ref="F422:N422" si="571">SUM(F423:F434)</f>
        <v>22863000</v>
      </c>
      <c r="G422" s="214">
        <f t="shared" si="571"/>
        <v>0</v>
      </c>
      <c r="H422" s="214">
        <f t="shared" si="571"/>
        <v>0</v>
      </c>
      <c r="I422" s="214">
        <f t="shared" si="571"/>
        <v>0</v>
      </c>
      <c r="J422" s="214">
        <f t="shared" si="571"/>
        <v>0</v>
      </c>
      <c r="K422" s="214">
        <f t="shared" si="571"/>
        <v>0</v>
      </c>
      <c r="L422" s="214">
        <f t="shared" si="571"/>
        <v>0</v>
      </c>
      <c r="M422" s="214">
        <f t="shared" si="571"/>
        <v>2269200</v>
      </c>
      <c r="N422" s="214">
        <f t="shared" si="571"/>
        <v>0</v>
      </c>
      <c r="O422" s="214">
        <f>SUM(O423:O434)</f>
        <v>0</v>
      </c>
      <c r="P422" s="214">
        <f t="shared" ref="P422" si="572">SUM(P423:P434)</f>
        <v>0</v>
      </c>
      <c r="Q422" s="214"/>
      <c r="R422" s="214">
        <f t="shared" si="555"/>
        <v>6562800</v>
      </c>
      <c r="S422" s="214">
        <f>SUM(S423:S434)</f>
        <v>0</v>
      </c>
      <c r="T422" s="214">
        <f t="shared" ref="T422:U422" si="573">SUM(T423:T434)</f>
        <v>0</v>
      </c>
      <c r="U422" s="214">
        <f t="shared" si="573"/>
        <v>31695000</v>
      </c>
      <c r="V422" s="250"/>
      <c r="W422" s="217">
        <f t="shared" ref="W422:AB422" si="574">SUM(W423:W434)</f>
        <v>2641300</v>
      </c>
      <c r="X422" s="214">
        <f t="shared" si="574"/>
        <v>1426280</v>
      </c>
      <c r="Y422" s="214">
        <f t="shared" si="574"/>
        <v>1023820</v>
      </c>
      <c r="Z422" s="214">
        <f t="shared" si="574"/>
        <v>87200</v>
      </c>
      <c r="AA422" s="214">
        <f t="shared" si="574"/>
        <v>285240</v>
      </c>
      <c r="AB422" s="214">
        <f t="shared" si="574"/>
        <v>253570</v>
      </c>
      <c r="AC422" s="266">
        <f>SUM(AC423:AC434)</f>
        <v>5717410</v>
      </c>
    </row>
    <row r="423" spans="1:29" s="204" customFormat="1" ht="16.5" hidden="1" customHeight="1">
      <c r="A423" s="319"/>
      <c r="B423" s="211" t="s">
        <v>847</v>
      </c>
      <c r="C423" s="310">
        <v>3</v>
      </c>
      <c r="D423" s="310"/>
      <c r="E423" s="311" t="s">
        <v>389</v>
      </c>
      <c r="F423" s="312">
        <v>1891000</v>
      </c>
      <c r="G423" s="221"/>
      <c r="H423" s="220"/>
      <c r="I423" s="222"/>
      <c r="J423" s="221"/>
      <c r="K423" s="221"/>
      <c r="L423" s="221"/>
      <c r="M423" s="221" t="s">
        <v>60</v>
      </c>
      <c r="N423" s="221"/>
      <c r="O423" s="221"/>
      <c r="P423" s="221"/>
      <c r="Q423" s="221"/>
      <c r="R423" s="221"/>
      <c r="S423" s="221"/>
      <c r="T423" s="222"/>
      <c r="U423" s="214">
        <f t="shared" ref="U423:U434" si="575">SUM(F423,M423,O423,R423,T423,S423)</f>
        <v>1891000</v>
      </c>
      <c r="V423" s="250"/>
      <c r="W423" s="224">
        <f>ROUNDUP(U423*1/12,-1)</f>
        <v>157590</v>
      </c>
      <c r="X423" s="225">
        <f t="shared" ref="X423:X434" si="576">ROUND(U423*4.5%,-1)</f>
        <v>85100</v>
      </c>
      <c r="Y423" s="225">
        <f t="shared" ref="Y423" si="577">ROUNDUP((U423-L423)*3.23%,-1)</f>
        <v>61080</v>
      </c>
      <c r="Z423" s="225">
        <f t="shared" ref="Z423" si="578">ROUNDUP(Y423*8.51%,-1)</f>
        <v>5200</v>
      </c>
      <c r="AA423" s="225">
        <f t="shared" ref="AA423:AA434" si="579">ROUND(U423*0.9%,-1)</f>
        <v>17020</v>
      </c>
      <c r="AB423" s="225">
        <f t="shared" ref="AB423:AB434" si="580">ROUND(U423*0.8%,-1)</f>
        <v>15130</v>
      </c>
      <c r="AC423" s="252">
        <f t="shared" ref="AC423:AC434" si="581">SUM(W423:AB423)</f>
        <v>341120</v>
      </c>
    </row>
    <row r="424" spans="1:29" s="204" customFormat="1" ht="16.5" hidden="1" customHeight="1">
      <c r="A424" s="319"/>
      <c r="B424" s="211"/>
      <c r="C424" s="212"/>
      <c r="D424" s="212"/>
      <c r="E424" s="219" t="s">
        <v>390</v>
      </c>
      <c r="F424" s="221">
        <f>F423</f>
        <v>1891000</v>
      </c>
      <c r="G424" s="221"/>
      <c r="H424" s="221"/>
      <c r="I424" s="222"/>
      <c r="J424" s="221"/>
      <c r="K424" s="221"/>
      <c r="L424" s="221"/>
      <c r="M424" s="221">
        <f>F424*60%</f>
        <v>1134600</v>
      </c>
      <c r="N424" s="221"/>
      <c r="O424" s="221"/>
      <c r="P424" s="221"/>
      <c r="Q424" s="221">
        <f t="shared" ref="Q424:Q434" si="582">ROUND((F423+T423)*1/209*1.5,-1)</f>
        <v>13570</v>
      </c>
      <c r="R424" s="221">
        <f>Q424*40</f>
        <v>542800</v>
      </c>
      <c r="S424" s="221"/>
      <c r="T424" s="222"/>
      <c r="U424" s="214">
        <f t="shared" si="575"/>
        <v>3568400</v>
      </c>
      <c r="V424" s="250"/>
      <c r="W424" s="224">
        <f>ROUNDUP((T424+U424)*1/12,-1)</f>
        <v>297370</v>
      </c>
      <c r="X424" s="225">
        <f t="shared" si="576"/>
        <v>160580</v>
      </c>
      <c r="Y424" s="225">
        <f t="shared" si="560"/>
        <v>115260</v>
      </c>
      <c r="Z424" s="225">
        <f t="shared" si="561"/>
        <v>9810</v>
      </c>
      <c r="AA424" s="225">
        <f t="shared" si="579"/>
        <v>32120</v>
      </c>
      <c r="AB424" s="225">
        <f t="shared" si="580"/>
        <v>28550</v>
      </c>
      <c r="AC424" s="252">
        <f t="shared" si="581"/>
        <v>643690</v>
      </c>
    </row>
    <row r="425" spans="1:29" s="204" customFormat="1" ht="16.5" hidden="1" customHeight="1">
      <c r="A425" s="319"/>
      <c r="B425" s="211"/>
      <c r="C425" s="212"/>
      <c r="D425" s="212"/>
      <c r="E425" s="219" t="s">
        <v>391</v>
      </c>
      <c r="F425" s="221">
        <f>F424</f>
        <v>1891000</v>
      </c>
      <c r="G425" s="221"/>
      <c r="H425" s="221"/>
      <c r="I425" s="222"/>
      <c r="J425" s="221"/>
      <c r="K425" s="221"/>
      <c r="L425" s="221"/>
      <c r="M425" s="221"/>
      <c r="N425" s="221"/>
      <c r="O425" s="221"/>
      <c r="P425" s="221"/>
      <c r="Q425" s="221">
        <f t="shared" si="582"/>
        <v>13570</v>
      </c>
      <c r="R425" s="221">
        <f t="shared" ref="R425:R433" si="583">Q425*40</f>
        <v>542800</v>
      </c>
      <c r="S425" s="221"/>
      <c r="T425" s="222"/>
      <c r="U425" s="214">
        <f t="shared" si="575"/>
        <v>2433800</v>
      </c>
      <c r="V425" s="250"/>
      <c r="W425" s="224">
        <f t="shared" ref="W425:W434" si="584">ROUNDUP(U425*1/12,-1)</f>
        <v>202820</v>
      </c>
      <c r="X425" s="225">
        <f t="shared" si="576"/>
        <v>109520</v>
      </c>
      <c r="Y425" s="225">
        <f t="shared" si="560"/>
        <v>78620</v>
      </c>
      <c r="Z425" s="225">
        <f t="shared" si="561"/>
        <v>6700</v>
      </c>
      <c r="AA425" s="225">
        <f t="shared" si="579"/>
        <v>21900</v>
      </c>
      <c r="AB425" s="225">
        <f t="shared" si="580"/>
        <v>19470</v>
      </c>
      <c r="AC425" s="252">
        <f t="shared" si="581"/>
        <v>439030</v>
      </c>
    </row>
    <row r="426" spans="1:29" s="204" customFormat="1" ht="16.5" hidden="1" customHeight="1">
      <c r="A426" s="319"/>
      <c r="B426" s="211"/>
      <c r="C426" s="212"/>
      <c r="D426" s="212"/>
      <c r="E426" s="219" t="s">
        <v>392</v>
      </c>
      <c r="F426" s="221">
        <f>F425</f>
        <v>1891000</v>
      </c>
      <c r="G426" s="221"/>
      <c r="H426" s="221"/>
      <c r="I426" s="222"/>
      <c r="J426" s="221"/>
      <c r="K426" s="221"/>
      <c r="L426" s="221"/>
      <c r="M426" s="221"/>
      <c r="N426" s="221"/>
      <c r="O426" s="221"/>
      <c r="P426" s="221"/>
      <c r="Q426" s="221">
        <f t="shared" si="582"/>
        <v>13570</v>
      </c>
      <c r="R426" s="221">
        <f t="shared" si="583"/>
        <v>542800</v>
      </c>
      <c r="S426" s="221"/>
      <c r="T426" s="222"/>
      <c r="U426" s="214">
        <f t="shared" si="575"/>
        <v>2433800</v>
      </c>
      <c r="V426" s="250"/>
      <c r="W426" s="224">
        <f t="shared" si="584"/>
        <v>202820</v>
      </c>
      <c r="X426" s="225">
        <f t="shared" si="576"/>
        <v>109520</v>
      </c>
      <c r="Y426" s="225">
        <f t="shared" si="560"/>
        <v>78620</v>
      </c>
      <c r="Z426" s="225">
        <f t="shared" si="561"/>
        <v>6700</v>
      </c>
      <c r="AA426" s="225">
        <f t="shared" si="579"/>
        <v>21900</v>
      </c>
      <c r="AB426" s="225">
        <f t="shared" si="580"/>
        <v>19470</v>
      </c>
      <c r="AC426" s="252">
        <f t="shared" si="581"/>
        <v>439030</v>
      </c>
    </row>
    <row r="427" spans="1:29" s="204" customFormat="1" ht="16.5" hidden="1" customHeight="1">
      <c r="A427" s="319"/>
      <c r="B427" s="211"/>
      <c r="C427" s="212"/>
      <c r="D427" s="212"/>
      <c r="E427" s="219" t="s">
        <v>393</v>
      </c>
      <c r="F427" s="221">
        <f>F426</f>
        <v>1891000</v>
      </c>
      <c r="G427" s="221"/>
      <c r="H427" s="221"/>
      <c r="I427" s="222"/>
      <c r="J427" s="221"/>
      <c r="K427" s="221"/>
      <c r="L427" s="221"/>
      <c r="M427" s="221"/>
      <c r="N427" s="221"/>
      <c r="O427" s="221"/>
      <c r="P427" s="221"/>
      <c r="Q427" s="221">
        <f t="shared" si="582"/>
        <v>13570</v>
      </c>
      <c r="R427" s="221">
        <f t="shared" si="583"/>
        <v>542800</v>
      </c>
      <c r="S427" s="221"/>
      <c r="T427" s="222"/>
      <c r="U427" s="214">
        <f t="shared" si="575"/>
        <v>2433800</v>
      </c>
      <c r="V427" s="250"/>
      <c r="W427" s="224">
        <f t="shared" si="584"/>
        <v>202820</v>
      </c>
      <c r="X427" s="225">
        <f t="shared" si="576"/>
        <v>109520</v>
      </c>
      <c r="Y427" s="225">
        <f t="shared" si="560"/>
        <v>78620</v>
      </c>
      <c r="Z427" s="225">
        <f t="shared" si="561"/>
        <v>6700</v>
      </c>
      <c r="AA427" s="225">
        <f t="shared" si="579"/>
        <v>21900</v>
      </c>
      <c r="AB427" s="225">
        <f t="shared" si="580"/>
        <v>19470</v>
      </c>
      <c r="AC427" s="252">
        <f t="shared" si="581"/>
        <v>439030</v>
      </c>
    </row>
    <row r="428" spans="1:29" s="204" customFormat="1" ht="16.5" hidden="1" customHeight="1">
      <c r="A428" s="319"/>
      <c r="B428" s="211"/>
      <c r="C428" s="212"/>
      <c r="D428" s="212"/>
      <c r="E428" s="219" t="s">
        <v>394</v>
      </c>
      <c r="F428" s="221">
        <f>F427</f>
        <v>1891000</v>
      </c>
      <c r="G428" s="221"/>
      <c r="H428" s="221"/>
      <c r="I428" s="222"/>
      <c r="J428" s="221"/>
      <c r="K428" s="221"/>
      <c r="L428" s="221"/>
      <c r="M428" s="221"/>
      <c r="N428" s="221"/>
      <c r="O428" s="221"/>
      <c r="P428" s="221"/>
      <c r="Q428" s="221">
        <f t="shared" si="582"/>
        <v>13570</v>
      </c>
      <c r="R428" s="221">
        <f t="shared" si="583"/>
        <v>542800</v>
      </c>
      <c r="S428" s="221"/>
      <c r="T428" s="222"/>
      <c r="U428" s="214">
        <f t="shared" si="575"/>
        <v>2433800</v>
      </c>
      <c r="V428" s="250"/>
      <c r="W428" s="224">
        <f t="shared" si="584"/>
        <v>202820</v>
      </c>
      <c r="X428" s="225">
        <f t="shared" si="576"/>
        <v>109520</v>
      </c>
      <c r="Y428" s="225">
        <f t="shared" si="560"/>
        <v>78620</v>
      </c>
      <c r="Z428" s="225">
        <f t="shared" si="561"/>
        <v>6700</v>
      </c>
      <c r="AA428" s="225">
        <f t="shared" si="579"/>
        <v>21900</v>
      </c>
      <c r="AB428" s="225">
        <f t="shared" si="580"/>
        <v>19470</v>
      </c>
      <c r="AC428" s="252">
        <f t="shared" si="581"/>
        <v>439030</v>
      </c>
    </row>
    <row r="429" spans="1:29" s="204" customFormat="1" ht="16.5" hidden="1" customHeight="1">
      <c r="A429" s="319"/>
      <c r="B429" s="211"/>
      <c r="C429" s="212"/>
      <c r="D429" s="212"/>
      <c r="E429" s="219" t="s">
        <v>279</v>
      </c>
      <c r="F429" s="221">
        <f t="shared" ref="F429:F434" si="585">F428</f>
        <v>1891000</v>
      </c>
      <c r="G429" s="221"/>
      <c r="H429" s="220"/>
      <c r="I429" s="222"/>
      <c r="J429" s="221"/>
      <c r="K429" s="221"/>
      <c r="L429" s="221"/>
      <c r="M429" s="221"/>
      <c r="N429" s="221"/>
      <c r="O429" s="221"/>
      <c r="P429" s="221"/>
      <c r="Q429" s="221">
        <f t="shared" si="582"/>
        <v>13570</v>
      </c>
      <c r="R429" s="221">
        <f t="shared" si="583"/>
        <v>542800</v>
      </c>
      <c r="S429" s="221"/>
      <c r="T429" s="222"/>
      <c r="U429" s="214">
        <f t="shared" si="575"/>
        <v>2433800</v>
      </c>
      <c r="V429" s="250"/>
      <c r="W429" s="224">
        <f t="shared" si="584"/>
        <v>202820</v>
      </c>
      <c r="X429" s="225">
        <f t="shared" si="576"/>
        <v>109520</v>
      </c>
      <c r="Y429" s="225">
        <f t="shared" si="560"/>
        <v>78620</v>
      </c>
      <c r="Z429" s="225">
        <f t="shared" si="561"/>
        <v>6700</v>
      </c>
      <c r="AA429" s="225">
        <f t="shared" si="579"/>
        <v>21900</v>
      </c>
      <c r="AB429" s="225">
        <f t="shared" si="580"/>
        <v>19470</v>
      </c>
      <c r="AC429" s="252">
        <f t="shared" si="581"/>
        <v>439030</v>
      </c>
    </row>
    <row r="430" spans="1:29" s="204" customFormat="1" ht="16.5" hidden="1" customHeight="1">
      <c r="A430" s="319"/>
      <c r="B430" s="211"/>
      <c r="C430" s="212"/>
      <c r="D430" s="212"/>
      <c r="E430" s="219" t="s">
        <v>280</v>
      </c>
      <c r="F430" s="221">
        <f t="shared" si="585"/>
        <v>1891000</v>
      </c>
      <c r="G430" s="221"/>
      <c r="H430" s="221"/>
      <c r="I430" s="222"/>
      <c r="J430" s="221"/>
      <c r="K430" s="221"/>
      <c r="L430" s="221"/>
      <c r="M430" s="221"/>
      <c r="N430" s="221"/>
      <c r="O430" s="221"/>
      <c r="P430" s="221"/>
      <c r="Q430" s="221">
        <f t="shared" si="582"/>
        <v>13570</v>
      </c>
      <c r="R430" s="221">
        <f t="shared" si="583"/>
        <v>542800</v>
      </c>
      <c r="S430" s="221"/>
      <c r="T430" s="222"/>
      <c r="U430" s="214">
        <f t="shared" si="575"/>
        <v>2433800</v>
      </c>
      <c r="V430" s="250"/>
      <c r="W430" s="224">
        <f t="shared" si="584"/>
        <v>202820</v>
      </c>
      <c r="X430" s="225">
        <f t="shared" si="576"/>
        <v>109520</v>
      </c>
      <c r="Y430" s="225">
        <f t="shared" si="560"/>
        <v>78620</v>
      </c>
      <c r="Z430" s="225">
        <f t="shared" si="561"/>
        <v>6700</v>
      </c>
      <c r="AA430" s="225">
        <f t="shared" si="579"/>
        <v>21900</v>
      </c>
      <c r="AB430" s="225">
        <f t="shared" si="580"/>
        <v>19470</v>
      </c>
      <c r="AC430" s="252">
        <f t="shared" si="581"/>
        <v>439030</v>
      </c>
    </row>
    <row r="431" spans="1:29" s="204" customFormat="1" ht="16.5" hidden="1" customHeight="1">
      <c r="A431" s="319"/>
      <c r="B431" s="211"/>
      <c r="C431" s="212"/>
      <c r="D431" s="212"/>
      <c r="E431" s="219" t="s">
        <v>54</v>
      </c>
      <c r="F431" s="222">
        <f>F430</f>
        <v>1891000</v>
      </c>
      <c r="G431" s="221"/>
      <c r="H431" s="221"/>
      <c r="I431" s="222"/>
      <c r="J431" s="221"/>
      <c r="K431" s="221"/>
      <c r="L431" s="221"/>
      <c r="M431" s="221">
        <f t="shared" ref="M431" si="586">F431*60%</f>
        <v>1134600</v>
      </c>
      <c r="N431" s="221"/>
      <c r="O431" s="221"/>
      <c r="P431" s="221"/>
      <c r="Q431" s="221">
        <f t="shared" si="582"/>
        <v>13570</v>
      </c>
      <c r="R431" s="221">
        <f t="shared" si="583"/>
        <v>542800</v>
      </c>
      <c r="S431" s="221"/>
      <c r="T431" s="222"/>
      <c r="U431" s="214">
        <f t="shared" si="575"/>
        <v>3568400</v>
      </c>
      <c r="V431" s="250"/>
      <c r="W431" s="224">
        <f t="shared" si="584"/>
        <v>297370</v>
      </c>
      <c r="X431" s="225">
        <f t="shared" si="576"/>
        <v>160580</v>
      </c>
      <c r="Y431" s="225">
        <f t="shared" si="560"/>
        <v>115260</v>
      </c>
      <c r="Z431" s="225">
        <f t="shared" si="561"/>
        <v>9810</v>
      </c>
      <c r="AA431" s="225">
        <f t="shared" si="579"/>
        <v>32120</v>
      </c>
      <c r="AB431" s="225">
        <f t="shared" si="580"/>
        <v>28550</v>
      </c>
      <c r="AC431" s="252">
        <f t="shared" si="581"/>
        <v>643690</v>
      </c>
    </row>
    <row r="432" spans="1:29" s="204" customFormat="1" ht="16.5" hidden="1" customHeight="1">
      <c r="A432" s="319"/>
      <c r="B432" s="211"/>
      <c r="C432" s="310">
        <f>C423+1</f>
        <v>4</v>
      </c>
      <c r="D432" s="310"/>
      <c r="E432" s="311" t="s">
        <v>55</v>
      </c>
      <c r="F432" s="312">
        <v>1948000</v>
      </c>
      <c r="G432" s="221"/>
      <c r="H432" s="221"/>
      <c r="I432" s="222"/>
      <c r="J432" s="221"/>
      <c r="K432" s="221"/>
      <c r="L432" s="221"/>
      <c r="M432" s="221"/>
      <c r="N432" s="221"/>
      <c r="O432" s="221"/>
      <c r="P432" s="221"/>
      <c r="Q432" s="221">
        <f t="shared" si="582"/>
        <v>13570</v>
      </c>
      <c r="R432" s="221">
        <f t="shared" si="583"/>
        <v>542800</v>
      </c>
      <c r="S432" s="221"/>
      <c r="T432" s="222"/>
      <c r="U432" s="214">
        <f t="shared" si="575"/>
        <v>2490800</v>
      </c>
      <c r="V432" s="250"/>
      <c r="W432" s="224">
        <f t="shared" si="584"/>
        <v>207570</v>
      </c>
      <c r="X432" s="225">
        <f t="shared" si="576"/>
        <v>112090</v>
      </c>
      <c r="Y432" s="225">
        <f t="shared" si="560"/>
        <v>80460</v>
      </c>
      <c r="Z432" s="225">
        <f t="shared" si="561"/>
        <v>6850</v>
      </c>
      <c r="AA432" s="225">
        <f t="shared" si="579"/>
        <v>22420</v>
      </c>
      <c r="AB432" s="225">
        <f t="shared" si="580"/>
        <v>19930</v>
      </c>
      <c r="AC432" s="252">
        <f t="shared" si="581"/>
        <v>449320</v>
      </c>
    </row>
    <row r="433" spans="1:29" s="204" customFormat="1" ht="16.5" hidden="1" customHeight="1">
      <c r="A433" s="319"/>
      <c r="B433" s="211"/>
      <c r="C433" s="212"/>
      <c r="D433" s="212"/>
      <c r="E433" s="219" t="s">
        <v>56</v>
      </c>
      <c r="F433" s="221">
        <f t="shared" si="585"/>
        <v>1948000</v>
      </c>
      <c r="G433" s="221"/>
      <c r="H433" s="221"/>
      <c r="I433" s="222"/>
      <c r="J433" s="221"/>
      <c r="K433" s="221"/>
      <c r="L433" s="221"/>
      <c r="M433" s="221"/>
      <c r="N433" s="221"/>
      <c r="O433" s="221"/>
      <c r="P433" s="221"/>
      <c r="Q433" s="221">
        <f t="shared" si="582"/>
        <v>13980</v>
      </c>
      <c r="R433" s="221">
        <f t="shared" si="583"/>
        <v>559200</v>
      </c>
      <c r="S433" s="221"/>
      <c r="T433" s="222"/>
      <c r="U433" s="214">
        <f t="shared" si="575"/>
        <v>2507200</v>
      </c>
      <c r="V433" s="250"/>
      <c r="W433" s="224">
        <f t="shared" si="584"/>
        <v>208940</v>
      </c>
      <c r="X433" s="225">
        <f t="shared" si="576"/>
        <v>112820</v>
      </c>
      <c r="Y433" s="225">
        <f t="shared" si="560"/>
        <v>80990</v>
      </c>
      <c r="Z433" s="225">
        <f t="shared" si="561"/>
        <v>6900</v>
      </c>
      <c r="AA433" s="225">
        <f t="shared" si="579"/>
        <v>22560</v>
      </c>
      <c r="AB433" s="225">
        <f t="shared" si="580"/>
        <v>20060</v>
      </c>
      <c r="AC433" s="252">
        <f t="shared" si="581"/>
        <v>452270</v>
      </c>
    </row>
    <row r="434" spans="1:29" s="204" customFormat="1" ht="16.5" hidden="1" customHeight="1">
      <c r="A434" s="319"/>
      <c r="B434" s="211"/>
      <c r="C434" s="212"/>
      <c r="D434" s="212"/>
      <c r="E434" s="219" t="s">
        <v>395</v>
      </c>
      <c r="F434" s="221">
        <f t="shared" si="585"/>
        <v>1948000</v>
      </c>
      <c r="G434" s="221"/>
      <c r="H434" s="221"/>
      <c r="I434" s="222"/>
      <c r="J434" s="221"/>
      <c r="K434" s="221"/>
      <c r="L434" s="221"/>
      <c r="M434" s="221"/>
      <c r="N434" s="221"/>
      <c r="O434" s="221"/>
      <c r="P434" s="221"/>
      <c r="Q434" s="221">
        <f t="shared" si="582"/>
        <v>13980</v>
      </c>
      <c r="R434" s="221">
        <f>Q434*40*2</f>
        <v>1118400</v>
      </c>
      <c r="S434" s="221"/>
      <c r="T434" s="222"/>
      <c r="U434" s="214">
        <f t="shared" si="575"/>
        <v>3066400</v>
      </c>
      <c r="V434" s="250"/>
      <c r="W434" s="224">
        <f t="shared" si="584"/>
        <v>255540</v>
      </c>
      <c r="X434" s="225">
        <f t="shared" si="576"/>
        <v>137990</v>
      </c>
      <c r="Y434" s="225">
        <f t="shared" si="560"/>
        <v>99050</v>
      </c>
      <c r="Z434" s="225">
        <f t="shared" si="561"/>
        <v>8430</v>
      </c>
      <c r="AA434" s="225">
        <f t="shared" si="579"/>
        <v>27600</v>
      </c>
      <c r="AB434" s="225">
        <f t="shared" si="580"/>
        <v>24530</v>
      </c>
      <c r="AC434" s="252">
        <f t="shared" si="581"/>
        <v>553140</v>
      </c>
    </row>
    <row r="435" spans="1:29" s="204" customFormat="1" ht="16.5" hidden="1" customHeight="1">
      <c r="A435" s="319">
        <v>34</v>
      </c>
      <c r="B435" s="211" t="s">
        <v>87</v>
      </c>
      <c r="C435" s="212" t="s">
        <v>525</v>
      </c>
      <c r="D435" s="212">
        <v>1</v>
      </c>
      <c r="E435" s="213" t="s">
        <v>86</v>
      </c>
      <c r="F435" s="214">
        <f t="shared" ref="F435:N435" si="587">SUM(F436:F447)</f>
        <v>23848000</v>
      </c>
      <c r="G435" s="214">
        <f t="shared" si="587"/>
        <v>0</v>
      </c>
      <c r="H435" s="214">
        <f t="shared" si="587"/>
        <v>0</v>
      </c>
      <c r="I435" s="214">
        <f t="shared" si="587"/>
        <v>0</v>
      </c>
      <c r="J435" s="214">
        <f t="shared" si="587"/>
        <v>0</v>
      </c>
      <c r="K435" s="214">
        <f t="shared" si="587"/>
        <v>0</v>
      </c>
      <c r="L435" s="214">
        <f t="shared" si="587"/>
        <v>0</v>
      </c>
      <c r="M435" s="214">
        <f t="shared" si="587"/>
        <v>2373000</v>
      </c>
      <c r="N435" s="214">
        <f t="shared" si="587"/>
        <v>0</v>
      </c>
      <c r="O435" s="214">
        <f>SUM(O436:O447)</f>
        <v>480000</v>
      </c>
      <c r="P435" s="214">
        <f t="shared" ref="P435" si="588">SUM(P436:P447)</f>
        <v>0</v>
      </c>
      <c r="Q435" s="214"/>
      <c r="R435" s="214">
        <f t="shared" ref="R435" si="589">SUM(R436:R447)</f>
        <v>6844800</v>
      </c>
      <c r="S435" s="214">
        <f>SUM(S436:S447)</f>
        <v>0</v>
      </c>
      <c r="T435" s="214">
        <f t="shared" ref="T435:U435" si="590">SUM(T436:T447)</f>
        <v>0</v>
      </c>
      <c r="U435" s="214">
        <f t="shared" si="590"/>
        <v>33545800</v>
      </c>
      <c r="V435" s="250"/>
      <c r="W435" s="217">
        <f t="shared" ref="W435:AB435" si="591">SUM(W436:W447)</f>
        <v>2795550</v>
      </c>
      <c r="X435" s="214">
        <f t="shared" si="591"/>
        <v>1509580</v>
      </c>
      <c r="Y435" s="214">
        <f t="shared" si="591"/>
        <v>1083600</v>
      </c>
      <c r="Z435" s="214">
        <f t="shared" si="591"/>
        <v>92310</v>
      </c>
      <c r="AA435" s="214">
        <f t="shared" si="591"/>
        <v>301910</v>
      </c>
      <c r="AB435" s="214">
        <f t="shared" si="591"/>
        <v>268350</v>
      </c>
      <c r="AC435" s="266">
        <f>SUM(AC436:AC447)</f>
        <v>6051300</v>
      </c>
    </row>
    <row r="436" spans="1:29" s="204" customFormat="1" ht="16.5" hidden="1" customHeight="1">
      <c r="A436" s="319"/>
      <c r="B436" s="211" t="s">
        <v>850</v>
      </c>
      <c r="C436" s="310">
        <v>4</v>
      </c>
      <c r="D436" s="310"/>
      <c r="E436" s="311" t="s">
        <v>389</v>
      </c>
      <c r="F436" s="312">
        <v>1948000</v>
      </c>
      <c r="G436" s="221"/>
      <c r="H436" s="220"/>
      <c r="I436" s="222"/>
      <c r="J436" s="221"/>
      <c r="K436" s="221"/>
      <c r="L436" s="221"/>
      <c r="M436" s="221" t="s">
        <v>60</v>
      </c>
      <c r="N436" s="221"/>
      <c r="O436" s="221">
        <v>40000</v>
      </c>
      <c r="P436" s="221"/>
      <c r="Q436" s="221"/>
      <c r="R436" s="221"/>
      <c r="S436" s="221"/>
      <c r="T436" s="222"/>
      <c r="U436" s="214">
        <f t="shared" ref="U436:U447" si="592">SUM(F436,M436,O436,R436,T436,S436)</f>
        <v>1988000</v>
      </c>
      <c r="V436" s="250"/>
      <c r="W436" s="224">
        <f>ROUNDUP(U436*1/12,-1)</f>
        <v>165670</v>
      </c>
      <c r="X436" s="225">
        <f t="shared" ref="X436:X447" si="593">ROUND(U436*4.5%,-1)</f>
        <v>89460</v>
      </c>
      <c r="Y436" s="225">
        <f t="shared" ref="Y436" si="594">ROUNDUP((U436-L436)*3.23%,-1)</f>
        <v>64220</v>
      </c>
      <c r="Z436" s="225">
        <f t="shared" ref="Z436" si="595">ROUNDUP(Y436*8.51%,-1)</f>
        <v>5470</v>
      </c>
      <c r="AA436" s="225">
        <f t="shared" ref="AA436:AA447" si="596">ROUND(U436*0.9%,-1)</f>
        <v>17890</v>
      </c>
      <c r="AB436" s="225">
        <f t="shared" ref="AB436:AB447" si="597">ROUND(U436*0.8%,-1)</f>
        <v>15900</v>
      </c>
      <c r="AC436" s="252">
        <f t="shared" ref="AC436:AC447" si="598">SUM(W436:AB436)</f>
        <v>358610</v>
      </c>
    </row>
    <row r="437" spans="1:29" s="204" customFormat="1" ht="16.5" hidden="1" customHeight="1">
      <c r="A437" s="319"/>
      <c r="B437" s="211"/>
      <c r="C437" s="212"/>
      <c r="D437" s="212"/>
      <c r="E437" s="219" t="s">
        <v>390</v>
      </c>
      <c r="F437" s="221">
        <f>F436</f>
        <v>1948000</v>
      </c>
      <c r="G437" s="221"/>
      <c r="H437" s="221"/>
      <c r="I437" s="222"/>
      <c r="J437" s="221"/>
      <c r="K437" s="221"/>
      <c r="L437" s="221"/>
      <c r="M437" s="221">
        <f>F437*60%</f>
        <v>1168800</v>
      </c>
      <c r="N437" s="221"/>
      <c r="O437" s="221">
        <f>O436</f>
        <v>40000</v>
      </c>
      <c r="P437" s="221"/>
      <c r="Q437" s="221">
        <f t="shared" ref="Q437:Q447" si="599">ROUND((F436+T436)*1/209*1.5,-1)</f>
        <v>13980</v>
      </c>
      <c r="R437" s="221">
        <f>Q437*40</f>
        <v>559200</v>
      </c>
      <c r="S437" s="221"/>
      <c r="T437" s="222"/>
      <c r="U437" s="214">
        <f t="shared" si="592"/>
        <v>3716000</v>
      </c>
      <c r="V437" s="250"/>
      <c r="W437" s="224">
        <f>ROUNDUP((T437+U437)*1/12,-1)</f>
        <v>309670</v>
      </c>
      <c r="X437" s="225">
        <f t="shared" si="593"/>
        <v>167220</v>
      </c>
      <c r="Y437" s="225">
        <f t="shared" si="560"/>
        <v>120030</v>
      </c>
      <c r="Z437" s="225">
        <f t="shared" si="561"/>
        <v>10220</v>
      </c>
      <c r="AA437" s="225">
        <f t="shared" si="596"/>
        <v>33440</v>
      </c>
      <c r="AB437" s="225">
        <f t="shared" si="597"/>
        <v>29730</v>
      </c>
      <c r="AC437" s="252">
        <f t="shared" si="598"/>
        <v>670310</v>
      </c>
    </row>
    <row r="438" spans="1:29" s="204" customFormat="1" ht="16.5" hidden="1" customHeight="1">
      <c r="A438" s="319"/>
      <c r="B438" s="211"/>
      <c r="C438" s="212"/>
      <c r="D438" s="212"/>
      <c r="E438" s="219" t="s">
        <v>391</v>
      </c>
      <c r="F438" s="221">
        <f>F437</f>
        <v>1948000</v>
      </c>
      <c r="G438" s="221"/>
      <c r="H438" s="221"/>
      <c r="I438" s="222"/>
      <c r="J438" s="221"/>
      <c r="K438" s="221"/>
      <c r="L438" s="221"/>
      <c r="M438" s="221"/>
      <c r="N438" s="221"/>
      <c r="O438" s="221">
        <f t="shared" ref="O438:O447" si="600">O437</f>
        <v>40000</v>
      </c>
      <c r="P438" s="221"/>
      <c r="Q438" s="221">
        <f t="shared" si="599"/>
        <v>13980</v>
      </c>
      <c r="R438" s="221">
        <f t="shared" ref="R438:R446" si="601">Q438*40</f>
        <v>559200</v>
      </c>
      <c r="S438" s="221"/>
      <c r="T438" s="222"/>
      <c r="U438" s="214">
        <f t="shared" si="592"/>
        <v>2547200</v>
      </c>
      <c r="V438" s="250"/>
      <c r="W438" s="224">
        <f t="shared" ref="W438:W447" si="602">ROUNDUP(U438*1/12,-1)</f>
        <v>212270</v>
      </c>
      <c r="X438" s="225">
        <f t="shared" si="593"/>
        <v>114620</v>
      </c>
      <c r="Y438" s="225">
        <f t="shared" si="560"/>
        <v>82280</v>
      </c>
      <c r="Z438" s="225">
        <f t="shared" si="561"/>
        <v>7010</v>
      </c>
      <c r="AA438" s="225">
        <f t="shared" si="596"/>
        <v>22920</v>
      </c>
      <c r="AB438" s="225">
        <f t="shared" si="597"/>
        <v>20380</v>
      </c>
      <c r="AC438" s="252">
        <f t="shared" si="598"/>
        <v>459480</v>
      </c>
    </row>
    <row r="439" spans="1:29" s="204" customFormat="1" ht="16.5" hidden="1" customHeight="1">
      <c r="A439" s="319"/>
      <c r="B439" s="211"/>
      <c r="C439" s="212"/>
      <c r="D439" s="212"/>
      <c r="E439" s="219" t="s">
        <v>392</v>
      </c>
      <c r="F439" s="222">
        <f>F438</f>
        <v>1948000</v>
      </c>
      <c r="G439" s="221"/>
      <c r="H439" s="221"/>
      <c r="I439" s="222"/>
      <c r="J439" s="221"/>
      <c r="K439" s="221"/>
      <c r="L439" s="221"/>
      <c r="M439" s="221"/>
      <c r="N439" s="221"/>
      <c r="O439" s="221">
        <f t="shared" si="600"/>
        <v>40000</v>
      </c>
      <c r="P439" s="221"/>
      <c r="Q439" s="221">
        <f t="shared" si="599"/>
        <v>13980</v>
      </c>
      <c r="R439" s="221">
        <f t="shared" si="601"/>
        <v>559200</v>
      </c>
      <c r="S439" s="221"/>
      <c r="T439" s="222"/>
      <c r="U439" s="214">
        <f t="shared" si="592"/>
        <v>2547200</v>
      </c>
      <c r="V439" s="250"/>
      <c r="W439" s="224">
        <f t="shared" si="602"/>
        <v>212270</v>
      </c>
      <c r="X439" s="225">
        <f t="shared" si="593"/>
        <v>114620</v>
      </c>
      <c r="Y439" s="225">
        <f t="shared" si="560"/>
        <v>82280</v>
      </c>
      <c r="Z439" s="225">
        <f t="shared" si="561"/>
        <v>7010</v>
      </c>
      <c r="AA439" s="225">
        <f t="shared" si="596"/>
        <v>22920</v>
      </c>
      <c r="AB439" s="225">
        <f t="shared" si="597"/>
        <v>20380</v>
      </c>
      <c r="AC439" s="252">
        <f t="shared" si="598"/>
        <v>459480</v>
      </c>
    </row>
    <row r="440" spans="1:29" s="204" customFormat="1" ht="16.5" hidden="1" customHeight="1">
      <c r="A440" s="319"/>
      <c r="B440" s="211"/>
      <c r="C440" s="310">
        <f>C436+1</f>
        <v>5</v>
      </c>
      <c r="D440" s="212"/>
      <c r="E440" s="311" t="s">
        <v>393</v>
      </c>
      <c r="F440" s="312">
        <v>2007000</v>
      </c>
      <c r="G440" s="221"/>
      <c r="H440" s="221"/>
      <c r="I440" s="222"/>
      <c r="J440" s="221"/>
      <c r="K440" s="221"/>
      <c r="L440" s="221"/>
      <c r="M440" s="221"/>
      <c r="N440" s="221"/>
      <c r="O440" s="221">
        <f t="shared" si="600"/>
        <v>40000</v>
      </c>
      <c r="P440" s="221"/>
      <c r="Q440" s="221">
        <f t="shared" si="599"/>
        <v>13980</v>
      </c>
      <c r="R440" s="221">
        <f t="shared" si="601"/>
        <v>559200</v>
      </c>
      <c r="S440" s="221"/>
      <c r="T440" s="222"/>
      <c r="U440" s="214">
        <f t="shared" si="592"/>
        <v>2606200</v>
      </c>
      <c r="V440" s="250"/>
      <c r="W440" s="224">
        <f t="shared" si="602"/>
        <v>217190</v>
      </c>
      <c r="X440" s="225">
        <f t="shared" si="593"/>
        <v>117280</v>
      </c>
      <c r="Y440" s="225">
        <f t="shared" si="560"/>
        <v>84190</v>
      </c>
      <c r="Z440" s="225">
        <f t="shared" si="561"/>
        <v>7170</v>
      </c>
      <c r="AA440" s="225">
        <f t="shared" si="596"/>
        <v>23460</v>
      </c>
      <c r="AB440" s="225">
        <f t="shared" si="597"/>
        <v>20850</v>
      </c>
      <c r="AC440" s="252">
        <f t="shared" si="598"/>
        <v>470140</v>
      </c>
    </row>
    <row r="441" spans="1:29" s="204" customFormat="1" ht="16.5" hidden="1" customHeight="1">
      <c r="A441" s="319"/>
      <c r="B441" s="211"/>
      <c r="C441" s="212"/>
      <c r="D441" s="212"/>
      <c r="E441" s="219" t="s">
        <v>394</v>
      </c>
      <c r="F441" s="221">
        <f>F440</f>
        <v>2007000</v>
      </c>
      <c r="G441" s="221"/>
      <c r="H441" s="221"/>
      <c r="I441" s="222"/>
      <c r="J441" s="221"/>
      <c r="K441" s="221"/>
      <c r="L441" s="221"/>
      <c r="M441" s="221"/>
      <c r="N441" s="221"/>
      <c r="O441" s="221">
        <f t="shared" si="600"/>
        <v>40000</v>
      </c>
      <c r="P441" s="221"/>
      <c r="Q441" s="221">
        <f t="shared" si="599"/>
        <v>14400</v>
      </c>
      <c r="R441" s="221">
        <f t="shared" si="601"/>
        <v>576000</v>
      </c>
      <c r="S441" s="221"/>
      <c r="T441" s="222"/>
      <c r="U441" s="214">
        <f t="shared" si="592"/>
        <v>2623000</v>
      </c>
      <c r="V441" s="250"/>
      <c r="W441" s="224">
        <f t="shared" si="602"/>
        <v>218590</v>
      </c>
      <c r="X441" s="225">
        <f t="shared" si="593"/>
        <v>118040</v>
      </c>
      <c r="Y441" s="225">
        <f t="shared" si="560"/>
        <v>84730</v>
      </c>
      <c r="Z441" s="225">
        <f t="shared" si="561"/>
        <v>7220</v>
      </c>
      <c r="AA441" s="225">
        <f t="shared" si="596"/>
        <v>23610</v>
      </c>
      <c r="AB441" s="225">
        <f t="shared" si="597"/>
        <v>20980</v>
      </c>
      <c r="AC441" s="252">
        <f t="shared" si="598"/>
        <v>473170</v>
      </c>
    </row>
    <row r="442" spans="1:29" s="204" customFormat="1" ht="16.5" hidden="1" customHeight="1">
      <c r="A442" s="319"/>
      <c r="B442" s="211"/>
      <c r="C442" s="212"/>
      <c r="D442" s="212"/>
      <c r="E442" s="219" t="s">
        <v>279</v>
      </c>
      <c r="F442" s="221">
        <f t="shared" ref="F442:F447" si="603">F441</f>
        <v>2007000</v>
      </c>
      <c r="G442" s="221"/>
      <c r="H442" s="220"/>
      <c r="I442" s="222"/>
      <c r="J442" s="221"/>
      <c r="K442" s="221"/>
      <c r="L442" s="221"/>
      <c r="M442" s="221"/>
      <c r="N442" s="221"/>
      <c r="O442" s="221">
        <f t="shared" si="600"/>
        <v>40000</v>
      </c>
      <c r="P442" s="221"/>
      <c r="Q442" s="221">
        <f t="shared" si="599"/>
        <v>14400</v>
      </c>
      <c r="R442" s="221">
        <f t="shared" si="601"/>
        <v>576000</v>
      </c>
      <c r="S442" s="221"/>
      <c r="T442" s="222"/>
      <c r="U442" s="214">
        <f t="shared" si="592"/>
        <v>2623000</v>
      </c>
      <c r="V442" s="250"/>
      <c r="W442" s="224">
        <f t="shared" si="602"/>
        <v>218590</v>
      </c>
      <c r="X442" s="225">
        <f t="shared" si="593"/>
        <v>118040</v>
      </c>
      <c r="Y442" s="225">
        <f t="shared" si="560"/>
        <v>84730</v>
      </c>
      <c r="Z442" s="225">
        <f t="shared" si="561"/>
        <v>7220</v>
      </c>
      <c r="AA442" s="225">
        <f t="shared" si="596"/>
        <v>23610</v>
      </c>
      <c r="AB442" s="225">
        <f t="shared" si="597"/>
        <v>20980</v>
      </c>
      <c r="AC442" s="252">
        <f t="shared" si="598"/>
        <v>473170</v>
      </c>
    </row>
    <row r="443" spans="1:29" s="204" customFormat="1" ht="16.5" hidden="1" customHeight="1">
      <c r="A443" s="319"/>
      <c r="B443" s="211"/>
      <c r="C443" s="212"/>
      <c r="D443" s="212"/>
      <c r="E443" s="219" t="s">
        <v>280</v>
      </c>
      <c r="F443" s="221">
        <f t="shared" si="603"/>
        <v>2007000</v>
      </c>
      <c r="G443" s="221"/>
      <c r="H443" s="221"/>
      <c r="I443" s="222"/>
      <c r="J443" s="221"/>
      <c r="K443" s="221"/>
      <c r="L443" s="221"/>
      <c r="M443" s="221"/>
      <c r="N443" s="221"/>
      <c r="O443" s="221">
        <f t="shared" si="600"/>
        <v>40000</v>
      </c>
      <c r="P443" s="221"/>
      <c r="Q443" s="221">
        <f t="shared" si="599"/>
        <v>14400</v>
      </c>
      <c r="R443" s="221">
        <f t="shared" si="601"/>
        <v>576000</v>
      </c>
      <c r="S443" s="221"/>
      <c r="T443" s="222"/>
      <c r="U443" s="214">
        <f t="shared" si="592"/>
        <v>2623000</v>
      </c>
      <c r="V443" s="250"/>
      <c r="W443" s="224">
        <f t="shared" si="602"/>
        <v>218590</v>
      </c>
      <c r="X443" s="225">
        <f t="shared" si="593"/>
        <v>118040</v>
      </c>
      <c r="Y443" s="225">
        <f t="shared" si="560"/>
        <v>84730</v>
      </c>
      <c r="Z443" s="225">
        <f t="shared" si="561"/>
        <v>7220</v>
      </c>
      <c r="AA443" s="225">
        <f t="shared" si="596"/>
        <v>23610</v>
      </c>
      <c r="AB443" s="225">
        <f t="shared" si="597"/>
        <v>20980</v>
      </c>
      <c r="AC443" s="252">
        <f t="shared" si="598"/>
        <v>473170</v>
      </c>
    </row>
    <row r="444" spans="1:29" s="204" customFormat="1" ht="16.5" hidden="1" customHeight="1">
      <c r="A444" s="319"/>
      <c r="B444" s="211"/>
      <c r="C444" s="212"/>
      <c r="D444" s="212"/>
      <c r="E444" s="219" t="s">
        <v>54</v>
      </c>
      <c r="F444" s="221">
        <f t="shared" si="603"/>
        <v>2007000</v>
      </c>
      <c r="G444" s="221"/>
      <c r="H444" s="221"/>
      <c r="I444" s="222"/>
      <c r="J444" s="221"/>
      <c r="K444" s="221"/>
      <c r="L444" s="221"/>
      <c r="M444" s="221">
        <f t="shared" ref="M444" si="604">F444*60%</f>
        <v>1204200</v>
      </c>
      <c r="N444" s="221"/>
      <c r="O444" s="221">
        <f t="shared" si="600"/>
        <v>40000</v>
      </c>
      <c r="P444" s="221"/>
      <c r="Q444" s="221">
        <f t="shared" si="599"/>
        <v>14400</v>
      </c>
      <c r="R444" s="221">
        <f t="shared" si="601"/>
        <v>576000</v>
      </c>
      <c r="S444" s="221"/>
      <c r="T444" s="222"/>
      <c r="U444" s="214">
        <f t="shared" si="592"/>
        <v>3827200</v>
      </c>
      <c r="V444" s="250"/>
      <c r="W444" s="224">
        <f t="shared" si="602"/>
        <v>318940</v>
      </c>
      <c r="X444" s="225">
        <f t="shared" si="593"/>
        <v>172220</v>
      </c>
      <c r="Y444" s="225">
        <f t="shared" si="560"/>
        <v>123620</v>
      </c>
      <c r="Z444" s="225">
        <f t="shared" si="561"/>
        <v>10530</v>
      </c>
      <c r="AA444" s="225">
        <f t="shared" si="596"/>
        <v>34440</v>
      </c>
      <c r="AB444" s="225">
        <f t="shared" si="597"/>
        <v>30620</v>
      </c>
      <c r="AC444" s="252">
        <f t="shared" si="598"/>
        <v>690370</v>
      </c>
    </row>
    <row r="445" spans="1:29" s="204" customFormat="1" ht="16.5" hidden="1" customHeight="1">
      <c r="A445" s="319"/>
      <c r="B445" s="211"/>
      <c r="C445" s="212"/>
      <c r="D445" s="212"/>
      <c r="E445" s="219" t="s">
        <v>55</v>
      </c>
      <c r="F445" s="221">
        <f t="shared" si="603"/>
        <v>2007000</v>
      </c>
      <c r="G445" s="221"/>
      <c r="H445" s="221"/>
      <c r="I445" s="222"/>
      <c r="J445" s="221"/>
      <c r="K445" s="221"/>
      <c r="L445" s="221"/>
      <c r="M445" s="221"/>
      <c r="N445" s="221"/>
      <c r="O445" s="221">
        <f t="shared" si="600"/>
        <v>40000</v>
      </c>
      <c r="P445" s="221"/>
      <c r="Q445" s="221">
        <f t="shared" si="599"/>
        <v>14400</v>
      </c>
      <c r="R445" s="221">
        <f t="shared" si="601"/>
        <v>576000</v>
      </c>
      <c r="S445" s="221"/>
      <c r="T445" s="222"/>
      <c r="U445" s="214">
        <f t="shared" si="592"/>
        <v>2623000</v>
      </c>
      <c r="V445" s="250"/>
      <c r="W445" s="224">
        <f t="shared" si="602"/>
        <v>218590</v>
      </c>
      <c r="X445" s="225">
        <f t="shared" si="593"/>
        <v>118040</v>
      </c>
      <c r="Y445" s="225">
        <f t="shared" si="560"/>
        <v>84730</v>
      </c>
      <c r="Z445" s="225">
        <f t="shared" si="561"/>
        <v>7220</v>
      </c>
      <c r="AA445" s="225">
        <f t="shared" si="596"/>
        <v>23610</v>
      </c>
      <c r="AB445" s="225">
        <f t="shared" si="597"/>
        <v>20980</v>
      </c>
      <c r="AC445" s="252">
        <f t="shared" si="598"/>
        <v>473170</v>
      </c>
    </row>
    <row r="446" spans="1:29" s="204" customFormat="1" ht="16.5" hidden="1" customHeight="1">
      <c r="A446" s="319"/>
      <c r="B446" s="211"/>
      <c r="C446" s="212"/>
      <c r="D446" s="212"/>
      <c r="E446" s="219" t="s">
        <v>56</v>
      </c>
      <c r="F446" s="221">
        <f t="shared" si="603"/>
        <v>2007000</v>
      </c>
      <c r="G446" s="221"/>
      <c r="H446" s="221"/>
      <c r="I446" s="222"/>
      <c r="J446" s="221"/>
      <c r="K446" s="221"/>
      <c r="L446" s="221"/>
      <c r="M446" s="221"/>
      <c r="N446" s="221"/>
      <c r="O446" s="221">
        <f t="shared" si="600"/>
        <v>40000</v>
      </c>
      <c r="P446" s="221"/>
      <c r="Q446" s="221">
        <f t="shared" si="599"/>
        <v>14400</v>
      </c>
      <c r="R446" s="221">
        <f t="shared" si="601"/>
        <v>576000</v>
      </c>
      <c r="S446" s="221"/>
      <c r="T446" s="222"/>
      <c r="U446" s="214">
        <f t="shared" si="592"/>
        <v>2623000</v>
      </c>
      <c r="V446" s="250"/>
      <c r="W446" s="224">
        <f t="shared" si="602"/>
        <v>218590</v>
      </c>
      <c r="X446" s="225">
        <f t="shared" si="593"/>
        <v>118040</v>
      </c>
      <c r="Y446" s="225">
        <f t="shared" si="560"/>
        <v>84730</v>
      </c>
      <c r="Z446" s="225">
        <f t="shared" si="561"/>
        <v>7220</v>
      </c>
      <c r="AA446" s="225">
        <f t="shared" si="596"/>
        <v>23610</v>
      </c>
      <c r="AB446" s="225">
        <f t="shared" si="597"/>
        <v>20980</v>
      </c>
      <c r="AC446" s="252">
        <f t="shared" si="598"/>
        <v>473170</v>
      </c>
    </row>
    <row r="447" spans="1:29" s="204" customFormat="1" ht="16.5" hidden="1" customHeight="1">
      <c r="A447" s="319"/>
      <c r="B447" s="211"/>
      <c r="C447" s="212"/>
      <c r="D447" s="212"/>
      <c r="E447" s="219" t="s">
        <v>395</v>
      </c>
      <c r="F447" s="221">
        <f t="shared" si="603"/>
        <v>2007000</v>
      </c>
      <c r="G447" s="221"/>
      <c r="H447" s="221"/>
      <c r="I447" s="222"/>
      <c r="J447" s="221"/>
      <c r="K447" s="221"/>
      <c r="L447" s="221"/>
      <c r="M447" s="221"/>
      <c r="N447" s="221"/>
      <c r="O447" s="221">
        <f t="shared" si="600"/>
        <v>40000</v>
      </c>
      <c r="P447" s="221"/>
      <c r="Q447" s="221">
        <f t="shared" si="599"/>
        <v>14400</v>
      </c>
      <c r="R447" s="221">
        <f>Q447*40*2</f>
        <v>1152000</v>
      </c>
      <c r="S447" s="221"/>
      <c r="T447" s="222"/>
      <c r="U447" s="214">
        <f t="shared" si="592"/>
        <v>3199000</v>
      </c>
      <c r="V447" s="250"/>
      <c r="W447" s="224">
        <f t="shared" si="602"/>
        <v>266590</v>
      </c>
      <c r="X447" s="225">
        <f t="shared" si="593"/>
        <v>143960</v>
      </c>
      <c r="Y447" s="225">
        <f t="shared" si="560"/>
        <v>103330</v>
      </c>
      <c r="Z447" s="225">
        <f t="shared" si="561"/>
        <v>8800</v>
      </c>
      <c r="AA447" s="225">
        <f t="shared" si="596"/>
        <v>28790</v>
      </c>
      <c r="AB447" s="225">
        <f t="shared" si="597"/>
        <v>25590</v>
      </c>
      <c r="AC447" s="252">
        <f t="shared" si="598"/>
        <v>577060</v>
      </c>
    </row>
    <row r="448" spans="1:29" s="204" customFormat="1" ht="16.5" hidden="1" customHeight="1">
      <c r="A448" s="319">
        <v>35</v>
      </c>
      <c r="B448" s="211" t="s">
        <v>87</v>
      </c>
      <c r="C448" s="212" t="s">
        <v>525</v>
      </c>
      <c r="D448" s="212">
        <v>1</v>
      </c>
      <c r="E448" s="213" t="s">
        <v>86</v>
      </c>
      <c r="F448" s="214">
        <f t="shared" ref="F448:N448" si="605">SUM(F449:F460)</f>
        <v>23494000</v>
      </c>
      <c r="G448" s="214">
        <f t="shared" si="605"/>
        <v>0</v>
      </c>
      <c r="H448" s="214">
        <f t="shared" si="605"/>
        <v>0</v>
      </c>
      <c r="I448" s="214">
        <f t="shared" si="605"/>
        <v>0</v>
      </c>
      <c r="J448" s="214">
        <f t="shared" si="605"/>
        <v>0</v>
      </c>
      <c r="K448" s="214">
        <f t="shared" si="605"/>
        <v>0</v>
      </c>
      <c r="L448" s="214">
        <f t="shared" si="605"/>
        <v>0</v>
      </c>
      <c r="M448" s="214">
        <f t="shared" si="605"/>
        <v>2337600</v>
      </c>
      <c r="N448" s="214">
        <f t="shared" si="605"/>
        <v>0</v>
      </c>
      <c r="O448" s="214">
        <f>SUM(O449:O460)</f>
        <v>0</v>
      </c>
      <c r="P448" s="214">
        <f t="shared" ref="P448" si="606">SUM(P449:P460)</f>
        <v>0</v>
      </c>
      <c r="Q448" s="214"/>
      <c r="R448" s="214">
        <f t="shared" ref="R448" si="607">SUM(R449:R460)</f>
        <v>6744000</v>
      </c>
      <c r="S448" s="214">
        <f>SUM(S449:S460)</f>
        <v>0</v>
      </c>
      <c r="T448" s="214">
        <f t="shared" ref="T448:U448" si="608">SUM(T449:T460)</f>
        <v>0</v>
      </c>
      <c r="U448" s="214">
        <f t="shared" si="608"/>
        <v>32575600</v>
      </c>
      <c r="V448" s="250"/>
      <c r="W448" s="217">
        <f t="shared" ref="W448:AB448" si="609">SUM(W449:W460)</f>
        <v>2714700</v>
      </c>
      <c r="X448" s="214">
        <f t="shared" si="609"/>
        <v>1465880</v>
      </c>
      <c r="Y448" s="214">
        <f t="shared" si="609"/>
        <v>1052270</v>
      </c>
      <c r="Z448" s="214">
        <f t="shared" si="609"/>
        <v>89630</v>
      </c>
      <c r="AA448" s="214">
        <f t="shared" si="609"/>
        <v>293140</v>
      </c>
      <c r="AB448" s="214">
        <f t="shared" si="609"/>
        <v>260620</v>
      </c>
      <c r="AC448" s="266">
        <f>SUM(AC449:AC460)</f>
        <v>5876240</v>
      </c>
    </row>
    <row r="449" spans="1:29" s="204" customFormat="1" ht="16.5" hidden="1" customHeight="1">
      <c r="A449" s="319"/>
      <c r="B449" s="211" t="s">
        <v>894</v>
      </c>
      <c r="C449" s="310">
        <v>4</v>
      </c>
      <c r="D449" s="310"/>
      <c r="E449" s="311" t="s">
        <v>389</v>
      </c>
      <c r="F449" s="312">
        <v>1948000</v>
      </c>
      <c r="G449" s="221"/>
      <c r="H449" s="220"/>
      <c r="I449" s="222"/>
      <c r="J449" s="221"/>
      <c r="K449" s="221"/>
      <c r="L449" s="221"/>
      <c r="M449" s="221" t="s">
        <v>60</v>
      </c>
      <c r="N449" s="221"/>
      <c r="O449" s="221"/>
      <c r="P449" s="221"/>
      <c r="Q449" s="221"/>
      <c r="R449" s="221"/>
      <c r="S449" s="221"/>
      <c r="T449" s="222"/>
      <c r="U449" s="214">
        <f t="shared" ref="U449:U460" si="610">SUM(F449,M449,O449,R449,T449,S449)</f>
        <v>1948000</v>
      </c>
      <c r="V449" s="250"/>
      <c r="W449" s="224">
        <f>ROUNDUP(U449*1/12,-1)</f>
        <v>162340</v>
      </c>
      <c r="X449" s="225">
        <f t="shared" ref="X449:X460" si="611">ROUND(U449*4.5%,-1)</f>
        <v>87660</v>
      </c>
      <c r="Y449" s="225">
        <f t="shared" ref="Y449" si="612">ROUNDUP((U449-L449)*3.23%,-1)</f>
        <v>62930</v>
      </c>
      <c r="Z449" s="225">
        <f t="shared" ref="Z449" si="613">ROUNDUP(Y449*8.51%,-1)</f>
        <v>5360</v>
      </c>
      <c r="AA449" s="225">
        <f t="shared" ref="AA449:AA460" si="614">ROUND(U449*0.9%,-1)</f>
        <v>17530</v>
      </c>
      <c r="AB449" s="225">
        <f t="shared" ref="AB449:AB460" si="615">ROUND(U449*0.8%,-1)</f>
        <v>15580</v>
      </c>
      <c r="AC449" s="252">
        <f t="shared" ref="AC449:AC460" si="616">SUM(W449:AB449)</f>
        <v>351400</v>
      </c>
    </row>
    <row r="450" spans="1:29" s="204" customFormat="1" ht="16.5" hidden="1" customHeight="1">
      <c r="A450" s="319"/>
      <c r="B450" s="211"/>
      <c r="C450" s="212"/>
      <c r="D450" s="212"/>
      <c r="E450" s="219" t="s">
        <v>390</v>
      </c>
      <c r="F450" s="221">
        <f t="shared" ref="F450:F460" si="617">F449</f>
        <v>1948000</v>
      </c>
      <c r="G450" s="221"/>
      <c r="H450" s="221"/>
      <c r="I450" s="222"/>
      <c r="J450" s="221"/>
      <c r="K450" s="221"/>
      <c r="L450" s="221"/>
      <c r="M450" s="221">
        <f>F450*60%</f>
        <v>1168800</v>
      </c>
      <c r="N450" s="221"/>
      <c r="O450" s="221"/>
      <c r="P450" s="221"/>
      <c r="Q450" s="221">
        <f t="shared" ref="Q450:Q460" si="618">ROUND((F449+T449)*1/209*1.5,-1)</f>
        <v>13980</v>
      </c>
      <c r="R450" s="221">
        <f>Q450*40</f>
        <v>559200</v>
      </c>
      <c r="S450" s="221"/>
      <c r="T450" s="222"/>
      <c r="U450" s="214">
        <f t="shared" si="610"/>
        <v>3676000</v>
      </c>
      <c r="V450" s="250"/>
      <c r="W450" s="224">
        <f>ROUNDUP((T450+U450)*1/12,-1)</f>
        <v>306340</v>
      </c>
      <c r="X450" s="225">
        <f t="shared" si="611"/>
        <v>165420</v>
      </c>
      <c r="Y450" s="225">
        <f t="shared" si="560"/>
        <v>118740</v>
      </c>
      <c r="Z450" s="225">
        <f t="shared" si="561"/>
        <v>10110</v>
      </c>
      <c r="AA450" s="225">
        <f t="shared" si="614"/>
        <v>33080</v>
      </c>
      <c r="AB450" s="225">
        <f t="shared" si="615"/>
        <v>29410</v>
      </c>
      <c r="AC450" s="252">
        <f t="shared" si="616"/>
        <v>663100</v>
      </c>
    </row>
    <row r="451" spans="1:29" s="204" customFormat="1" ht="16.5" hidden="1" customHeight="1">
      <c r="A451" s="319"/>
      <c r="B451" s="211"/>
      <c r="C451" s="212"/>
      <c r="D451" s="212"/>
      <c r="E451" s="219" t="s">
        <v>391</v>
      </c>
      <c r="F451" s="222">
        <f>F450</f>
        <v>1948000</v>
      </c>
      <c r="G451" s="221"/>
      <c r="H451" s="221"/>
      <c r="I451" s="222"/>
      <c r="J451" s="221"/>
      <c r="K451" s="221"/>
      <c r="L451" s="221"/>
      <c r="M451" s="221"/>
      <c r="N451" s="221"/>
      <c r="O451" s="221"/>
      <c r="P451" s="221"/>
      <c r="Q451" s="221">
        <f t="shared" si="618"/>
        <v>13980</v>
      </c>
      <c r="R451" s="221">
        <f t="shared" ref="R451:R459" si="619">Q451*40</f>
        <v>559200</v>
      </c>
      <c r="S451" s="221"/>
      <c r="T451" s="222"/>
      <c r="U451" s="214">
        <f t="shared" si="610"/>
        <v>2507200</v>
      </c>
      <c r="V451" s="250"/>
      <c r="W451" s="224">
        <f t="shared" ref="W451:W460" si="620">ROUNDUP(U451*1/12,-1)</f>
        <v>208940</v>
      </c>
      <c r="X451" s="225">
        <f t="shared" si="611"/>
        <v>112820</v>
      </c>
      <c r="Y451" s="225">
        <f t="shared" si="560"/>
        <v>80990</v>
      </c>
      <c r="Z451" s="225">
        <f t="shared" si="561"/>
        <v>6900</v>
      </c>
      <c r="AA451" s="225">
        <f t="shared" si="614"/>
        <v>22560</v>
      </c>
      <c r="AB451" s="225">
        <f t="shared" si="615"/>
        <v>20060</v>
      </c>
      <c r="AC451" s="252">
        <f t="shared" si="616"/>
        <v>452270</v>
      </c>
    </row>
    <row r="452" spans="1:29" s="204" customFormat="1" ht="16.5" hidden="1" customHeight="1">
      <c r="A452" s="319"/>
      <c r="B452" s="211"/>
      <c r="C452" s="212"/>
      <c r="D452" s="212"/>
      <c r="E452" s="219" t="s">
        <v>392</v>
      </c>
      <c r="F452" s="221">
        <f t="shared" si="617"/>
        <v>1948000</v>
      </c>
      <c r="G452" s="221"/>
      <c r="H452" s="221"/>
      <c r="I452" s="222"/>
      <c r="J452" s="221"/>
      <c r="K452" s="221"/>
      <c r="L452" s="221"/>
      <c r="M452" s="221"/>
      <c r="N452" s="221"/>
      <c r="O452" s="221"/>
      <c r="P452" s="221"/>
      <c r="Q452" s="221">
        <f t="shared" si="618"/>
        <v>13980</v>
      </c>
      <c r="R452" s="221">
        <f t="shared" si="619"/>
        <v>559200</v>
      </c>
      <c r="S452" s="221"/>
      <c r="T452" s="222"/>
      <c r="U452" s="214">
        <f t="shared" si="610"/>
        <v>2507200</v>
      </c>
      <c r="V452" s="250"/>
      <c r="W452" s="224">
        <f t="shared" si="620"/>
        <v>208940</v>
      </c>
      <c r="X452" s="225">
        <f t="shared" si="611"/>
        <v>112820</v>
      </c>
      <c r="Y452" s="225">
        <f t="shared" si="560"/>
        <v>80990</v>
      </c>
      <c r="Z452" s="225">
        <f t="shared" si="561"/>
        <v>6900</v>
      </c>
      <c r="AA452" s="225">
        <f t="shared" si="614"/>
        <v>22560</v>
      </c>
      <c r="AB452" s="225">
        <f t="shared" si="615"/>
        <v>20060</v>
      </c>
      <c r="AC452" s="252">
        <f t="shared" si="616"/>
        <v>452270</v>
      </c>
    </row>
    <row r="453" spans="1:29" s="204" customFormat="1" ht="16.5" hidden="1" customHeight="1">
      <c r="A453" s="319"/>
      <c r="B453" s="211"/>
      <c r="C453" s="212"/>
      <c r="D453" s="212"/>
      <c r="E453" s="219" t="s">
        <v>393</v>
      </c>
      <c r="F453" s="221">
        <f t="shared" si="617"/>
        <v>1948000</v>
      </c>
      <c r="G453" s="221"/>
      <c r="H453" s="221"/>
      <c r="I453" s="222"/>
      <c r="J453" s="221"/>
      <c r="K453" s="221"/>
      <c r="L453" s="221"/>
      <c r="M453" s="221"/>
      <c r="N453" s="221"/>
      <c r="O453" s="221"/>
      <c r="P453" s="221"/>
      <c r="Q453" s="221">
        <f t="shared" si="618"/>
        <v>13980</v>
      </c>
      <c r="R453" s="221">
        <f t="shared" si="619"/>
        <v>559200</v>
      </c>
      <c r="S453" s="221"/>
      <c r="T453" s="222"/>
      <c r="U453" s="214">
        <f t="shared" si="610"/>
        <v>2507200</v>
      </c>
      <c r="V453" s="250"/>
      <c r="W453" s="224">
        <f t="shared" si="620"/>
        <v>208940</v>
      </c>
      <c r="X453" s="225">
        <f t="shared" si="611"/>
        <v>112820</v>
      </c>
      <c r="Y453" s="225">
        <f t="shared" si="560"/>
        <v>80990</v>
      </c>
      <c r="Z453" s="225">
        <f t="shared" si="561"/>
        <v>6900</v>
      </c>
      <c r="AA453" s="225">
        <f t="shared" si="614"/>
        <v>22560</v>
      </c>
      <c r="AB453" s="225">
        <f t="shared" si="615"/>
        <v>20060</v>
      </c>
      <c r="AC453" s="252">
        <f t="shared" si="616"/>
        <v>452270</v>
      </c>
    </row>
    <row r="454" spans="1:29" s="204" customFormat="1" ht="16.5" hidden="1" customHeight="1">
      <c r="A454" s="319"/>
      <c r="B454" s="211"/>
      <c r="C454" s="212"/>
      <c r="D454" s="212"/>
      <c r="E454" s="219" t="s">
        <v>394</v>
      </c>
      <c r="F454" s="221">
        <f t="shared" si="617"/>
        <v>1948000</v>
      </c>
      <c r="G454" s="221"/>
      <c r="H454" s="221"/>
      <c r="I454" s="222"/>
      <c r="J454" s="221"/>
      <c r="K454" s="221"/>
      <c r="L454" s="221"/>
      <c r="M454" s="221"/>
      <c r="N454" s="221"/>
      <c r="O454" s="221"/>
      <c r="P454" s="221"/>
      <c r="Q454" s="221">
        <f t="shared" si="618"/>
        <v>13980</v>
      </c>
      <c r="R454" s="221">
        <f t="shared" si="619"/>
        <v>559200</v>
      </c>
      <c r="S454" s="221"/>
      <c r="T454" s="222"/>
      <c r="U454" s="214">
        <f t="shared" si="610"/>
        <v>2507200</v>
      </c>
      <c r="V454" s="250"/>
      <c r="W454" s="224">
        <f t="shared" si="620"/>
        <v>208940</v>
      </c>
      <c r="X454" s="225">
        <f t="shared" si="611"/>
        <v>112820</v>
      </c>
      <c r="Y454" s="225">
        <f t="shared" si="560"/>
        <v>80990</v>
      </c>
      <c r="Z454" s="225">
        <f t="shared" si="561"/>
        <v>6900</v>
      </c>
      <c r="AA454" s="225">
        <f t="shared" si="614"/>
        <v>22560</v>
      </c>
      <c r="AB454" s="225">
        <f t="shared" si="615"/>
        <v>20060</v>
      </c>
      <c r="AC454" s="252">
        <f t="shared" si="616"/>
        <v>452270</v>
      </c>
    </row>
    <row r="455" spans="1:29" s="204" customFormat="1" ht="16.5" hidden="1" customHeight="1">
      <c r="A455" s="319"/>
      <c r="B455" s="211"/>
      <c r="C455" s="212"/>
      <c r="D455" s="212"/>
      <c r="E455" s="219" t="s">
        <v>279</v>
      </c>
      <c r="F455" s="221">
        <f t="shared" si="617"/>
        <v>1948000</v>
      </c>
      <c r="G455" s="221"/>
      <c r="H455" s="220"/>
      <c r="I455" s="222"/>
      <c r="J455" s="221"/>
      <c r="K455" s="221"/>
      <c r="L455" s="221"/>
      <c r="M455" s="221"/>
      <c r="N455" s="221"/>
      <c r="O455" s="221"/>
      <c r="P455" s="221"/>
      <c r="Q455" s="221">
        <f t="shared" si="618"/>
        <v>13980</v>
      </c>
      <c r="R455" s="221">
        <f t="shared" si="619"/>
        <v>559200</v>
      </c>
      <c r="S455" s="221"/>
      <c r="T455" s="222"/>
      <c r="U455" s="214">
        <f t="shared" si="610"/>
        <v>2507200</v>
      </c>
      <c r="V455" s="250"/>
      <c r="W455" s="224">
        <f t="shared" si="620"/>
        <v>208940</v>
      </c>
      <c r="X455" s="225">
        <f t="shared" si="611"/>
        <v>112820</v>
      </c>
      <c r="Y455" s="225">
        <f t="shared" si="560"/>
        <v>80990</v>
      </c>
      <c r="Z455" s="225">
        <f t="shared" si="561"/>
        <v>6900</v>
      </c>
      <c r="AA455" s="225">
        <f t="shared" si="614"/>
        <v>22560</v>
      </c>
      <c r="AB455" s="225">
        <f t="shared" si="615"/>
        <v>20060</v>
      </c>
      <c r="AC455" s="252">
        <f t="shared" si="616"/>
        <v>452270</v>
      </c>
    </row>
    <row r="456" spans="1:29" s="204" customFormat="1" ht="16.5" hidden="1" customHeight="1">
      <c r="A456" s="319"/>
      <c r="B456" s="211"/>
      <c r="C456" s="212"/>
      <c r="D456" s="212"/>
      <c r="E456" s="219" t="s">
        <v>280</v>
      </c>
      <c r="F456" s="221">
        <f t="shared" si="617"/>
        <v>1948000</v>
      </c>
      <c r="G456" s="221"/>
      <c r="H456" s="221"/>
      <c r="I456" s="222"/>
      <c r="J456" s="221"/>
      <c r="K456" s="221"/>
      <c r="L456" s="221"/>
      <c r="M456" s="221"/>
      <c r="N456" s="221"/>
      <c r="O456" s="221"/>
      <c r="P456" s="221"/>
      <c r="Q456" s="221">
        <f t="shared" si="618"/>
        <v>13980</v>
      </c>
      <c r="R456" s="221">
        <f t="shared" si="619"/>
        <v>559200</v>
      </c>
      <c r="S456" s="221"/>
      <c r="T456" s="222"/>
      <c r="U456" s="214">
        <f t="shared" si="610"/>
        <v>2507200</v>
      </c>
      <c r="V456" s="250"/>
      <c r="W456" s="224">
        <f t="shared" si="620"/>
        <v>208940</v>
      </c>
      <c r="X456" s="225">
        <f t="shared" si="611"/>
        <v>112820</v>
      </c>
      <c r="Y456" s="225">
        <f t="shared" si="560"/>
        <v>80990</v>
      </c>
      <c r="Z456" s="225">
        <f t="shared" si="561"/>
        <v>6900</v>
      </c>
      <c r="AA456" s="225">
        <f t="shared" si="614"/>
        <v>22560</v>
      </c>
      <c r="AB456" s="225">
        <f t="shared" si="615"/>
        <v>20060</v>
      </c>
      <c r="AC456" s="252">
        <f t="shared" si="616"/>
        <v>452270</v>
      </c>
    </row>
    <row r="457" spans="1:29" s="204" customFormat="1" ht="16.5" hidden="1" customHeight="1">
      <c r="A457" s="319"/>
      <c r="B457" s="211"/>
      <c r="C457" s="212"/>
      <c r="D457" s="212"/>
      <c r="E457" s="219" t="s">
        <v>54</v>
      </c>
      <c r="F457" s="221">
        <f t="shared" si="617"/>
        <v>1948000</v>
      </c>
      <c r="G457" s="221"/>
      <c r="H457" s="221"/>
      <c r="I457" s="222"/>
      <c r="J457" s="221"/>
      <c r="K457" s="221"/>
      <c r="L457" s="221"/>
      <c r="M457" s="221">
        <f t="shared" ref="M457" si="621">F457*60%</f>
        <v>1168800</v>
      </c>
      <c r="N457" s="221"/>
      <c r="O457" s="221"/>
      <c r="P457" s="221"/>
      <c r="Q457" s="221">
        <f t="shared" si="618"/>
        <v>13980</v>
      </c>
      <c r="R457" s="221">
        <f t="shared" si="619"/>
        <v>559200</v>
      </c>
      <c r="S457" s="221"/>
      <c r="T457" s="222"/>
      <c r="U457" s="214">
        <f t="shared" si="610"/>
        <v>3676000</v>
      </c>
      <c r="V457" s="250"/>
      <c r="W457" s="224">
        <f t="shared" si="620"/>
        <v>306340</v>
      </c>
      <c r="X457" s="225">
        <f t="shared" si="611"/>
        <v>165420</v>
      </c>
      <c r="Y457" s="225">
        <f t="shared" si="560"/>
        <v>118740</v>
      </c>
      <c r="Z457" s="225">
        <f t="shared" si="561"/>
        <v>10110</v>
      </c>
      <c r="AA457" s="225">
        <f t="shared" si="614"/>
        <v>33080</v>
      </c>
      <c r="AB457" s="225">
        <f t="shared" si="615"/>
        <v>29410</v>
      </c>
      <c r="AC457" s="252">
        <f t="shared" si="616"/>
        <v>663100</v>
      </c>
    </row>
    <row r="458" spans="1:29" s="204" customFormat="1" ht="16.5" hidden="1" customHeight="1">
      <c r="A458" s="319"/>
      <c r="B458" s="211"/>
      <c r="C458" s="212"/>
      <c r="D458" s="212"/>
      <c r="E458" s="219" t="s">
        <v>55</v>
      </c>
      <c r="F458" s="221">
        <f t="shared" si="617"/>
        <v>1948000</v>
      </c>
      <c r="G458" s="221"/>
      <c r="H458" s="221"/>
      <c r="I458" s="222"/>
      <c r="J458" s="221"/>
      <c r="K458" s="221"/>
      <c r="L458" s="221"/>
      <c r="M458" s="221"/>
      <c r="N458" s="221"/>
      <c r="O458" s="221"/>
      <c r="P458" s="221"/>
      <c r="Q458" s="221">
        <f t="shared" si="618"/>
        <v>13980</v>
      </c>
      <c r="R458" s="221">
        <f t="shared" si="619"/>
        <v>559200</v>
      </c>
      <c r="S458" s="221"/>
      <c r="T458" s="222"/>
      <c r="U458" s="214">
        <f t="shared" si="610"/>
        <v>2507200</v>
      </c>
      <c r="V458" s="250"/>
      <c r="W458" s="224">
        <f t="shared" si="620"/>
        <v>208940</v>
      </c>
      <c r="X458" s="225">
        <f t="shared" si="611"/>
        <v>112820</v>
      </c>
      <c r="Y458" s="225">
        <f t="shared" si="560"/>
        <v>80990</v>
      </c>
      <c r="Z458" s="225">
        <f t="shared" si="561"/>
        <v>6900</v>
      </c>
      <c r="AA458" s="225">
        <f t="shared" si="614"/>
        <v>22560</v>
      </c>
      <c r="AB458" s="225">
        <f t="shared" si="615"/>
        <v>20060</v>
      </c>
      <c r="AC458" s="252">
        <f t="shared" si="616"/>
        <v>452270</v>
      </c>
    </row>
    <row r="459" spans="1:29" s="204" customFormat="1" ht="16.5" hidden="1" customHeight="1">
      <c r="A459" s="319"/>
      <c r="B459" s="211"/>
      <c r="C459" s="310">
        <f>C449+1</f>
        <v>5</v>
      </c>
      <c r="D459" s="310"/>
      <c r="E459" s="311" t="s">
        <v>561</v>
      </c>
      <c r="F459" s="312">
        <v>2007000</v>
      </c>
      <c r="G459" s="221"/>
      <c r="H459" s="221"/>
      <c r="I459" s="222"/>
      <c r="J459" s="221"/>
      <c r="K459" s="221"/>
      <c r="L459" s="221"/>
      <c r="M459" s="221"/>
      <c r="N459" s="221"/>
      <c r="O459" s="221"/>
      <c r="P459" s="221"/>
      <c r="Q459" s="221">
        <f t="shared" si="618"/>
        <v>13980</v>
      </c>
      <c r="R459" s="221">
        <f t="shared" si="619"/>
        <v>559200</v>
      </c>
      <c r="S459" s="221"/>
      <c r="T459" s="222"/>
      <c r="U459" s="214">
        <f t="shared" si="610"/>
        <v>2566200</v>
      </c>
      <c r="V459" s="250"/>
      <c r="W459" s="224">
        <f t="shared" si="620"/>
        <v>213850</v>
      </c>
      <c r="X459" s="225">
        <f t="shared" si="611"/>
        <v>115480</v>
      </c>
      <c r="Y459" s="225">
        <f t="shared" si="560"/>
        <v>82890</v>
      </c>
      <c r="Z459" s="225">
        <f t="shared" si="561"/>
        <v>7060</v>
      </c>
      <c r="AA459" s="225">
        <f t="shared" si="614"/>
        <v>23100</v>
      </c>
      <c r="AB459" s="225">
        <f t="shared" si="615"/>
        <v>20530</v>
      </c>
      <c r="AC459" s="252">
        <f t="shared" si="616"/>
        <v>462910</v>
      </c>
    </row>
    <row r="460" spans="1:29" s="204" customFormat="1" ht="16.5" hidden="1" customHeight="1">
      <c r="A460" s="319"/>
      <c r="B460" s="211"/>
      <c r="C460" s="212"/>
      <c r="D460" s="212"/>
      <c r="E460" s="219" t="s">
        <v>395</v>
      </c>
      <c r="F460" s="221">
        <f t="shared" si="617"/>
        <v>2007000</v>
      </c>
      <c r="G460" s="221"/>
      <c r="H460" s="221"/>
      <c r="I460" s="222"/>
      <c r="J460" s="221"/>
      <c r="K460" s="221"/>
      <c r="L460" s="221"/>
      <c r="M460" s="221"/>
      <c r="N460" s="221"/>
      <c r="O460" s="221"/>
      <c r="P460" s="221"/>
      <c r="Q460" s="221">
        <f t="shared" si="618"/>
        <v>14400</v>
      </c>
      <c r="R460" s="221">
        <f>Q460*40*2</f>
        <v>1152000</v>
      </c>
      <c r="S460" s="221"/>
      <c r="T460" s="222"/>
      <c r="U460" s="214">
        <f t="shared" si="610"/>
        <v>3159000</v>
      </c>
      <c r="V460" s="250"/>
      <c r="W460" s="224">
        <f t="shared" si="620"/>
        <v>263250</v>
      </c>
      <c r="X460" s="225">
        <f t="shared" si="611"/>
        <v>142160</v>
      </c>
      <c r="Y460" s="225">
        <f t="shared" si="560"/>
        <v>102040</v>
      </c>
      <c r="Z460" s="225">
        <f t="shared" si="561"/>
        <v>8690</v>
      </c>
      <c r="AA460" s="225">
        <f t="shared" si="614"/>
        <v>28430</v>
      </c>
      <c r="AB460" s="225">
        <f t="shared" si="615"/>
        <v>25270</v>
      </c>
      <c r="AC460" s="252">
        <f t="shared" si="616"/>
        <v>569840</v>
      </c>
    </row>
    <row r="461" spans="1:29" s="204" customFormat="1" ht="16.5" hidden="1" customHeight="1">
      <c r="A461" s="319">
        <v>36</v>
      </c>
      <c r="B461" s="211" t="s">
        <v>87</v>
      </c>
      <c r="C461" s="212" t="s">
        <v>525</v>
      </c>
      <c r="D461" s="212">
        <v>1</v>
      </c>
      <c r="E461" s="213" t="s">
        <v>86</v>
      </c>
      <c r="F461" s="214">
        <f t="shared" ref="F461:N461" si="622">SUM(F462:F473)</f>
        <v>23494000</v>
      </c>
      <c r="G461" s="214">
        <f t="shared" si="622"/>
        <v>0</v>
      </c>
      <c r="H461" s="214">
        <f t="shared" si="622"/>
        <v>0</v>
      </c>
      <c r="I461" s="214">
        <f t="shared" si="622"/>
        <v>0</v>
      </c>
      <c r="J461" s="214">
        <f t="shared" si="622"/>
        <v>0</v>
      </c>
      <c r="K461" s="214">
        <f t="shared" si="622"/>
        <v>0</v>
      </c>
      <c r="L461" s="214">
        <f t="shared" si="622"/>
        <v>0</v>
      </c>
      <c r="M461" s="214">
        <f t="shared" si="622"/>
        <v>2337600</v>
      </c>
      <c r="N461" s="214">
        <f t="shared" si="622"/>
        <v>0</v>
      </c>
      <c r="O461" s="214">
        <f>SUM(O462:O473)</f>
        <v>240000</v>
      </c>
      <c r="P461" s="214">
        <f t="shared" ref="P461" si="623">SUM(P462:P473)</f>
        <v>0</v>
      </c>
      <c r="Q461" s="214"/>
      <c r="R461" s="214">
        <f t="shared" ref="R461" si="624">SUM(R462:R473)</f>
        <v>6744000</v>
      </c>
      <c r="S461" s="214">
        <f>SUM(S462:S473)</f>
        <v>0</v>
      </c>
      <c r="T461" s="214">
        <f t="shared" ref="T461:U461" si="625">SUM(T462:T473)</f>
        <v>0</v>
      </c>
      <c r="U461" s="214">
        <f t="shared" si="625"/>
        <v>32815600</v>
      </c>
      <c r="V461" s="250"/>
      <c r="W461" s="217">
        <f t="shared" ref="W461:AB461" si="626">SUM(W462:W473)</f>
        <v>2734640</v>
      </c>
      <c r="X461" s="214">
        <f t="shared" si="626"/>
        <v>1476680</v>
      </c>
      <c r="Y461" s="214">
        <f t="shared" si="626"/>
        <v>1059990</v>
      </c>
      <c r="Z461" s="214">
        <f t="shared" si="626"/>
        <v>90250</v>
      </c>
      <c r="AA461" s="214">
        <f t="shared" si="626"/>
        <v>295300</v>
      </c>
      <c r="AB461" s="214">
        <f t="shared" si="626"/>
        <v>262540</v>
      </c>
      <c r="AC461" s="266">
        <f>SUM(AC462:AC473)</f>
        <v>5919400</v>
      </c>
    </row>
    <row r="462" spans="1:29" s="204" customFormat="1" ht="16.5" hidden="1" customHeight="1">
      <c r="A462" s="319"/>
      <c r="B462" s="211" t="s">
        <v>895</v>
      </c>
      <c r="C462" s="310">
        <v>4</v>
      </c>
      <c r="D462" s="310"/>
      <c r="E462" s="311" t="s">
        <v>389</v>
      </c>
      <c r="F462" s="312">
        <v>1948000</v>
      </c>
      <c r="G462" s="221"/>
      <c r="H462" s="220"/>
      <c r="I462" s="222"/>
      <c r="J462" s="221"/>
      <c r="K462" s="221"/>
      <c r="L462" s="221"/>
      <c r="M462" s="221" t="s">
        <v>60</v>
      </c>
      <c r="N462" s="221"/>
      <c r="O462" s="221">
        <v>20000</v>
      </c>
      <c r="P462" s="221"/>
      <c r="Q462" s="221"/>
      <c r="R462" s="221"/>
      <c r="S462" s="221"/>
      <c r="T462" s="222"/>
      <c r="U462" s="214">
        <f t="shared" ref="U462:U473" si="627">SUM(F462,M462,O462,R462,T462,S462)</f>
        <v>1968000</v>
      </c>
      <c r="V462" s="250"/>
      <c r="W462" s="224">
        <f>ROUNDUP(U462*1/12,-1)</f>
        <v>164000</v>
      </c>
      <c r="X462" s="225">
        <f t="shared" ref="X462:X473" si="628">ROUND(U462*4.5%,-1)</f>
        <v>88560</v>
      </c>
      <c r="Y462" s="225">
        <f t="shared" ref="Y462" si="629">ROUNDUP((U462-L462)*3.23%,-1)</f>
        <v>63570</v>
      </c>
      <c r="Z462" s="225">
        <f t="shared" ref="Z462" si="630">ROUNDUP(Y462*8.51%,-1)</f>
        <v>5410</v>
      </c>
      <c r="AA462" s="225">
        <f t="shared" ref="AA462:AA473" si="631">ROUND(U462*0.9%,-1)</f>
        <v>17710</v>
      </c>
      <c r="AB462" s="225">
        <f t="shared" ref="AB462:AB473" si="632">ROUND(U462*0.8%,-1)</f>
        <v>15740</v>
      </c>
      <c r="AC462" s="252">
        <f t="shared" ref="AC462:AC473" si="633">SUM(W462:AB462)</f>
        <v>354990</v>
      </c>
    </row>
    <row r="463" spans="1:29" s="204" customFormat="1" ht="16.5" hidden="1" customHeight="1">
      <c r="A463" s="319"/>
      <c r="B463" s="211"/>
      <c r="C463" s="212"/>
      <c r="D463" s="212"/>
      <c r="E463" s="219" t="s">
        <v>390</v>
      </c>
      <c r="F463" s="221">
        <f t="shared" ref="F463:F473" si="634">F462</f>
        <v>1948000</v>
      </c>
      <c r="G463" s="221"/>
      <c r="H463" s="221"/>
      <c r="I463" s="222"/>
      <c r="J463" s="221"/>
      <c r="K463" s="221"/>
      <c r="L463" s="221"/>
      <c r="M463" s="221">
        <f>F463*60%</f>
        <v>1168800</v>
      </c>
      <c r="N463" s="221"/>
      <c r="O463" s="221">
        <f>O462</f>
        <v>20000</v>
      </c>
      <c r="P463" s="221"/>
      <c r="Q463" s="221">
        <f t="shared" ref="Q463:Q473" si="635">ROUND((F462+T462)*1/209*1.5,-1)</f>
        <v>13980</v>
      </c>
      <c r="R463" s="221">
        <f>Q463*40</f>
        <v>559200</v>
      </c>
      <c r="S463" s="221"/>
      <c r="T463" s="222"/>
      <c r="U463" s="214">
        <f t="shared" si="627"/>
        <v>3696000</v>
      </c>
      <c r="V463" s="250"/>
      <c r="W463" s="224">
        <f>ROUNDUP((T463+U463)*1/12,-1)</f>
        <v>308000</v>
      </c>
      <c r="X463" s="225">
        <f t="shared" si="628"/>
        <v>166320</v>
      </c>
      <c r="Y463" s="225">
        <f t="shared" si="560"/>
        <v>119390</v>
      </c>
      <c r="Z463" s="225">
        <f t="shared" si="561"/>
        <v>10170</v>
      </c>
      <c r="AA463" s="225">
        <f t="shared" si="631"/>
        <v>33260</v>
      </c>
      <c r="AB463" s="225">
        <f t="shared" si="632"/>
        <v>29570</v>
      </c>
      <c r="AC463" s="252">
        <f t="shared" si="633"/>
        <v>666710</v>
      </c>
    </row>
    <row r="464" spans="1:29" s="204" customFormat="1" ht="16.5" hidden="1" customHeight="1">
      <c r="A464" s="319"/>
      <c r="B464" s="211"/>
      <c r="C464" s="212"/>
      <c r="D464" s="212"/>
      <c r="E464" s="219" t="s">
        <v>391</v>
      </c>
      <c r="F464" s="222">
        <f>F463</f>
        <v>1948000</v>
      </c>
      <c r="G464" s="221"/>
      <c r="H464" s="221"/>
      <c r="I464" s="222"/>
      <c r="J464" s="221"/>
      <c r="K464" s="221"/>
      <c r="L464" s="221"/>
      <c r="M464" s="221"/>
      <c r="N464" s="221"/>
      <c r="O464" s="221">
        <f t="shared" ref="O464:O473" si="636">O463</f>
        <v>20000</v>
      </c>
      <c r="P464" s="221"/>
      <c r="Q464" s="221">
        <f t="shared" si="635"/>
        <v>13980</v>
      </c>
      <c r="R464" s="221">
        <f t="shared" ref="R464:R472" si="637">Q464*40</f>
        <v>559200</v>
      </c>
      <c r="S464" s="221"/>
      <c r="T464" s="222"/>
      <c r="U464" s="214">
        <f t="shared" si="627"/>
        <v>2527200</v>
      </c>
      <c r="V464" s="250"/>
      <c r="W464" s="224">
        <f t="shared" ref="W464:W473" si="638">ROUNDUP(U464*1/12,-1)</f>
        <v>210600</v>
      </c>
      <c r="X464" s="225">
        <f t="shared" si="628"/>
        <v>113720</v>
      </c>
      <c r="Y464" s="225">
        <f t="shared" si="560"/>
        <v>81630</v>
      </c>
      <c r="Z464" s="225">
        <f t="shared" si="561"/>
        <v>6950</v>
      </c>
      <c r="AA464" s="225">
        <f t="shared" si="631"/>
        <v>22740</v>
      </c>
      <c r="AB464" s="225">
        <f t="shared" si="632"/>
        <v>20220</v>
      </c>
      <c r="AC464" s="252">
        <f t="shared" si="633"/>
        <v>455860</v>
      </c>
    </row>
    <row r="465" spans="1:29" s="204" customFormat="1" ht="16.5" hidden="1" customHeight="1">
      <c r="A465" s="319"/>
      <c r="B465" s="211"/>
      <c r="C465" s="212"/>
      <c r="D465" s="212"/>
      <c r="E465" s="219" t="s">
        <v>392</v>
      </c>
      <c r="F465" s="221">
        <f t="shared" si="634"/>
        <v>1948000</v>
      </c>
      <c r="G465" s="221"/>
      <c r="H465" s="221"/>
      <c r="I465" s="222"/>
      <c r="J465" s="221"/>
      <c r="K465" s="221"/>
      <c r="L465" s="221"/>
      <c r="M465" s="221"/>
      <c r="N465" s="221"/>
      <c r="O465" s="221">
        <f t="shared" si="636"/>
        <v>20000</v>
      </c>
      <c r="P465" s="221"/>
      <c r="Q465" s="221">
        <f t="shared" si="635"/>
        <v>13980</v>
      </c>
      <c r="R465" s="221">
        <f t="shared" si="637"/>
        <v>559200</v>
      </c>
      <c r="S465" s="221"/>
      <c r="T465" s="222"/>
      <c r="U465" s="214">
        <f t="shared" si="627"/>
        <v>2527200</v>
      </c>
      <c r="V465" s="250"/>
      <c r="W465" s="224">
        <f t="shared" si="638"/>
        <v>210600</v>
      </c>
      <c r="X465" s="225">
        <f t="shared" si="628"/>
        <v>113720</v>
      </c>
      <c r="Y465" s="225">
        <f t="shared" si="560"/>
        <v>81630</v>
      </c>
      <c r="Z465" s="225">
        <f t="shared" si="561"/>
        <v>6950</v>
      </c>
      <c r="AA465" s="225">
        <f t="shared" si="631"/>
        <v>22740</v>
      </c>
      <c r="AB465" s="225">
        <f t="shared" si="632"/>
        <v>20220</v>
      </c>
      <c r="AC465" s="252">
        <f t="shared" si="633"/>
        <v>455860</v>
      </c>
    </row>
    <row r="466" spans="1:29" s="204" customFormat="1" ht="16.5" hidden="1" customHeight="1">
      <c r="A466" s="319"/>
      <c r="B466" s="211"/>
      <c r="C466" s="212"/>
      <c r="D466" s="212"/>
      <c r="E466" s="219" t="s">
        <v>393</v>
      </c>
      <c r="F466" s="221">
        <f t="shared" si="634"/>
        <v>1948000</v>
      </c>
      <c r="G466" s="221"/>
      <c r="H466" s="221"/>
      <c r="I466" s="222"/>
      <c r="J466" s="221"/>
      <c r="K466" s="221"/>
      <c r="L466" s="221"/>
      <c r="M466" s="221"/>
      <c r="N466" s="221"/>
      <c r="O466" s="221">
        <f t="shared" si="636"/>
        <v>20000</v>
      </c>
      <c r="P466" s="221"/>
      <c r="Q466" s="221">
        <f t="shared" si="635"/>
        <v>13980</v>
      </c>
      <c r="R466" s="221">
        <f t="shared" si="637"/>
        <v>559200</v>
      </c>
      <c r="S466" s="221"/>
      <c r="T466" s="222"/>
      <c r="U466" s="214">
        <f t="shared" si="627"/>
        <v>2527200</v>
      </c>
      <c r="V466" s="250"/>
      <c r="W466" s="224">
        <f t="shared" si="638"/>
        <v>210600</v>
      </c>
      <c r="X466" s="225">
        <f t="shared" si="628"/>
        <v>113720</v>
      </c>
      <c r="Y466" s="225">
        <f t="shared" si="560"/>
        <v>81630</v>
      </c>
      <c r="Z466" s="225">
        <f t="shared" si="561"/>
        <v>6950</v>
      </c>
      <c r="AA466" s="225">
        <f t="shared" si="631"/>
        <v>22740</v>
      </c>
      <c r="AB466" s="225">
        <f t="shared" si="632"/>
        <v>20220</v>
      </c>
      <c r="AC466" s="252">
        <f t="shared" si="633"/>
        <v>455860</v>
      </c>
    </row>
    <row r="467" spans="1:29" s="204" customFormat="1" ht="16.5" hidden="1" customHeight="1">
      <c r="A467" s="319"/>
      <c r="B467" s="211"/>
      <c r="C467" s="212"/>
      <c r="D467" s="212"/>
      <c r="E467" s="219" t="s">
        <v>394</v>
      </c>
      <c r="F467" s="221">
        <f t="shared" si="634"/>
        <v>1948000</v>
      </c>
      <c r="G467" s="221"/>
      <c r="H467" s="221"/>
      <c r="I467" s="222"/>
      <c r="J467" s="221"/>
      <c r="K467" s="221"/>
      <c r="L467" s="221"/>
      <c r="M467" s="221"/>
      <c r="N467" s="221"/>
      <c r="O467" s="221">
        <f t="shared" si="636"/>
        <v>20000</v>
      </c>
      <c r="P467" s="221"/>
      <c r="Q467" s="221">
        <f t="shared" si="635"/>
        <v>13980</v>
      </c>
      <c r="R467" s="221">
        <f t="shared" si="637"/>
        <v>559200</v>
      </c>
      <c r="S467" s="221"/>
      <c r="T467" s="222"/>
      <c r="U467" s="214">
        <f t="shared" si="627"/>
        <v>2527200</v>
      </c>
      <c r="V467" s="250"/>
      <c r="W467" s="224">
        <f t="shared" si="638"/>
        <v>210600</v>
      </c>
      <c r="X467" s="225">
        <f t="shared" si="628"/>
        <v>113720</v>
      </c>
      <c r="Y467" s="225">
        <f t="shared" si="560"/>
        <v>81630</v>
      </c>
      <c r="Z467" s="225">
        <f t="shared" si="561"/>
        <v>6950</v>
      </c>
      <c r="AA467" s="225">
        <f t="shared" si="631"/>
        <v>22740</v>
      </c>
      <c r="AB467" s="225">
        <f t="shared" si="632"/>
        <v>20220</v>
      </c>
      <c r="AC467" s="252">
        <f t="shared" si="633"/>
        <v>455860</v>
      </c>
    </row>
    <row r="468" spans="1:29" s="204" customFormat="1" ht="16.5" hidden="1" customHeight="1">
      <c r="A468" s="319"/>
      <c r="B468" s="211"/>
      <c r="C468" s="212"/>
      <c r="D468" s="212"/>
      <c r="E468" s="219" t="s">
        <v>279</v>
      </c>
      <c r="F468" s="221">
        <f t="shared" si="634"/>
        <v>1948000</v>
      </c>
      <c r="G468" s="221"/>
      <c r="H468" s="220"/>
      <c r="I468" s="222"/>
      <c r="J468" s="221"/>
      <c r="K468" s="221"/>
      <c r="L468" s="221"/>
      <c r="M468" s="221"/>
      <c r="N468" s="221"/>
      <c r="O468" s="221">
        <f t="shared" si="636"/>
        <v>20000</v>
      </c>
      <c r="P468" s="221"/>
      <c r="Q468" s="221">
        <f t="shared" si="635"/>
        <v>13980</v>
      </c>
      <c r="R468" s="221">
        <f t="shared" si="637"/>
        <v>559200</v>
      </c>
      <c r="S468" s="221"/>
      <c r="T468" s="222"/>
      <c r="U468" s="214">
        <f t="shared" si="627"/>
        <v>2527200</v>
      </c>
      <c r="V468" s="250"/>
      <c r="W468" s="224">
        <f t="shared" si="638"/>
        <v>210600</v>
      </c>
      <c r="X468" s="225">
        <f t="shared" si="628"/>
        <v>113720</v>
      </c>
      <c r="Y468" s="225">
        <f t="shared" si="560"/>
        <v>81630</v>
      </c>
      <c r="Z468" s="225">
        <f t="shared" si="561"/>
        <v>6950</v>
      </c>
      <c r="AA468" s="225">
        <f t="shared" si="631"/>
        <v>22740</v>
      </c>
      <c r="AB468" s="225">
        <f t="shared" si="632"/>
        <v>20220</v>
      </c>
      <c r="AC468" s="252">
        <f t="shared" si="633"/>
        <v>455860</v>
      </c>
    </row>
    <row r="469" spans="1:29" s="204" customFormat="1" ht="16.5" hidden="1" customHeight="1">
      <c r="A469" s="319"/>
      <c r="B469" s="211"/>
      <c r="C469" s="212"/>
      <c r="D469" s="212"/>
      <c r="E469" s="219" t="s">
        <v>280</v>
      </c>
      <c r="F469" s="221">
        <f t="shared" si="634"/>
        <v>1948000</v>
      </c>
      <c r="G469" s="221"/>
      <c r="H469" s="221"/>
      <c r="I469" s="222"/>
      <c r="J469" s="221"/>
      <c r="K469" s="221"/>
      <c r="L469" s="221"/>
      <c r="M469" s="221"/>
      <c r="N469" s="221"/>
      <c r="O469" s="221">
        <f t="shared" si="636"/>
        <v>20000</v>
      </c>
      <c r="P469" s="221"/>
      <c r="Q469" s="221">
        <f t="shared" si="635"/>
        <v>13980</v>
      </c>
      <c r="R469" s="221">
        <f t="shared" si="637"/>
        <v>559200</v>
      </c>
      <c r="S469" s="221"/>
      <c r="T469" s="222"/>
      <c r="U469" s="214">
        <f t="shared" si="627"/>
        <v>2527200</v>
      </c>
      <c r="V469" s="250"/>
      <c r="W469" s="224">
        <f t="shared" si="638"/>
        <v>210600</v>
      </c>
      <c r="X469" s="225">
        <f t="shared" si="628"/>
        <v>113720</v>
      </c>
      <c r="Y469" s="225">
        <f t="shared" si="560"/>
        <v>81630</v>
      </c>
      <c r="Z469" s="225">
        <f t="shared" si="561"/>
        <v>6950</v>
      </c>
      <c r="AA469" s="225">
        <f t="shared" si="631"/>
        <v>22740</v>
      </c>
      <c r="AB469" s="225">
        <f t="shared" si="632"/>
        <v>20220</v>
      </c>
      <c r="AC469" s="252">
        <f t="shared" si="633"/>
        <v>455860</v>
      </c>
    </row>
    <row r="470" spans="1:29" s="204" customFormat="1" ht="16.5" hidden="1" customHeight="1">
      <c r="A470" s="319"/>
      <c r="B470" s="211"/>
      <c r="C470" s="212"/>
      <c r="D470" s="212"/>
      <c r="E470" s="219" t="s">
        <v>54</v>
      </c>
      <c r="F470" s="221">
        <f t="shared" si="634"/>
        <v>1948000</v>
      </c>
      <c r="G470" s="221"/>
      <c r="H470" s="221"/>
      <c r="I470" s="222"/>
      <c r="J470" s="221"/>
      <c r="K470" s="221"/>
      <c r="L470" s="221"/>
      <c r="M470" s="221">
        <f t="shared" ref="M470" si="639">F470*60%</f>
        <v>1168800</v>
      </c>
      <c r="N470" s="221"/>
      <c r="O470" s="221">
        <f t="shared" si="636"/>
        <v>20000</v>
      </c>
      <c r="P470" s="221"/>
      <c r="Q470" s="221">
        <f t="shared" si="635"/>
        <v>13980</v>
      </c>
      <c r="R470" s="221">
        <f t="shared" si="637"/>
        <v>559200</v>
      </c>
      <c r="S470" s="221"/>
      <c r="T470" s="222"/>
      <c r="U470" s="214">
        <f t="shared" si="627"/>
        <v>3696000</v>
      </c>
      <c r="V470" s="250"/>
      <c r="W470" s="224">
        <f t="shared" si="638"/>
        <v>308000</v>
      </c>
      <c r="X470" s="225">
        <f t="shared" si="628"/>
        <v>166320</v>
      </c>
      <c r="Y470" s="225">
        <f t="shared" si="560"/>
        <v>119390</v>
      </c>
      <c r="Z470" s="225">
        <f t="shared" si="561"/>
        <v>10170</v>
      </c>
      <c r="AA470" s="225">
        <f t="shared" si="631"/>
        <v>33260</v>
      </c>
      <c r="AB470" s="225">
        <f t="shared" si="632"/>
        <v>29570</v>
      </c>
      <c r="AC470" s="252">
        <f t="shared" si="633"/>
        <v>666710</v>
      </c>
    </row>
    <row r="471" spans="1:29" s="204" customFormat="1" ht="16.5" hidden="1" customHeight="1">
      <c r="A471" s="319"/>
      <c r="B471" s="211"/>
      <c r="C471" s="212"/>
      <c r="D471" s="212"/>
      <c r="E471" s="219" t="s">
        <v>55</v>
      </c>
      <c r="F471" s="221">
        <f t="shared" si="634"/>
        <v>1948000</v>
      </c>
      <c r="G471" s="221"/>
      <c r="H471" s="221"/>
      <c r="I471" s="222"/>
      <c r="J471" s="221"/>
      <c r="K471" s="221"/>
      <c r="L471" s="221"/>
      <c r="M471" s="221"/>
      <c r="N471" s="221"/>
      <c r="O471" s="221">
        <f t="shared" si="636"/>
        <v>20000</v>
      </c>
      <c r="P471" s="221"/>
      <c r="Q471" s="221">
        <f t="shared" si="635"/>
        <v>13980</v>
      </c>
      <c r="R471" s="221">
        <f t="shared" si="637"/>
        <v>559200</v>
      </c>
      <c r="S471" s="221"/>
      <c r="T471" s="222"/>
      <c r="U471" s="214">
        <f t="shared" si="627"/>
        <v>2527200</v>
      </c>
      <c r="V471" s="250"/>
      <c r="W471" s="224">
        <f t="shared" si="638"/>
        <v>210600</v>
      </c>
      <c r="X471" s="225">
        <f t="shared" si="628"/>
        <v>113720</v>
      </c>
      <c r="Y471" s="225">
        <f t="shared" si="560"/>
        <v>81630</v>
      </c>
      <c r="Z471" s="225">
        <f t="shared" si="561"/>
        <v>6950</v>
      </c>
      <c r="AA471" s="225">
        <f t="shared" si="631"/>
        <v>22740</v>
      </c>
      <c r="AB471" s="225">
        <f t="shared" si="632"/>
        <v>20220</v>
      </c>
      <c r="AC471" s="252">
        <f t="shared" si="633"/>
        <v>455860</v>
      </c>
    </row>
    <row r="472" spans="1:29" s="204" customFormat="1" ht="16.5" hidden="1" customHeight="1">
      <c r="A472" s="319"/>
      <c r="B472" s="211"/>
      <c r="C472" s="310">
        <f>C462+1</f>
        <v>5</v>
      </c>
      <c r="D472" s="310"/>
      <c r="E472" s="311" t="s">
        <v>561</v>
      </c>
      <c r="F472" s="312">
        <v>2007000</v>
      </c>
      <c r="G472" s="221"/>
      <c r="H472" s="221"/>
      <c r="I472" s="222"/>
      <c r="J472" s="221"/>
      <c r="K472" s="221"/>
      <c r="L472" s="221"/>
      <c r="M472" s="221"/>
      <c r="N472" s="221"/>
      <c r="O472" s="221">
        <f t="shared" si="636"/>
        <v>20000</v>
      </c>
      <c r="P472" s="221"/>
      <c r="Q472" s="221">
        <f t="shared" si="635"/>
        <v>13980</v>
      </c>
      <c r="R472" s="221">
        <f t="shared" si="637"/>
        <v>559200</v>
      </c>
      <c r="S472" s="221"/>
      <c r="T472" s="222"/>
      <c r="U472" s="214">
        <f t="shared" si="627"/>
        <v>2586200</v>
      </c>
      <c r="V472" s="250"/>
      <c r="W472" s="224">
        <f t="shared" si="638"/>
        <v>215520</v>
      </c>
      <c r="X472" s="225">
        <f t="shared" si="628"/>
        <v>116380</v>
      </c>
      <c r="Y472" s="225">
        <f t="shared" si="560"/>
        <v>83540</v>
      </c>
      <c r="Z472" s="225">
        <f t="shared" si="561"/>
        <v>7110</v>
      </c>
      <c r="AA472" s="225">
        <f t="shared" si="631"/>
        <v>23280</v>
      </c>
      <c r="AB472" s="225">
        <f t="shared" si="632"/>
        <v>20690</v>
      </c>
      <c r="AC472" s="252">
        <f t="shared" si="633"/>
        <v>466520</v>
      </c>
    </row>
    <row r="473" spans="1:29" s="204" customFormat="1" ht="16.5" hidden="1" customHeight="1">
      <c r="A473" s="319"/>
      <c r="B473" s="211"/>
      <c r="C473" s="212"/>
      <c r="D473" s="212"/>
      <c r="E473" s="219" t="s">
        <v>395</v>
      </c>
      <c r="F473" s="221">
        <f t="shared" si="634"/>
        <v>2007000</v>
      </c>
      <c r="G473" s="221"/>
      <c r="H473" s="221"/>
      <c r="I473" s="222"/>
      <c r="J473" s="221"/>
      <c r="K473" s="221"/>
      <c r="L473" s="221"/>
      <c r="M473" s="221"/>
      <c r="N473" s="221"/>
      <c r="O473" s="221">
        <f t="shared" si="636"/>
        <v>20000</v>
      </c>
      <c r="P473" s="221"/>
      <c r="Q473" s="221">
        <f t="shared" si="635"/>
        <v>14400</v>
      </c>
      <c r="R473" s="221">
        <f>Q473*40*2</f>
        <v>1152000</v>
      </c>
      <c r="S473" s="221"/>
      <c r="T473" s="222"/>
      <c r="U473" s="214">
        <f t="shared" si="627"/>
        <v>3179000</v>
      </c>
      <c r="V473" s="250"/>
      <c r="W473" s="224">
        <f t="shared" si="638"/>
        <v>264920</v>
      </c>
      <c r="X473" s="225">
        <f t="shared" si="628"/>
        <v>143060</v>
      </c>
      <c r="Y473" s="225">
        <f t="shared" si="560"/>
        <v>102690</v>
      </c>
      <c r="Z473" s="225">
        <f t="shared" si="561"/>
        <v>8740</v>
      </c>
      <c r="AA473" s="225">
        <f t="shared" si="631"/>
        <v>28610</v>
      </c>
      <c r="AB473" s="225">
        <f t="shared" si="632"/>
        <v>25430</v>
      </c>
      <c r="AC473" s="252">
        <f t="shared" si="633"/>
        <v>573450</v>
      </c>
    </row>
    <row r="474" spans="1:29" s="204" customFormat="1" ht="16.5" hidden="1" customHeight="1">
      <c r="A474" s="319">
        <v>37</v>
      </c>
      <c r="B474" s="211" t="s">
        <v>87</v>
      </c>
      <c r="C474" s="212">
        <v>6</v>
      </c>
      <c r="D474" s="212">
        <v>1</v>
      </c>
      <c r="E474" s="213" t="s">
        <v>86</v>
      </c>
      <c r="F474" s="214">
        <f t="shared" ref="F474:N474" si="640">SUM(F475:F486)</f>
        <v>24816000</v>
      </c>
      <c r="G474" s="214">
        <f t="shared" si="640"/>
        <v>0</v>
      </c>
      <c r="H474" s="214">
        <f t="shared" si="640"/>
        <v>0</v>
      </c>
      <c r="I474" s="214">
        <f t="shared" si="640"/>
        <v>0</v>
      </c>
      <c r="J474" s="214">
        <f t="shared" si="640"/>
        <v>0</v>
      </c>
      <c r="K474" s="214">
        <f t="shared" si="640"/>
        <v>0</v>
      </c>
      <c r="L474" s="214">
        <f t="shared" si="640"/>
        <v>0</v>
      </c>
      <c r="M474" s="214">
        <f t="shared" si="640"/>
        <v>2481600</v>
      </c>
      <c r="N474" s="214">
        <f t="shared" si="640"/>
        <v>0</v>
      </c>
      <c r="O474" s="214">
        <f>SUM(O475:O486)</f>
        <v>480000</v>
      </c>
      <c r="P474" s="214">
        <f t="shared" ref="P474" si="641">SUM(P475:P486)</f>
        <v>0</v>
      </c>
      <c r="Q474" s="214"/>
      <c r="R474" s="214">
        <f t="shared" ref="R474" si="642">SUM(R475:R486)</f>
        <v>7123200</v>
      </c>
      <c r="S474" s="214">
        <f>SUM(S475:S486)</f>
        <v>0</v>
      </c>
      <c r="T474" s="214">
        <f t="shared" ref="T474:U474" si="643">SUM(T475:T486)</f>
        <v>0</v>
      </c>
      <c r="U474" s="214">
        <f t="shared" si="643"/>
        <v>34900800</v>
      </c>
      <c r="V474" s="250"/>
      <c r="W474" s="217">
        <f t="shared" ref="W474:AB474" si="644">SUM(W475:W486)</f>
        <v>2908470</v>
      </c>
      <c r="X474" s="214">
        <f t="shared" si="644"/>
        <v>1570520</v>
      </c>
      <c r="Y474" s="214">
        <f t="shared" si="644"/>
        <v>1127370</v>
      </c>
      <c r="Z474" s="214">
        <f t="shared" si="644"/>
        <v>95980</v>
      </c>
      <c r="AA474" s="214">
        <f t="shared" si="644"/>
        <v>314070</v>
      </c>
      <c r="AB474" s="214">
        <f t="shared" si="644"/>
        <v>279180</v>
      </c>
      <c r="AC474" s="266">
        <f>SUM(AC475:AC486)</f>
        <v>6295590</v>
      </c>
    </row>
    <row r="475" spans="1:29" s="204" customFormat="1" ht="16.5" hidden="1" customHeight="1">
      <c r="A475" s="319"/>
      <c r="B475" s="211" t="s">
        <v>901</v>
      </c>
      <c r="C475" s="310">
        <v>6</v>
      </c>
      <c r="D475" s="310"/>
      <c r="E475" s="311" t="s">
        <v>389</v>
      </c>
      <c r="F475" s="312">
        <v>2068000</v>
      </c>
      <c r="G475" s="221"/>
      <c r="H475" s="220"/>
      <c r="I475" s="222"/>
      <c r="J475" s="221"/>
      <c r="K475" s="221"/>
      <c r="L475" s="221"/>
      <c r="M475" s="221" t="s">
        <v>60</v>
      </c>
      <c r="N475" s="221"/>
      <c r="O475" s="221">
        <v>40000</v>
      </c>
      <c r="P475" s="221"/>
      <c r="Q475" s="221"/>
      <c r="R475" s="221"/>
      <c r="S475" s="221"/>
      <c r="T475" s="222"/>
      <c r="U475" s="214">
        <f t="shared" ref="U475:U486" si="645">SUM(F475,M475,O475,R475,T475,S475)</f>
        <v>2108000</v>
      </c>
      <c r="V475" s="250"/>
      <c r="W475" s="224">
        <f>ROUNDUP(U475*1/12,-1)</f>
        <v>175670</v>
      </c>
      <c r="X475" s="225">
        <f t="shared" ref="X475:X486" si="646">ROUND(U475*4.5%,-1)</f>
        <v>94860</v>
      </c>
      <c r="Y475" s="225">
        <f t="shared" ref="Y475:Y538" si="647">ROUNDUP((U475-L475)*3.23%,-1)</f>
        <v>68090</v>
      </c>
      <c r="Z475" s="225">
        <f t="shared" ref="Z475:Z538" si="648">ROUNDUP(Y475*8.51%,-1)</f>
        <v>5800</v>
      </c>
      <c r="AA475" s="225">
        <f t="shared" ref="AA475:AA486" si="649">ROUND(U475*0.9%,-1)</f>
        <v>18970</v>
      </c>
      <c r="AB475" s="225">
        <f t="shared" ref="AB475:AB486" si="650">ROUND(U475*0.8%,-1)</f>
        <v>16860</v>
      </c>
      <c r="AC475" s="252">
        <f t="shared" ref="AC475:AC486" si="651">SUM(W475:AB475)</f>
        <v>380250</v>
      </c>
    </row>
    <row r="476" spans="1:29" s="204" customFormat="1" ht="16.5" hidden="1" customHeight="1">
      <c r="A476" s="319"/>
      <c r="B476" s="211"/>
      <c r="C476" s="212"/>
      <c r="D476" s="212"/>
      <c r="E476" s="219" t="s">
        <v>390</v>
      </c>
      <c r="F476" s="221">
        <f t="shared" ref="F476" si="652">F475</f>
        <v>2068000</v>
      </c>
      <c r="G476" s="221"/>
      <c r="H476" s="221"/>
      <c r="I476" s="222"/>
      <c r="J476" s="221"/>
      <c r="K476" s="221"/>
      <c r="L476" s="221"/>
      <c r="M476" s="221">
        <f>F476*60%</f>
        <v>1240800</v>
      </c>
      <c r="N476" s="221"/>
      <c r="O476" s="221">
        <f>O475</f>
        <v>40000</v>
      </c>
      <c r="P476" s="221"/>
      <c r="Q476" s="221">
        <f t="shared" ref="Q476:Q486" si="653">ROUND((F475+T475)*1/209*1.5,-1)</f>
        <v>14840</v>
      </c>
      <c r="R476" s="221">
        <f>Q476*40</f>
        <v>593600</v>
      </c>
      <c r="S476" s="221"/>
      <c r="T476" s="222"/>
      <c r="U476" s="214">
        <f t="shared" si="645"/>
        <v>3942400</v>
      </c>
      <c r="V476" s="250"/>
      <c r="W476" s="224">
        <f>ROUNDUP((T476+U476)*1/12,-1)</f>
        <v>328540</v>
      </c>
      <c r="X476" s="225">
        <f t="shared" si="646"/>
        <v>177410</v>
      </c>
      <c r="Y476" s="225">
        <f t="shared" si="647"/>
        <v>127340</v>
      </c>
      <c r="Z476" s="225">
        <f t="shared" si="648"/>
        <v>10840</v>
      </c>
      <c r="AA476" s="225">
        <f t="shared" si="649"/>
        <v>35480</v>
      </c>
      <c r="AB476" s="225">
        <f t="shared" si="650"/>
        <v>31540</v>
      </c>
      <c r="AC476" s="252">
        <f t="shared" si="651"/>
        <v>711150</v>
      </c>
    </row>
    <row r="477" spans="1:29" s="204" customFormat="1" ht="16.5" hidden="1" customHeight="1">
      <c r="A477" s="319"/>
      <c r="B477" s="211"/>
      <c r="C477" s="212"/>
      <c r="D477" s="212"/>
      <c r="E477" s="219" t="s">
        <v>391</v>
      </c>
      <c r="F477" s="222">
        <f>F476</f>
        <v>2068000</v>
      </c>
      <c r="G477" s="221"/>
      <c r="H477" s="221"/>
      <c r="I477" s="222"/>
      <c r="J477" s="221"/>
      <c r="K477" s="221"/>
      <c r="L477" s="221"/>
      <c r="M477" s="221"/>
      <c r="N477" s="221"/>
      <c r="O477" s="221">
        <f>O476</f>
        <v>40000</v>
      </c>
      <c r="P477" s="221"/>
      <c r="Q477" s="221">
        <f t="shared" si="653"/>
        <v>14840</v>
      </c>
      <c r="R477" s="221">
        <f t="shared" ref="R477:R485" si="654">Q477*40</f>
        <v>593600</v>
      </c>
      <c r="S477" s="221"/>
      <c r="T477" s="222"/>
      <c r="U477" s="214">
        <f t="shared" si="645"/>
        <v>2701600</v>
      </c>
      <c r="V477" s="250"/>
      <c r="W477" s="224">
        <f t="shared" ref="W477:W486" si="655">ROUNDUP(U477*1/12,-1)</f>
        <v>225140</v>
      </c>
      <c r="X477" s="225">
        <f t="shared" si="646"/>
        <v>121570</v>
      </c>
      <c r="Y477" s="225">
        <f t="shared" si="647"/>
        <v>87270</v>
      </c>
      <c r="Z477" s="225">
        <f t="shared" si="648"/>
        <v>7430</v>
      </c>
      <c r="AA477" s="225">
        <f t="shared" si="649"/>
        <v>24310</v>
      </c>
      <c r="AB477" s="225">
        <f t="shared" si="650"/>
        <v>21610</v>
      </c>
      <c r="AC477" s="252">
        <f t="shared" si="651"/>
        <v>487330</v>
      </c>
    </row>
    <row r="478" spans="1:29" s="204" customFormat="1" ht="16.5" hidden="1" customHeight="1">
      <c r="A478" s="319"/>
      <c r="B478" s="212"/>
      <c r="C478" s="212"/>
      <c r="D478" s="212"/>
      <c r="E478" s="219" t="s">
        <v>392</v>
      </c>
      <c r="F478" s="222">
        <f>F477</f>
        <v>2068000</v>
      </c>
      <c r="G478" s="221"/>
      <c r="H478" s="221"/>
      <c r="I478" s="222"/>
      <c r="J478" s="221"/>
      <c r="K478" s="221"/>
      <c r="L478" s="221"/>
      <c r="M478" s="221"/>
      <c r="N478" s="221"/>
      <c r="O478" s="221">
        <v>40000</v>
      </c>
      <c r="P478" s="221"/>
      <c r="Q478" s="221">
        <f t="shared" si="653"/>
        <v>14840</v>
      </c>
      <c r="R478" s="221">
        <f t="shared" si="654"/>
        <v>593600</v>
      </c>
      <c r="S478" s="221"/>
      <c r="T478" s="222"/>
      <c r="U478" s="214">
        <f t="shared" si="645"/>
        <v>2701600</v>
      </c>
      <c r="V478" s="250"/>
      <c r="W478" s="224">
        <f t="shared" si="655"/>
        <v>225140</v>
      </c>
      <c r="X478" s="225">
        <f t="shared" si="646"/>
        <v>121570</v>
      </c>
      <c r="Y478" s="225">
        <f t="shared" si="647"/>
        <v>87270</v>
      </c>
      <c r="Z478" s="225">
        <f t="shared" si="648"/>
        <v>7430</v>
      </c>
      <c r="AA478" s="225">
        <f t="shared" si="649"/>
        <v>24310</v>
      </c>
      <c r="AB478" s="225">
        <f t="shared" si="650"/>
        <v>21610</v>
      </c>
      <c r="AC478" s="252">
        <f t="shared" si="651"/>
        <v>487330</v>
      </c>
    </row>
    <row r="479" spans="1:29" s="204" customFormat="1" ht="16.5" hidden="1" customHeight="1">
      <c r="A479" s="319"/>
      <c r="B479" s="211"/>
      <c r="C479" s="212"/>
      <c r="D479" s="212"/>
      <c r="E479" s="219" t="s">
        <v>393</v>
      </c>
      <c r="F479" s="221">
        <f>F478</f>
        <v>2068000</v>
      </c>
      <c r="G479" s="221"/>
      <c r="H479" s="221"/>
      <c r="I479" s="222"/>
      <c r="J479" s="221"/>
      <c r="K479" s="221"/>
      <c r="L479" s="221"/>
      <c r="M479" s="221"/>
      <c r="N479" s="221"/>
      <c r="O479" s="221">
        <f>O478</f>
        <v>40000</v>
      </c>
      <c r="P479" s="221"/>
      <c r="Q479" s="221">
        <f t="shared" si="653"/>
        <v>14840</v>
      </c>
      <c r="R479" s="221">
        <f t="shared" si="654"/>
        <v>593600</v>
      </c>
      <c r="S479" s="221"/>
      <c r="T479" s="222"/>
      <c r="U479" s="214">
        <f t="shared" si="645"/>
        <v>2701600</v>
      </c>
      <c r="V479" s="250"/>
      <c r="W479" s="224">
        <f t="shared" si="655"/>
        <v>225140</v>
      </c>
      <c r="X479" s="225">
        <f t="shared" si="646"/>
        <v>121570</v>
      </c>
      <c r="Y479" s="225">
        <f t="shared" si="647"/>
        <v>87270</v>
      </c>
      <c r="Z479" s="225">
        <f t="shared" si="648"/>
        <v>7430</v>
      </c>
      <c r="AA479" s="225">
        <f t="shared" si="649"/>
        <v>24310</v>
      </c>
      <c r="AB479" s="225">
        <f t="shared" si="650"/>
        <v>21610</v>
      </c>
      <c r="AC479" s="252">
        <f t="shared" si="651"/>
        <v>487330</v>
      </c>
    </row>
    <row r="480" spans="1:29" s="204" customFormat="1" ht="16.5" hidden="1" customHeight="1">
      <c r="A480" s="319"/>
      <c r="B480" s="211"/>
      <c r="C480" s="212"/>
      <c r="D480" s="212"/>
      <c r="E480" s="219" t="s">
        <v>394</v>
      </c>
      <c r="F480" s="221">
        <f t="shared" ref="F480:F486" si="656">F479</f>
        <v>2068000</v>
      </c>
      <c r="G480" s="221"/>
      <c r="H480" s="221"/>
      <c r="I480" s="222"/>
      <c r="J480" s="221"/>
      <c r="K480" s="221"/>
      <c r="L480" s="221"/>
      <c r="M480" s="221"/>
      <c r="N480" s="221"/>
      <c r="O480" s="221">
        <f t="shared" ref="O480:O486" si="657">O479</f>
        <v>40000</v>
      </c>
      <c r="P480" s="221"/>
      <c r="Q480" s="221">
        <f t="shared" si="653"/>
        <v>14840</v>
      </c>
      <c r="R480" s="221">
        <f t="shared" si="654"/>
        <v>593600</v>
      </c>
      <c r="S480" s="221"/>
      <c r="T480" s="222"/>
      <c r="U480" s="214">
        <f t="shared" si="645"/>
        <v>2701600</v>
      </c>
      <c r="V480" s="250"/>
      <c r="W480" s="224">
        <f t="shared" si="655"/>
        <v>225140</v>
      </c>
      <c r="X480" s="225">
        <f t="shared" si="646"/>
        <v>121570</v>
      </c>
      <c r="Y480" s="225">
        <f t="shared" si="647"/>
        <v>87270</v>
      </c>
      <c r="Z480" s="225">
        <f t="shared" si="648"/>
        <v>7430</v>
      </c>
      <c r="AA480" s="225">
        <f t="shared" si="649"/>
        <v>24310</v>
      </c>
      <c r="AB480" s="225">
        <f t="shared" si="650"/>
        <v>21610</v>
      </c>
      <c r="AC480" s="252">
        <f t="shared" si="651"/>
        <v>487330</v>
      </c>
    </row>
    <row r="481" spans="1:29" s="204" customFormat="1" ht="16.5" hidden="1" customHeight="1">
      <c r="A481" s="319"/>
      <c r="B481" s="211"/>
      <c r="C481" s="212"/>
      <c r="D481" s="212"/>
      <c r="E481" s="219" t="s">
        <v>279</v>
      </c>
      <c r="F481" s="221">
        <f t="shared" si="656"/>
        <v>2068000</v>
      </c>
      <c r="G481" s="221"/>
      <c r="H481" s="220"/>
      <c r="I481" s="222"/>
      <c r="J481" s="221"/>
      <c r="K481" s="221"/>
      <c r="L481" s="221"/>
      <c r="M481" s="221"/>
      <c r="N481" s="221"/>
      <c r="O481" s="221">
        <f t="shared" si="657"/>
        <v>40000</v>
      </c>
      <c r="P481" s="221"/>
      <c r="Q481" s="221">
        <f t="shared" si="653"/>
        <v>14840</v>
      </c>
      <c r="R481" s="221">
        <f t="shared" si="654"/>
        <v>593600</v>
      </c>
      <c r="S481" s="221"/>
      <c r="T481" s="222"/>
      <c r="U481" s="214">
        <f t="shared" si="645"/>
        <v>2701600</v>
      </c>
      <c r="V481" s="250"/>
      <c r="W481" s="224">
        <f t="shared" si="655"/>
        <v>225140</v>
      </c>
      <c r="X481" s="225">
        <f t="shared" si="646"/>
        <v>121570</v>
      </c>
      <c r="Y481" s="225">
        <f t="shared" si="647"/>
        <v>87270</v>
      </c>
      <c r="Z481" s="225">
        <f t="shared" si="648"/>
        <v>7430</v>
      </c>
      <c r="AA481" s="225">
        <f t="shared" si="649"/>
        <v>24310</v>
      </c>
      <c r="AB481" s="225">
        <f t="shared" si="650"/>
        <v>21610</v>
      </c>
      <c r="AC481" s="252">
        <f t="shared" si="651"/>
        <v>487330</v>
      </c>
    </row>
    <row r="482" spans="1:29" s="204" customFormat="1" ht="16.5" hidden="1" customHeight="1">
      <c r="A482" s="319"/>
      <c r="B482" s="211"/>
      <c r="C482" s="212"/>
      <c r="D482" s="212"/>
      <c r="E482" s="219" t="s">
        <v>280</v>
      </c>
      <c r="F482" s="221">
        <f t="shared" si="656"/>
        <v>2068000</v>
      </c>
      <c r="G482" s="221"/>
      <c r="H482" s="221"/>
      <c r="I482" s="222"/>
      <c r="J482" s="221"/>
      <c r="K482" s="221"/>
      <c r="L482" s="221"/>
      <c r="M482" s="221"/>
      <c r="N482" s="221"/>
      <c r="O482" s="221">
        <f t="shared" si="657"/>
        <v>40000</v>
      </c>
      <c r="P482" s="221"/>
      <c r="Q482" s="221">
        <f t="shared" si="653"/>
        <v>14840</v>
      </c>
      <c r="R482" s="221">
        <f t="shared" si="654"/>
        <v>593600</v>
      </c>
      <c r="S482" s="221"/>
      <c r="T482" s="222"/>
      <c r="U482" s="214">
        <f t="shared" si="645"/>
        <v>2701600</v>
      </c>
      <c r="V482" s="250"/>
      <c r="W482" s="224">
        <f t="shared" si="655"/>
        <v>225140</v>
      </c>
      <c r="X482" s="225">
        <f t="shared" si="646"/>
        <v>121570</v>
      </c>
      <c r="Y482" s="225">
        <f t="shared" si="647"/>
        <v>87270</v>
      </c>
      <c r="Z482" s="225">
        <f t="shared" si="648"/>
        <v>7430</v>
      </c>
      <c r="AA482" s="225">
        <f t="shared" si="649"/>
        <v>24310</v>
      </c>
      <c r="AB482" s="225">
        <f t="shared" si="650"/>
        <v>21610</v>
      </c>
      <c r="AC482" s="252">
        <f t="shared" si="651"/>
        <v>487330</v>
      </c>
    </row>
    <row r="483" spans="1:29" s="204" customFormat="1" ht="16.5" hidden="1" customHeight="1">
      <c r="A483" s="319"/>
      <c r="B483" s="211"/>
      <c r="C483" s="212"/>
      <c r="D483" s="212"/>
      <c r="E483" s="219" t="s">
        <v>54</v>
      </c>
      <c r="F483" s="221">
        <f t="shared" si="656"/>
        <v>2068000</v>
      </c>
      <c r="G483" s="221"/>
      <c r="H483" s="221"/>
      <c r="I483" s="222"/>
      <c r="J483" s="221"/>
      <c r="K483" s="221"/>
      <c r="L483" s="221"/>
      <c r="M483" s="221">
        <f>F483*60%</f>
        <v>1240800</v>
      </c>
      <c r="N483" s="221"/>
      <c r="O483" s="221">
        <f t="shared" si="657"/>
        <v>40000</v>
      </c>
      <c r="P483" s="221"/>
      <c r="Q483" s="221">
        <f t="shared" si="653"/>
        <v>14840</v>
      </c>
      <c r="R483" s="221">
        <f t="shared" si="654"/>
        <v>593600</v>
      </c>
      <c r="S483" s="221"/>
      <c r="T483" s="222"/>
      <c r="U483" s="214">
        <f t="shared" si="645"/>
        <v>3942400</v>
      </c>
      <c r="V483" s="250"/>
      <c r="W483" s="224">
        <f t="shared" si="655"/>
        <v>328540</v>
      </c>
      <c r="X483" s="225">
        <f t="shared" si="646"/>
        <v>177410</v>
      </c>
      <c r="Y483" s="225">
        <f t="shared" si="647"/>
        <v>127340</v>
      </c>
      <c r="Z483" s="225">
        <f t="shared" si="648"/>
        <v>10840</v>
      </c>
      <c r="AA483" s="225">
        <f t="shared" si="649"/>
        <v>35480</v>
      </c>
      <c r="AB483" s="225">
        <f t="shared" si="650"/>
        <v>31540</v>
      </c>
      <c r="AC483" s="252">
        <f t="shared" si="651"/>
        <v>711150</v>
      </c>
    </row>
    <row r="484" spans="1:29" s="204" customFormat="1" ht="16.5" hidden="1" customHeight="1">
      <c r="A484" s="319"/>
      <c r="B484" s="211"/>
      <c r="C484" s="212"/>
      <c r="D484" s="212"/>
      <c r="E484" s="219" t="s">
        <v>55</v>
      </c>
      <c r="F484" s="221">
        <f t="shared" si="656"/>
        <v>2068000</v>
      </c>
      <c r="G484" s="221"/>
      <c r="H484" s="221"/>
      <c r="I484" s="222"/>
      <c r="J484" s="221"/>
      <c r="K484" s="221"/>
      <c r="L484" s="221"/>
      <c r="M484" s="221"/>
      <c r="N484" s="221"/>
      <c r="O484" s="221">
        <f t="shared" si="657"/>
        <v>40000</v>
      </c>
      <c r="P484" s="221"/>
      <c r="Q484" s="221">
        <f t="shared" si="653"/>
        <v>14840</v>
      </c>
      <c r="R484" s="221">
        <f t="shared" si="654"/>
        <v>593600</v>
      </c>
      <c r="S484" s="221"/>
      <c r="T484" s="222"/>
      <c r="U484" s="214">
        <f t="shared" si="645"/>
        <v>2701600</v>
      </c>
      <c r="V484" s="250"/>
      <c r="W484" s="224">
        <f t="shared" si="655"/>
        <v>225140</v>
      </c>
      <c r="X484" s="225">
        <f t="shared" si="646"/>
        <v>121570</v>
      </c>
      <c r="Y484" s="225">
        <f t="shared" si="647"/>
        <v>87270</v>
      </c>
      <c r="Z484" s="225">
        <f t="shared" si="648"/>
        <v>7430</v>
      </c>
      <c r="AA484" s="225">
        <f t="shared" si="649"/>
        <v>24310</v>
      </c>
      <c r="AB484" s="225">
        <f t="shared" si="650"/>
        <v>21610</v>
      </c>
      <c r="AC484" s="252">
        <f t="shared" si="651"/>
        <v>487330</v>
      </c>
    </row>
    <row r="485" spans="1:29" s="204" customFormat="1" ht="16.5" hidden="1" customHeight="1">
      <c r="A485" s="319"/>
      <c r="B485" s="211"/>
      <c r="C485" s="212"/>
      <c r="D485" s="212"/>
      <c r="E485" s="219" t="s">
        <v>56</v>
      </c>
      <c r="F485" s="221">
        <f t="shared" si="656"/>
        <v>2068000</v>
      </c>
      <c r="G485" s="221"/>
      <c r="H485" s="221"/>
      <c r="I485" s="222"/>
      <c r="J485" s="221"/>
      <c r="K485" s="221"/>
      <c r="L485" s="221"/>
      <c r="M485" s="221"/>
      <c r="N485" s="221"/>
      <c r="O485" s="221">
        <f t="shared" si="657"/>
        <v>40000</v>
      </c>
      <c r="P485" s="221"/>
      <c r="Q485" s="221">
        <f t="shared" si="653"/>
        <v>14840</v>
      </c>
      <c r="R485" s="221">
        <f t="shared" si="654"/>
        <v>593600</v>
      </c>
      <c r="S485" s="221"/>
      <c r="T485" s="222"/>
      <c r="U485" s="214">
        <f t="shared" si="645"/>
        <v>2701600</v>
      </c>
      <c r="V485" s="250"/>
      <c r="W485" s="224">
        <f t="shared" si="655"/>
        <v>225140</v>
      </c>
      <c r="X485" s="225">
        <f t="shared" si="646"/>
        <v>121570</v>
      </c>
      <c r="Y485" s="225">
        <f t="shared" si="647"/>
        <v>87270</v>
      </c>
      <c r="Z485" s="225">
        <f t="shared" si="648"/>
        <v>7430</v>
      </c>
      <c r="AA485" s="225">
        <f t="shared" si="649"/>
        <v>24310</v>
      </c>
      <c r="AB485" s="225">
        <f t="shared" si="650"/>
        <v>21610</v>
      </c>
      <c r="AC485" s="252">
        <f t="shared" si="651"/>
        <v>487330</v>
      </c>
    </row>
    <row r="486" spans="1:29" s="204" customFormat="1" ht="16.5" hidden="1" customHeight="1">
      <c r="A486" s="319"/>
      <c r="B486" s="211"/>
      <c r="C486" s="212"/>
      <c r="D486" s="212"/>
      <c r="E486" s="219" t="s">
        <v>395</v>
      </c>
      <c r="F486" s="221">
        <f t="shared" si="656"/>
        <v>2068000</v>
      </c>
      <c r="G486" s="221"/>
      <c r="H486" s="221"/>
      <c r="I486" s="222"/>
      <c r="J486" s="221"/>
      <c r="K486" s="221"/>
      <c r="L486" s="221"/>
      <c r="M486" s="221"/>
      <c r="N486" s="221"/>
      <c r="O486" s="221">
        <f t="shared" si="657"/>
        <v>40000</v>
      </c>
      <c r="P486" s="221"/>
      <c r="Q486" s="221">
        <f t="shared" si="653"/>
        <v>14840</v>
      </c>
      <c r="R486" s="221">
        <f>Q486*40*2</f>
        <v>1187200</v>
      </c>
      <c r="S486" s="221"/>
      <c r="T486" s="222"/>
      <c r="U486" s="214">
        <f t="shared" si="645"/>
        <v>3295200</v>
      </c>
      <c r="V486" s="250"/>
      <c r="W486" s="224">
        <f t="shared" si="655"/>
        <v>274600</v>
      </c>
      <c r="X486" s="225">
        <f t="shared" si="646"/>
        <v>148280</v>
      </c>
      <c r="Y486" s="225">
        <f t="shared" si="647"/>
        <v>106440</v>
      </c>
      <c r="Z486" s="225">
        <f t="shared" si="648"/>
        <v>9060</v>
      </c>
      <c r="AA486" s="225">
        <f t="shared" si="649"/>
        <v>29660</v>
      </c>
      <c r="AB486" s="225">
        <f t="shared" si="650"/>
        <v>26360</v>
      </c>
      <c r="AC486" s="252">
        <f t="shared" si="651"/>
        <v>594400</v>
      </c>
    </row>
    <row r="487" spans="1:29" s="204" customFormat="1" ht="16.5" hidden="1" customHeight="1">
      <c r="A487" s="319">
        <v>38</v>
      </c>
      <c r="B487" s="211" t="s">
        <v>87</v>
      </c>
      <c r="C487" s="212" t="s">
        <v>282</v>
      </c>
      <c r="D487" s="212">
        <v>1</v>
      </c>
      <c r="E487" s="213" t="s">
        <v>86</v>
      </c>
      <c r="F487" s="214">
        <f t="shared" ref="F487:N487" si="658">SUM(F488:F499)</f>
        <v>23262000</v>
      </c>
      <c r="G487" s="214">
        <f t="shared" si="658"/>
        <v>0</v>
      </c>
      <c r="H487" s="214">
        <f t="shared" si="658"/>
        <v>0</v>
      </c>
      <c r="I487" s="214">
        <f t="shared" si="658"/>
        <v>0</v>
      </c>
      <c r="J487" s="214">
        <f t="shared" si="658"/>
        <v>0</v>
      </c>
      <c r="K487" s="214">
        <f t="shared" si="658"/>
        <v>0</v>
      </c>
      <c r="L487" s="214">
        <f t="shared" si="658"/>
        <v>0</v>
      </c>
      <c r="M487" s="214">
        <f t="shared" si="658"/>
        <v>2303400</v>
      </c>
      <c r="N487" s="214">
        <f t="shared" si="658"/>
        <v>0</v>
      </c>
      <c r="O487" s="214">
        <f>SUM(O488:O499)</f>
        <v>480000</v>
      </c>
      <c r="P487" s="214">
        <f t="shared" ref="P487" si="659">SUM(P488:P499)</f>
        <v>0</v>
      </c>
      <c r="Q487" s="214"/>
      <c r="R487" s="214">
        <f t="shared" ref="R487" si="660">SUM(R488:R499)</f>
        <v>6677600</v>
      </c>
      <c r="S487" s="214">
        <f>SUM(S488:S499)</f>
        <v>0</v>
      </c>
      <c r="T487" s="214">
        <f t="shared" ref="T487:U487" si="661">SUM(T488:T499)</f>
        <v>0</v>
      </c>
      <c r="U487" s="214">
        <f t="shared" si="661"/>
        <v>32723000</v>
      </c>
      <c r="V487" s="250"/>
      <c r="W487" s="217">
        <f t="shared" ref="W487:AB487" si="662">SUM(W488:W499)</f>
        <v>2726950</v>
      </c>
      <c r="X487" s="214">
        <f t="shared" si="662"/>
        <v>1472520</v>
      </c>
      <c r="Y487" s="214">
        <f t="shared" si="662"/>
        <v>1057020</v>
      </c>
      <c r="Z487" s="214">
        <f t="shared" si="662"/>
        <v>90020</v>
      </c>
      <c r="AA487" s="214">
        <f t="shared" si="662"/>
        <v>294480</v>
      </c>
      <c r="AB487" s="214">
        <f t="shared" si="662"/>
        <v>261810</v>
      </c>
      <c r="AC487" s="266">
        <f>SUM(AC488:AC499)</f>
        <v>5902800</v>
      </c>
    </row>
    <row r="488" spans="1:29" s="204" customFormat="1" ht="16.5" hidden="1" customHeight="1">
      <c r="A488" s="319"/>
      <c r="B488" s="211" t="s">
        <v>900</v>
      </c>
      <c r="C488" s="310">
        <v>3</v>
      </c>
      <c r="D488" s="310"/>
      <c r="E488" s="311" t="s">
        <v>389</v>
      </c>
      <c r="F488" s="312">
        <v>1891000</v>
      </c>
      <c r="G488" s="221"/>
      <c r="H488" s="220"/>
      <c r="I488" s="222"/>
      <c r="J488" s="221"/>
      <c r="K488" s="221"/>
      <c r="L488" s="221"/>
      <c r="M488" s="221" t="s">
        <v>60</v>
      </c>
      <c r="N488" s="221"/>
      <c r="O488" s="221">
        <v>40000</v>
      </c>
      <c r="P488" s="221"/>
      <c r="Q488" s="221"/>
      <c r="R488" s="221"/>
      <c r="S488" s="221"/>
      <c r="T488" s="222"/>
      <c r="U488" s="214">
        <f t="shared" ref="U488:U499" si="663">SUM(F488,M488,O488,R488,T488,S488)</f>
        <v>1931000</v>
      </c>
      <c r="V488" s="250"/>
      <c r="W488" s="224">
        <f>ROUNDUP(U488*1/12,-1)</f>
        <v>160920</v>
      </c>
      <c r="X488" s="225">
        <f t="shared" ref="X488:X499" si="664">ROUND(U488*4.5%,-1)</f>
        <v>86900</v>
      </c>
      <c r="Y488" s="225">
        <f t="shared" ref="Y488" si="665">ROUNDUP((U488-L488)*3.23%,-1)</f>
        <v>62380</v>
      </c>
      <c r="Z488" s="225">
        <f t="shared" ref="Z488" si="666">ROUNDUP(Y488*8.51%,-1)</f>
        <v>5310</v>
      </c>
      <c r="AA488" s="225">
        <f t="shared" ref="AA488:AA499" si="667">ROUND(U488*0.9%,-1)</f>
        <v>17380</v>
      </c>
      <c r="AB488" s="225">
        <f t="shared" ref="AB488:AB499" si="668">ROUND(U488*0.8%,-1)</f>
        <v>15450</v>
      </c>
      <c r="AC488" s="252">
        <f t="shared" ref="AC488:AC499" si="669">SUM(W488:AB488)</f>
        <v>348340</v>
      </c>
    </row>
    <row r="489" spans="1:29" s="204" customFormat="1" ht="16.5" hidden="1" customHeight="1">
      <c r="A489" s="319"/>
      <c r="B489" s="211"/>
      <c r="C489" s="212"/>
      <c r="D489" s="212"/>
      <c r="E489" s="219" t="s">
        <v>390</v>
      </c>
      <c r="F489" s="221">
        <f>F488</f>
        <v>1891000</v>
      </c>
      <c r="G489" s="221"/>
      <c r="H489" s="221"/>
      <c r="I489" s="222"/>
      <c r="J489" s="221"/>
      <c r="K489" s="221"/>
      <c r="L489" s="221"/>
      <c r="M489" s="221">
        <f>F489*60%</f>
        <v>1134600</v>
      </c>
      <c r="N489" s="221"/>
      <c r="O489" s="221">
        <f>O488</f>
        <v>40000</v>
      </c>
      <c r="P489" s="221"/>
      <c r="Q489" s="221">
        <f t="shared" ref="Q489:Q499" si="670">ROUND((F488+T488)*1/209*1.5,-1)</f>
        <v>13570</v>
      </c>
      <c r="R489" s="221">
        <f t="shared" ref="R489:R498" si="671">Q489*40</f>
        <v>542800</v>
      </c>
      <c r="S489" s="221"/>
      <c r="T489" s="222"/>
      <c r="U489" s="214">
        <f t="shared" si="663"/>
        <v>3608400</v>
      </c>
      <c r="V489" s="250"/>
      <c r="W489" s="224">
        <f>ROUNDUP((T489+U489)*1/12,-1)</f>
        <v>300700</v>
      </c>
      <c r="X489" s="225">
        <f t="shared" si="664"/>
        <v>162380</v>
      </c>
      <c r="Y489" s="225">
        <f t="shared" si="647"/>
        <v>116560</v>
      </c>
      <c r="Z489" s="225">
        <f t="shared" si="648"/>
        <v>9920</v>
      </c>
      <c r="AA489" s="225">
        <f t="shared" si="667"/>
        <v>32480</v>
      </c>
      <c r="AB489" s="225">
        <f t="shared" si="668"/>
        <v>28870</v>
      </c>
      <c r="AC489" s="252">
        <f t="shared" si="669"/>
        <v>650910</v>
      </c>
    </row>
    <row r="490" spans="1:29" s="204" customFormat="1" ht="16.5" hidden="1" customHeight="1">
      <c r="A490" s="319"/>
      <c r="B490" s="211"/>
      <c r="C490" s="310">
        <f>C488+1</f>
        <v>4</v>
      </c>
      <c r="D490" s="310"/>
      <c r="E490" s="311" t="s">
        <v>391</v>
      </c>
      <c r="F490" s="312">
        <v>1948000</v>
      </c>
      <c r="G490" s="221"/>
      <c r="H490" s="221"/>
      <c r="I490" s="222"/>
      <c r="J490" s="221"/>
      <c r="K490" s="221"/>
      <c r="L490" s="221"/>
      <c r="M490" s="221"/>
      <c r="N490" s="221"/>
      <c r="O490" s="221">
        <f t="shared" ref="O490:O499" si="672">O489</f>
        <v>40000</v>
      </c>
      <c r="P490" s="221"/>
      <c r="Q490" s="221">
        <f t="shared" si="670"/>
        <v>13570</v>
      </c>
      <c r="R490" s="221">
        <f t="shared" si="671"/>
        <v>542800</v>
      </c>
      <c r="S490" s="221"/>
      <c r="T490" s="222"/>
      <c r="U490" s="214">
        <f t="shared" si="663"/>
        <v>2530800</v>
      </c>
      <c r="V490" s="250"/>
      <c r="W490" s="224">
        <f t="shared" ref="W490:W499" si="673">ROUNDUP(U490*1/12,-1)</f>
        <v>210900</v>
      </c>
      <c r="X490" s="225">
        <f t="shared" si="664"/>
        <v>113890</v>
      </c>
      <c r="Y490" s="225">
        <f t="shared" si="647"/>
        <v>81750</v>
      </c>
      <c r="Z490" s="225">
        <f t="shared" si="648"/>
        <v>6960</v>
      </c>
      <c r="AA490" s="225">
        <f t="shared" si="667"/>
        <v>22780</v>
      </c>
      <c r="AB490" s="225">
        <f t="shared" si="668"/>
        <v>20250</v>
      </c>
      <c r="AC490" s="252">
        <f t="shared" si="669"/>
        <v>456530</v>
      </c>
    </row>
    <row r="491" spans="1:29" s="204" customFormat="1" ht="16.5" hidden="1" customHeight="1">
      <c r="A491" s="319"/>
      <c r="B491" s="211"/>
      <c r="C491" s="212"/>
      <c r="D491" s="212"/>
      <c r="E491" s="219" t="s">
        <v>392</v>
      </c>
      <c r="F491" s="222">
        <f>F490</f>
        <v>1948000</v>
      </c>
      <c r="G491" s="221"/>
      <c r="H491" s="221"/>
      <c r="I491" s="222"/>
      <c r="J491" s="221"/>
      <c r="K491" s="221"/>
      <c r="L491" s="221"/>
      <c r="M491" s="221"/>
      <c r="N491" s="221"/>
      <c r="O491" s="221">
        <f>O490</f>
        <v>40000</v>
      </c>
      <c r="P491" s="221"/>
      <c r="Q491" s="221">
        <f t="shared" si="670"/>
        <v>13980</v>
      </c>
      <c r="R491" s="221">
        <f t="shared" si="671"/>
        <v>559200</v>
      </c>
      <c r="S491" s="221"/>
      <c r="T491" s="222"/>
      <c r="U491" s="214">
        <f t="shared" si="663"/>
        <v>2547200</v>
      </c>
      <c r="V491" s="250"/>
      <c r="W491" s="224">
        <f t="shared" si="673"/>
        <v>212270</v>
      </c>
      <c r="X491" s="225">
        <f t="shared" si="664"/>
        <v>114620</v>
      </c>
      <c r="Y491" s="225">
        <f t="shared" si="647"/>
        <v>82280</v>
      </c>
      <c r="Z491" s="225">
        <f t="shared" si="648"/>
        <v>7010</v>
      </c>
      <c r="AA491" s="225">
        <f t="shared" si="667"/>
        <v>22920</v>
      </c>
      <c r="AB491" s="225">
        <f t="shared" si="668"/>
        <v>20380</v>
      </c>
      <c r="AC491" s="252">
        <f t="shared" si="669"/>
        <v>459480</v>
      </c>
    </row>
    <row r="492" spans="1:29" s="204" customFormat="1" ht="16.5" hidden="1" customHeight="1">
      <c r="A492" s="319"/>
      <c r="B492" s="211"/>
      <c r="C492" s="212"/>
      <c r="D492" s="212"/>
      <c r="E492" s="219" t="s">
        <v>393</v>
      </c>
      <c r="F492" s="222">
        <f t="shared" ref="F492:F495" si="674">F491</f>
        <v>1948000</v>
      </c>
      <c r="G492" s="221"/>
      <c r="H492" s="221"/>
      <c r="I492" s="222"/>
      <c r="J492" s="221"/>
      <c r="K492" s="221"/>
      <c r="L492" s="221"/>
      <c r="M492" s="221"/>
      <c r="N492" s="221"/>
      <c r="O492" s="221">
        <f t="shared" si="672"/>
        <v>40000</v>
      </c>
      <c r="P492" s="221"/>
      <c r="Q492" s="221">
        <f t="shared" si="670"/>
        <v>13980</v>
      </c>
      <c r="R492" s="221">
        <f t="shared" si="671"/>
        <v>559200</v>
      </c>
      <c r="S492" s="221"/>
      <c r="T492" s="222"/>
      <c r="U492" s="214">
        <f t="shared" si="663"/>
        <v>2547200</v>
      </c>
      <c r="V492" s="250"/>
      <c r="W492" s="224">
        <f t="shared" si="673"/>
        <v>212270</v>
      </c>
      <c r="X492" s="225">
        <f t="shared" si="664"/>
        <v>114620</v>
      </c>
      <c r="Y492" s="225">
        <f t="shared" si="647"/>
        <v>82280</v>
      </c>
      <c r="Z492" s="225">
        <f t="shared" si="648"/>
        <v>7010</v>
      </c>
      <c r="AA492" s="225">
        <f t="shared" si="667"/>
        <v>22920</v>
      </c>
      <c r="AB492" s="225">
        <f t="shared" si="668"/>
        <v>20380</v>
      </c>
      <c r="AC492" s="252">
        <f t="shared" si="669"/>
        <v>459480</v>
      </c>
    </row>
    <row r="493" spans="1:29" s="204" customFormat="1" ht="16.5" hidden="1" customHeight="1">
      <c r="A493" s="319"/>
      <c r="B493" s="211"/>
      <c r="C493" s="212"/>
      <c r="D493" s="212"/>
      <c r="E493" s="219" t="s">
        <v>394</v>
      </c>
      <c r="F493" s="222">
        <f t="shared" si="674"/>
        <v>1948000</v>
      </c>
      <c r="G493" s="221"/>
      <c r="H493" s="221"/>
      <c r="I493" s="222"/>
      <c r="J493" s="221"/>
      <c r="K493" s="221"/>
      <c r="L493" s="221"/>
      <c r="M493" s="221"/>
      <c r="N493" s="221"/>
      <c r="O493" s="221">
        <f t="shared" si="672"/>
        <v>40000</v>
      </c>
      <c r="P493" s="221"/>
      <c r="Q493" s="221">
        <f t="shared" si="670"/>
        <v>13980</v>
      </c>
      <c r="R493" s="221">
        <f t="shared" si="671"/>
        <v>559200</v>
      </c>
      <c r="S493" s="221"/>
      <c r="T493" s="222"/>
      <c r="U493" s="214">
        <f t="shared" si="663"/>
        <v>2547200</v>
      </c>
      <c r="V493" s="250"/>
      <c r="W493" s="224">
        <f t="shared" si="673"/>
        <v>212270</v>
      </c>
      <c r="X493" s="225">
        <f t="shared" si="664"/>
        <v>114620</v>
      </c>
      <c r="Y493" s="225">
        <f t="shared" si="647"/>
        <v>82280</v>
      </c>
      <c r="Z493" s="225">
        <f t="shared" si="648"/>
        <v>7010</v>
      </c>
      <c r="AA493" s="225">
        <f t="shared" si="667"/>
        <v>22920</v>
      </c>
      <c r="AB493" s="225">
        <f t="shared" si="668"/>
        <v>20380</v>
      </c>
      <c r="AC493" s="252">
        <f t="shared" si="669"/>
        <v>459480</v>
      </c>
    </row>
    <row r="494" spans="1:29" s="204" customFormat="1" ht="16.5" hidden="1" customHeight="1">
      <c r="A494" s="319"/>
      <c r="B494" s="211"/>
      <c r="C494" s="212"/>
      <c r="D494" s="212"/>
      <c r="E494" s="219" t="s">
        <v>279</v>
      </c>
      <c r="F494" s="222">
        <f t="shared" si="674"/>
        <v>1948000</v>
      </c>
      <c r="G494" s="221"/>
      <c r="H494" s="220"/>
      <c r="I494" s="222"/>
      <c r="J494" s="221"/>
      <c r="K494" s="221"/>
      <c r="L494" s="221"/>
      <c r="M494" s="221"/>
      <c r="N494" s="221"/>
      <c r="O494" s="221">
        <f t="shared" si="672"/>
        <v>40000</v>
      </c>
      <c r="P494" s="221"/>
      <c r="Q494" s="221">
        <f t="shared" si="670"/>
        <v>13980</v>
      </c>
      <c r="R494" s="221">
        <f t="shared" si="671"/>
        <v>559200</v>
      </c>
      <c r="S494" s="221"/>
      <c r="T494" s="222"/>
      <c r="U494" s="214">
        <f t="shared" si="663"/>
        <v>2547200</v>
      </c>
      <c r="V494" s="250"/>
      <c r="W494" s="224">
        <f t="shared" si="673"/>
        <v>212270</v>
      </c>
      <c r="X494" s="225">
        <f t="shared" si="664"/>
        <v>114620</v>
      </c>
      <c r="Y494" s="225">
        <f t="shared" si="647"/>
        <v>82280</v>
      </c>
      <c r="Z494" s="225">
        <f t="shared" si="648"/>
        <v>7010</v>
      </c>
      <c r="AA494" s="225">
        <f t="shared" si="667"/>
        <v>22920</v>
      </c>
      <c r="AB494" s="225">
        <f t="shared" si="668"/>
        <v>20380</v>
      </c>
      <c r="AC494" s="252">
        <f t="shared" si="669"/>
        <v>459480</v>
      </c>
    </row>
    <row r="495" spans="1:29" s="204" customFormat="1" ht="16.5" hidden="1" customHeight="1">
      <c r="A495" s="319"/>
      <c r="B495" s="211"/>
      <c r="C495" s="212"/>
      <c r="D495" s="212"/>
      <c r="E495" s="219" t="s">
        <v>280</v>
      </c>
      <c r="F495" s="222">
        <f t="shared" si="674"/>
        <v>1948000</v>
      </c>
      <c r="G495" s="221"/>
      <c r="H495" s="221"/>
      <c r="I495" s="222"/>
      <c r="J495" s="221"/>
      <c r="K495" s="221"/>
      <c r="L495" s="221"/>
      <c r="M495" s="221"/>
      <c r="N495" s="221"/>
      <c r="O495" s="221">
        <f t="shared" si="672"/>
        <v>40000</v>
      </c>
      <c r="P495" s="221"/>
      <c r="Q495" s="221">
        <f t="shared" si="670"/>
        <v>13980</v>
      </c>
      <c r="R495" s="221">
        <f t="shared" si="671"/>
        <v>559200</v>
      </c>
      <c r="S495" s="221"/>
      <c r="T495" s="222"/>
      <c r="U495" s="214">
        <f t="shared" si="663"/>
        <v>2547200</v>
      </c>
      <c r="V495" s="250"/>
      <c r="W495" s="224">
        <f t="shared" si="673"/>
        <v>212270</v>
      </c>
      <c r="X495" s="225">
        <f t="shared" si="664"/>
        <v>114620</v>
      </c>
      <c r="Y495" s="225">
        <f t="shared" si="647"/>
        <v>82280</v>
      </c>
      <c r="Z495" s="225">
        <f t="shared" si="648"/>
        <v>7010</v>
      </c>
      <c r="AA495" s="225">
        <f t="shared" si="667"/>
        <v>22920</v>
      </c>
      <c r="AB495" s="225">
        <f t="shared" si="668"/>
        <v>20380</v>
      </c>
      <c r="AC495" s="252">
        <f t="shared" si="669"/>
        <v>459480</v>
      </c>
    </row>
    <row r="496" spans="1:29" s="204" customFormat="1" ht="16.5" hidden="1" customHeight="1">
      <c r="A496" s="319"/>
      <c r="B496" s="211"/>
      <c r="C496" s="212"/>
      <c r="D496" s="212"/>
      <c r="E496" s="219" t="s">
        <v>556</v>
      </c>
      <c r="F496" s="222">
        <f>F495</f>
        <v>1948000</v>
      </c>
      <c r="G496" s="221"/>
      <c r="H496" s="221"/>
      <c r="I496" s="222"/>
      <c r="J496" s="221"/>
      <c r="K496" s="221"/>
      <c r="L496" s="221"/>
      <c r="M496" s="221">
        <f t="shared" ref="M496" si="675">F496*60%</f>
        <v>1168800</v>
      </c>
      <c r="N496" s="221"/>
      <c r="O496" s="221">
        <f t="shared" si="672"/>
        <v>40000</v>
      </c>
      <c r="P496" s="221"/>
      <c r="Q496" s="221">
        <f t="shared" si="670"/>
        <v>13980</v>
      </c>
      <c r="R496" s="221">
        <f t="shared" si="671"/>
        <v>559200</v>
      </c>
      <c r="S496" s="221"/>
      <c r="T496" s="222"/>
      <c r="U496" s="214">
        <f t="shared" si="663"/>
        <v>3716000</v>
      </c>
      <c r="V496" s="250"/>
      <c r="W496" s="224">
        <f t="shared" si="673"/>
        <v>309670</v>
      </c>
      <c r="X496" s="225">
        <f t="shared" si="664"/>
        <v>167220</v>
      </c>
      <c r="Y496" s="225">
        <f t="shared" si="647"/>
        <v>120030</v>
      </c>
      <c r="Z496" s="225">
        <f t="shared" si="648"/>
        <v>10220</v>
      </c>
      <c r="AA496" s="225">
        <f t="shared" si="667"/>
        <v>33440</v>
      </c>
      <c r="AB496" s="225">
        <f t="shared" si="668"/>
        <v>29730</v>
      </c>
      <c r="AC496" s="252">
        <f t="shared" si="669"/>
        <v>670310</v>
      </c>
    </row>
    <row r="497" spans="1:29" s="204" customFormat="1" ht="16.5" hidden="1" customHeight="1">
      <c r="A497" s="319"/>
      <c r="B497" s="211"/>
      <c r="C497" s="212"/>
      <c r="D497" s="212"/>
      <c r="E497" s="219" t="s">
        <v>55</v>
      </c>
      <c r="F497" s="221">
        <f t="shared" ref="F497:F499" si="676">F496</f>
        <v>1948000</v>
      </c>
      <c r="G497" s="221"/>
      <c r="H497" s="221"/>
      <c r="I497" s="222"/>
      <c r="J497" s="221"/>
      <c r="K497" s="221"/>
      <c r="L497" s="221"/>
      <c r="M497" s="221"/>
      <c r="N497" s="221"/>
      <c r="O497" s="221">
        <v>40000</v>
      </c>
      <c r="P497" s="221"/>
      <c r="Q497" s="221">
        <f t="shared" si="670"/>
        <v>13980</v>
      </c>
      <c r="R497" s="221">
        <f t="shared" si="671"/>
        <v>559200</v>
      </c>
      <c r="S497" s="221"/>
      <c r="T497" s="222"/>
      <c r="U497" s="214">
        <f t="shared" si="663"/>
        <v>2547200</v>
      </c>
      <c r="V497" s="250"/>
      <c r="W497" s="224">
        <f t="shared" si="673"/>
        <v>212270</v>
      </c>
      <c r="X497" s="225">
        <f t="shared" si="664"/>
        <v>114620</v>
      </c>
      <c r="Y497" s="225">
        <f t="shared" si="647"/>
        <v>82280</v>
      </c>
      <c r="Z497" s="225">
        <f t="shared" si="648"/>
        <v>7010</v>
      </c>
      <c r="AA497" s="225">
        <f t="shared" si="667"/>
        <v>22920</v>
      </c>
      <c r="AB497" s="225">
        <f t="shared" si="668"/>
        <v>20380</v>
      </c>
      <c r="AC497" s="252">
        <f t="shared" si="669"/>
        <v>459480</v>
      </c>
    </row>
    <row r="498" spans="1:29" s="204" customFormat="1" ht="16.5" hidden="1" customHeight="1">
      <c r="A498" s="319"/>
      <c r="B498" s="211"/>
      <c r="C498" s="212"/>
      <c r="D498" s="212"/>
      <c r="E498" s="219" t="s">
        <v>56</v>
      </c>
      <c r="F498" s="221">
        <f t="shared" si="676"/>
        <v>1948000</v>
      </c>
      <c r="G498" s="221"/>
      <c r="H498" s="221"/>
      <c r="I498" s="222"/>
      <c r="J498" s="221"/>
      <c r="K498" s="221"/>
      <c r="L498" s="221"/>
      <c r="M498" s="221"/>
      <c r="N498" s="221"/>
      <c r="O498" s="221">
        <f t="shared" si="672"/>
        <v>40000</v>
      </c>
      <c r="P498" s="221"/>
      <c r="Q498" s="221">
        <f t="shared" si="670"/>
        <v>13980</v>
      </c>
      <c r="R498" s="221">
        <f t="shared" si="671"/>
        <v>559200</v>
      </c>
      <c r="S498" s="221"/>
      <c r="T498" s="222"/>
      <c r="U498" s="214">
        <f t="shared" si="663"/>
        <v>2547200</v>
      </c>
      <c r="V498" s="250"/>
      <c r="W498" s="224">
        <f t="shared" si="673"/>
        <v>212270</v>
      </c>
      <c r="X498" s="225">
        <f t="shared" si="664"/>
        <v>114620</v>
      </c>
      <c r="Y498" s="225">
        <f t="shared" si="647"/>
        <v>82280</v>
      </c>
      <c r="Z498" s="225">
        <f t="shared" si="648"/>
        <v>7010</v>
      </c>
      <c r="AA498" s="225">
        <f t="shared" si="667"/>
        <v>22920</v>
      </c>
      <c r="AB498" s="225">
        <f t="shared" si="668"/>
        <v>20380</v>
      </c>
      <c r="AC498" s="252">
        <f t="shared" si="669"/>
        <v>459480</v>
      </c>
    </row>
    <row r="499" spans="1:29" s="204" customFormat="1" ht="16.5" hidden="1" customHeight="1">
      <c r="A499" s="319"/>
      <c r="B499" s="211"/>
      <c r="C499" s="212"/>
      <c r="D499" s="212"/>
      <c r="E499" s="219" t="s">
        <v>395</v>
      </c>
      <c r="F499" s="221">
        <f t="shared" si="676"/>
        <v>1948000</v>
      </c>
      <c r="G499" s="221"/>
      <c r="H499" s="221"/>
      <c r="I499" s="222"/>
      <c r="J499" s="221"/>
      <c r="K499" s="221"/>
      <c r="L499" s="221"/>
      <c r="M499" s="221"/>
      <c r="N499" s="221"/>
      <c r="O499" s="221">
        <f t="shared" si="672"/>
        <v>40000</v>
      </c>
      <c r="P499" s="221"/>
      <c r="Q499" s="221">
        <f t="shared" si="670"/>
        <v>13980</v>
      </c>
      <c r="R499" s="221">
        <f t="shared" ref="R499" si="677">Q499*40*2</f>
        <v>1118400</v>
      </c>
      <c r="S499" s="221"/>
      <c r="T499" s="222"/>
      <c r="U499" s="214">
        <f t="shared" si="663"/>
        <v>3106400</v>
      </c>
      <c r="V499" s="250"/>
      <c r="W499" s="224">
        <f t="shared" si="673"/>
        <v>258870</v>
      </c>
      <c r="X499" s="225">
        <f t="shared" si="664"/>
        <v>139790</v>
      </c>
      <c r="Y499" s="225">
        <f t="shared" si="647"/>
        <v>100340</v>
      </c>
      <c r="Z499" s="225">
        <f t="shared" si="648"/>
        <v>8540</v>
      </c>
      <c r="AA499" s="225">
        <f t="shared" si="667"/>
        <v>27960</v>
      </c>
      <c r="AB499" s="225">
        <f t="shared" si="668"/>
        <v>24850</v>
      </c>
      <c r="AC499" s="252">
        <f t="shared" si="669"/>
        <v>560350</v>
      </c>
    </row>
    <row r="500" spans="1:29" s="204" customFormat="1" ht="16.5" hidden="1" customHeight="1">
      <c r="A500" s="319">
        <v>39</v>
      </c>
      <c r="B500" s="211" t="s">
        <v>87</v>
      </c>
      <c r="C500" s="212" t="s">
        <v>899</v>
      </c>
      <c r="D500" s="212">
        <v>1</v>
      </c>
      <c r="E500" s="213" t="s">
        <v>86</v>
      </c>
      <c r="F500" s="214">
        <f t="shared" ref="F500:P500" si="678">SUM(F501:F512)</f>
        <v>31318000</v>
      </c>
      <c r="G500" s="214">
        <f t="shared" si="678"/>
        <v>0</v>
      </c>
      <c r="H500" s="214">
        <f t="shared" si="678"/>
        <v>0</v>
      </c>
      <c r="I500" s="214">
        <f t="shared" si="678"/>
        <v>0</v>
      </c>
      <c r="J500" s="214">
        <f t="shared" si="678"/>
        <v>0</v>
      </c>
      <c r="K500" s="214">
        <f t="shared" si="678"/>
        <v>0</v>
      </c>
      <c r="L500" s="214">
        <f t="shared" si="678"/>
        <v>0</v>
      </c>
      <c r="M500" s="214">
        <f t="shared" si="678"/>
        <v>3122400</v>
      </c>
      <c r="N500" s="214">
        <f t="shared" si="678"/>
        <v>0</v>
      </c>
      <c r="O500" s="214">
        <f t="shared" si="678"/>
        <v>720000</v>
      </c>
      <c r="P500" s="214">
        <f t="shared" si="678"/>
        <v>0</v>
      </c>
      <c r="Q500" s="214"/>
      <c r="R500" s="214">
        <f t="shared" ref="R500:U500" si="679">SUM(R501:R512)</f>
        <v>8990800</v>
      </c>
      <c r="S500" s="214">
        <f t="shared" si="679"/>
        <v>0</v>
      </c>
      <c r="T500" s="214">
        <f t="shared" si="679"/>
        <v>0</v>
      </c>
      <c r="U500" s="214">
        <f t="shared" si="679"/>
        <v>44151200</v>
      </c>
      <c r="V500" s="250"/>
      <c r="W500" s="217">
        <f t="shared" ref="W500:AB500" si="680">SUM(W501:W512)</f>
        <v>3679330</v>
      </c>
      <c r="X500" s="214">
        <f t="shared" si="680"/>
        <v>1986800</v>
      </c>
      <c r="Y500" s="214">
        <f t="shared" si="680"/>
        <v>1426150</v>
      </c>
      <c r="Z500" s="214">
        <f t="shared" si="680"/>
        <v>121410</v>
      </c>
      <c r="AA500" s="214">
        <f t="shared" si="680"/>
        <v>397370</v>
      </c>
      <c r="AB500" s="214">
        <f t="shared" si="680"/>
        <v>353190</v>
      </c>
      <c r="AC500" s="266">
        <f>SUM(AC501:AC512)</f>
        <v>7964250</v>
      </c>
    </row>
    <row r="501" spans="1:29" s="204" customFormat="1" ht="16.5" hidden="1" customHeight="1">
      <c r="A501" s="319"/>
      <c r="B501" s="211" t="s">
        <v>904</v>
      </c>
      <c r="C501" s="310">
        <v>14</v>
      </c>
      <c r="D501" s="310"/>
      <c r="E501" s="311" t="s">
        <v>273</v>
      </c>
      <c r="F501" s="312">
        <v>2573000</v>
      </c>
      <c r="G501" s="221">
        <v>0</v>
      </c>
      <c r="H501" s="220"/>
      <c r="I501" s="222"/>
      <c r="J501" s="221"/>
      <c r="K501" s="221"/>
      <c r="L501" s="221"/>
      <c r="M501" s="221" t="s">
        <v>60</v>
      </c>
      <c r="N501" s="221"/>
      <c r="O501" s="221">
        <v>60000</v>
      </c>
      <c r="P501" s="221"/>
      <c r="Q501" s="221"/>
      <c r="R501" s="221"/>
      <c r="S501" s="221"/>
      <c r="T501" s="222"/>
      <c r="U501" s="214">
        <f t="shared" ref="U501:U512" si="681">SUM(F501,M501,O501,R501,T501,S501)</f>
        <v>2633000</v>
      </c>
      <c r="V501" s="250"/>
      <c r="W501" s="224">
        <f>ROUNDUP(U501*1/12,-1)</f>
        <v>219420</v>
      </c>
      <c r="X501" s="225">
        <f t="shared" ref="X501:X512" si="682">ROUND(U501*4.5%,-1)</f>
        <v>118490</v>
      </c>
      <c r="Y501" s="225">
        <f t="shared" ref="Y501" si="683">ROUNDUP((U501-L501)*3.23%,-1)</f>
        <v>85050</v>
      </c>
      <c r="Z501" s="225">
        <f t="shared" ref="Z501" si="684">ROUNDUP(Y501*8.51%,-1)</f>
        <v>7240</v>
      </c>
      <c r="AA501" s="225">
        <f t="shared" ref="AA501:AA512" si="685">ROUND(U501*0.9%,-1)</f>
        <v>23700</v>
      </c>
      <c r="AB501" s="225">
        <f t="shared" ref="AB501:AB512" si="686">ROUND(U501*0.8%,-1)</f>
        <v>21060</v>
      </c>
      <c r="AC501" s="252">
        <f t="shared" ref="AC501:AC512" si="687">SUM(W501:AB501)</f>
        <v>474960</v>
      </c>
    </row>
    <row r="502" spans="1:29" s="204" customFormat="1" ht="16.5" hidden="1" customHeight="1">
      <c r="A502" s="319"/>
      <c r="B502" s="211"/>
      <c r="C502" s="212"/>
      <c r="D502" s="212"/>
      <c r="E502" s="219" t="s">
        <v>274</v>
      </c>
      <c r="F502" s="221">
        <f>F501</f>
        <v>2573000</v>
      </c>
      <c r="G502" s="221"/>
      <c r="H502" s="221"/>
      <c r="I502" s="222"/>
      <c r="J502" s="221"/>
      <c r="K502" s="221"/>
      <c r="L502" s="221"/>
      <c r="M502" s="221">
        <f>F502*60%</f>
        <v>1543800</v>
      </c>
      <c r="N502" s="221"/>
      <c r="O502" s="221">
        <v>60000</v>
      </c>
      <c r="P502" s="221"/>
      <c r="Q502" s="221">
        <f>ROUND((F501+T501)*1/209*1.5,-1)</f>
        <v>18470</v>
      </c>
      <c r="R502" s="221">
        <f>Q502*40</f>
        <v>738800</v>
      </c>
      <c r="S502" s="221"/>
      <c r="T502" s="222"/>
      <c r="U502" s="214">
        <f t="shared" si="681"/>
        <v>4915600</v>
      </c>
      <c r="V502" s="250"/>
      <c r="W502" s="224">
        <f>ROUNDUP((T502+U502)*1/12,-1)</f>
        <v>409640</v>
      </c>
      <c r="X502" s="225">
        <f t="shared" si="682"/>
        <v>221200</v>
      </c>
      <c r="Y502" s="225">
        <f t="shared" si="647"/>
        <v>158780</v>
      </c>
      <c r="Z502" s="225">
        <f t="shared" si="648"/>
        <v>13520</v>
      </c>
      <c r="AA502" s="225">
        <f t="shared" si="685"/>
        <v>44240</v>
      </c>
      <c r="AB502" s="225">
        <f t="shared" si="686"/>
        <v>39320</v>
      </c>
      <c r="AC502" s="252">
        <f t="shared" si="687"/>
        <v>886700</v>
      </c>
    </row>
    <row r="503" spans="1:29" s="204" customFormat="1" ht="16.5" hidden="1" customHeight="1">
      <c r="A503" s="319"/>
      <c r="B503" s="211"/>
      <c r="C503" s="212"/>
      <c r="D503" s="212"/>
      <c r="E503" s="219" t="s">
        <v>275</v>
      </c>
      <c r="F503" s="221">
        <f>F502</f>
        <v>2573000</v>
      </c>
      <c r="G503" s="221"/>
      <c r="H503" s="221"/>
      <c r="I503" s="222"/>
      <c r="J503" s="221"/>
      <c r="K503" s="221"/>
      <c r="L503" s="221"/>
      <c r="M503" s="221"/>
      <c r="N503" s="221"/>
      <c r="O503" s="221">
        <v>60000</v>
      </c>
      <c r="P503" s="221"/>
      <c r="Q503" s="221">
        <f t="shared" ref="Q503:Q512" si="688">ROUND((F502+T502)*1/209*1.5,-1)</f>
        <v>18470</v>
      </c>
      <c r="R503" s="221">
        <f t="shared" ref="R503:R511" si="689">Q503*40</f>
        <v>738800</v>
      </c>
      <c r="S503" s="221"/>
      <c r="T503" s="222"/>
      <c r="U503" s="214">
        <f t="shared" si="681"/>
        <v>3371800</v>
      </c>
      <c r="V503" s="250"/>
      <c r="W503" s="224">
        <f t="shared" ref="W503:W512" si="690">ROUNDUP(U503*1/12,-1)</f>
        <v>280990</v>
      </c>
      <c r="X503" s="225">
        <f t="shared" si="682"/>
        <v>151730</v>
      </c>
      <c r="Y503" s="225">
        <f t="shared" si="647"/>
        <v>108910</v>
      </c>
      <c r="Z503" s="225">
        <f t="shared" si="648"/>
        <v>9270</v>
      </c>
      <c r="AA503" s="225">
        <f t="shared" si="685"/>
        <v>30350</v>
      </c>
      <c r="AB503" s="225">
        <f t="shared" si="686"/>
        <v>26970</v>
      </c>
      <c r="AC503" s="252">
        <f t="shared" si="687"/>
        <v>608220</v>
      </c>
    </row>
    <row r="504" spans="1:29" s="204" customFormat="1" ht="16.5" hidden="1" customHeight="1">
      <c r="A504" s="319"/>
      <c r="B504" s="211"/>
      <c r="C504" s="212"/>
      <c r="D504" s="212"/>
      <c r="E504" s="219" t="s">
        <v>276</v>
      </c>
      <c r="F504" s="221">
        <f>F503</f>
        <v>2573000</v>
      </c>
      <c r="G504" s="221"/>
      <c r="H504" s="221"/>
      <c r="I504" s="222"/>
      <c r="J504" s="221"/>
      <c r="K504" s="221"/>
      <c r="L504" s="221"/>
      <c r="M504" s="221"/>
      <c r="N504" s="221"/>
      <c r="O504" s="221">
        <v>60000</v>
      </c>
      <c r="P504" s="221"/>
      <c r="Q504" s="221">
        <f t="shared" si="688"/>
        <v>18470</v>
      </c>
      <c r="R504" s="221">
        <f t="shared" si="689"/>
        <v>738800</v>
      </c>
      <c r="S504" s="221"/>
      <c r="T504" s="222"/>
      <c r="U504" s="214">
        <f t="shared" si="681"/>
        <v>3371800</v>
      </c>
      <c r="V504" s="250"/>
      <c r="W504" s="224">
        <f t="shared" si="690"/>
        <v>280990</v>
      </c>
      <c r="X504" s="225">
        <f t="shared" si="682"/>
        <v>151730</v>
      </c>
      <c r="Y504" s="225">
        <f t="shared" si="647"/>
        <v>108910</v>
      </c>
      <c r="Z504" s="225">
        <f t="shared" si="648"/>
        <v>9270</v>
      </c>
      <c r="AA504" s="225">
        <f t="shared" si="685"/>
        <v>30350</v>
      </c>
      <c r="AB504" s="225">
        <f t="shared" si="686"/>
        <v>26970</v>
      </c>
      <c r="AC504" s="252">
        <f t="shared" si="687"/>
        <v>608220</v>
      </c>
    </row>
    <row r="505" spans="1:29" s="204" customFormat="1" ht="16.5" hidden="1" customHeight="1">
      <c r="A505" s="319"/>
      <c r="B505" s="211"/>
      <c r="C505" s="212"/>
      <c r="D505" s="212"/>
      <c r="E505" s="219" t="s">
        <v>277</v>
      </c>
      <c r="F505" s="221">
        <f>F504</f>
        <v>2573000</v>
      </c>
      <c r="G505" s="221"/>
      <c r="H505" s="221"/>
      <c r="I505" s="222"/>
      <c r="J505" s="221"/>
      <c r="K505" s="221"/>
      <c r="L505" s="221"/>
      <c r="M505" s="221"/>
      <c r="N505" s="221"/>
      <c r="O505" s="221">
        <v>60000</v>
      </c>
      <c r="P505" s="221"/>
      <c r="Q505" s="221">
        <f t="shared" si="688"/>
        <v>18470</v>
      </c>
      <c r="R505" s="221">
        <f t="shared" si="689"/>
        <v>738800</v>
      </c>
      <c r="S505" s="221"/>
      <c r="T505" s="222"/>
      <c r="U505" s="214">
        <f t="shared" si="681"/>
        <v>3371800</v>
      </c>
      <c r="V505" s="250"/>
      <c r="W505" s="224">
        <f t="shared" si="690"/>
        <v>280990</v>
      </c>
      <c r="X505" s="225">
        <f t="shared" si="682"/>
        <v>151730</v>
      </c>
      <c r="Y505" s="225">
        <f t="shared" si="647"/>
        <v>108910</v>
      </c>
      <c r="Z505" s="225">
        <f t="shared" si="648"/>
        <v>9270</v>
      </c>
      <c r="AA505" s="225">
        <f t="shared" si="685"/>
        <v>30350</v>
      </c>
      <c r="AB505" s="225">
        <f t="shared" si="686"/>
        <v>26970</v>
      </c>
      <c r="AC505" s="252">
        <f t="shared" si="687"/>
        <v>608220</v>
      </c>
    </row>
    <row r="506" spans="1:29" s="204" customFormat="1" ht="16.5" hidden="1" customHeight="1">
      <c r="A506" s="319"/>
      <c r="B506" s="211"/>
      <c r="C506" s="212"/>
      <c r="D506" s="212"/>
      <c r="E506" s="219" t="s">
        <v>278</v>
      </c>
      <c r="F506" s="222">
        <v>2649000</v>
      </c>
      <c r="G506" s="221"/>
      <c r="H506" s="221"/>
      <c r="I506" s="222"/>
      <c r="J506" s="221"/>
      <c r="K506" s="221"/>
      <c r="L506" s="221"/>
      <c r="M506" s="221"/>
      <c r="N506" s="221"/>
      <c r="O506" s="221">
        <v>60000</v>
      </c>
      <c r="P506" s="221"/>
      <c r="Q506" s="221">
        <f t="shared" si="688"/>
        <v>18470</v>
      </c>
      <c r="R506" s="221">
        <f t="shared" si="689"/>
        <v>738800</v>
      </c>
      <c r="S506" s="221"/>
      <c r="T506" s="222"/>
      <c r="U506" s="214">
        <f t="shared" si="681"/>
        <v>3447800</v>
      </c>
      <c r="V506" s="250"/>
      <c r="W506" s="224">
        <f t="shared" si="690"/>
        <v>287320</v>
      </c>
      <c r="X506" s="225">
        <f t="shared" si="682"/>
        <v>155150</v>
      </c>
      <c r="Y506" s="225">
        <f t="shared" si="647"/>
        <v>111370</v>
      </c>
      <c r="Z506" s="225">
        <f t="shared" si="648"/>
        <v>9480</v>
      </c>
      <c r="AA506" s="225">
        <f t="shared" si="685"/>
        <v>31030</v>
      </c>
      <c r="AB506" s="225">
        <f t="shared" si="686"/>
        <v>27580</v>
      </c>
      <c r="AC506" s="252">
        <f t="shared" si="687"/>
        <v>621930</v>
      </c>
    </row>
    <row r="507" spans="1:29" s="204" customFormat="1" ht="16.5" hidden="1" customHeight="1">
      <c r="A507" s="319"/>
      <c r="B507" s="211"/>
      <c r="C507" s="212"/>
      <c r="D507" s="212"/>
      <c r="E507" s="219" t="s">
        <v>279</v>
      </c>
      <c r="F507" s="222">
        <v>2649000</v>
      </c>
      <c r="G507" s="221"/>
      <c r="H507" s="220"/>
      <c r="I507" s="222"/>
      <c r="J507" s="221"/>
      <c r="K507" s="221"/>
      <c r="L507" s="221"/>
      <c r="M507" s="221"/>
      <c r="N507" s="221"/>
      <c r="O507" s="221">
        <v>60000</v>
      </c>
      <c r="P507" s="221"/>
      <c r="Q507" s="221">
        <f t="shared" si="688"/>
        <v>19010</v>
      </c>
      <c r="R507" s="221">
        <f t="shared" si="689"/>
        <v>760400</v>
      </c>
      <c r="S507" s="221"/>
      <c r="T507" s="222"/>
      <c r="U507" s="214">
        <f t="shared" si="681"/>
        <v>3469400</v>
      </c>
      <c r="V507" s="250"/>
      <c r="W507" s="224">
        <f t="shared" si="690"/>
        <v>289120</v>
      </c>
      <c r="X507" s="225">
        <f t="shared" si="682"/>
        <v>156120</v>
      </c>
      <c r="Y507" s="225">
        <f t="shared" si="647"/>
        <v>112070</v>
      </c>
      <c r="Z507" s="225">
        <f t="shared" si="648"/>
        <v>9540</v>
      </c>
      <c r="AA507" s="225">
        <f t="shared" si="685"/>
        <v>31220</v>
      </c>
      <c r="AB507" s="225">
        <f t="shared" si="686"/>
        <v>27760</v>
      </c>
      <c r="AC507" s="252">
        <f t="shared" si="687"/>
        <v>625830</v>
      </c>
    </row>
    <row r="508" spans="1:29" s="204" customFormat="1" ht="16.5" hidden="1" customHeight="1">
      <c r="A508" s="319"/>
      <c r="B508" s="211"/>
      <c r="C508" s="310">
        <v>15</v>
      </c>
      <c r="D508" s="212"/>
      <c r="E508" s="311" t="s">
        <v>280</v>
      </c>
      <c r="F508" s="312">
        <v>2631000</v>
      </c>
      <c r="G508" s="221"/>
      <c r="H508" s="221"/>
      <c r="I508" s="222"/>
      <c r="J508" s="221"/>
      <c r="K508" s="221"/>
      <c r="L508" s="221"/>
      <c r="M508" s="221"/>
      <c r="N508" s="221"/>
      <c r="O508" s="221">
        <v>60000</v>
      </c>
      <c r="P508" s="221"/>
      <c r="Q508" s="221">
        <f t="shared" si="688"/>
        <v>19010</v>
      </c>
      <c r="R508" s="221">
        <f t="shared" si="689"/>
        <v>760400</v>
      </c>
      <c r="S508" s="221"/>
      <c r="T508" s="222"/>
      <c r="U508" s="214">
        <f t="shared" si="681"/>
        <v>3451400</v>
      </c>
      <c r="V508" s="250"/>
      <c r="W508" s="224">
        <f t="shared" si="690"/>
        <v>287620</v>
      </c>
      <c r="X508" s="225">
        <f t="shared" si="682"/>
        <v>155310</v>
      </c>
      <c r="Y508" s="225">
        <f t="shared" si="647"/>
        <v>111490</v>
      </c>
      <c r="Z508" s="225">
        <f t="shared" si="648"/>
        <v>9490</v>
      </c>
      <c r="AA508" s="225">
        <f t="shared" si="685"/>
        <v>31060</v>
      </c>
      <c r="AB508" s="225">
        <f t="shared" si="686"/>
        <v>27610</v>
      </c>
      <c r="AC508" s="252">
        <f t="shared" si="687"/>
        <v>622580</v>
      </c>
    </row>
    <row r="509" spans="1:29" s="204" customFormat="1" ht="16.5" hidden="1" customHeight="1">
      <c r="A509" s="319"/>
      <c r="B509" s="211"/>
      <c r="C509" s="212"/>
      <c r="D509" s="212"/>
      <c r="E509" s="219" t="s">
        <v>54</v>
      </c>
      <c r="F509" s="221">
        <f t="shared" ref="F509:F512" si="691">F508</f>
        <v>2631000</v>
      </c>
      <c r="G509" s="221"/>
      <c r="H509" s="221"/>
      <c r="I509" s="222"/>
      <c r="J509" s="221"/>
      <c r="K509" s="221"/>
      <c r="L509" s="221"/>
      <c r="M509" s="221">
        <f t="shared" ref="M509" si="692">F509*60%</f>
        <v>1578600</v>
      </c>
      <c r="N509" s="221"/>
      <c r="O509" s="221">
        <v>60000</v>
      </c>
      <c r="P509" s="221"/>
      <c r="Q509" s="221">
        <f t="shared" si="688"/>
        <v>18880</v>
      </c>
      <c r="R509" s="221">
        <f t="shared" si="689"/>
        <v>755200</v>
      </c>
      <c r="S509" s="221"/>
      <c r="T509" s="222"/>
      <c r="U509" s="214">
        <f t="shared" si="681"/>
        <v>5024800</v>
      </c>
      <c r="V509" s="250"/>
      <c r="W509" s="224">
        <f t="shared" si="690"/>
        <v>418740</v>
      </c>
      <c r="X509" s="225">
        <f t="shared" si="682"/>
        <v>226120</v>
      </c>
      <c r="Y509" s="225">
        <f t="shared" si="647"/>
        <v>162310</v>
      </c>
      <c r="Z509" s="225">
        <f t="shared" si="648"/>
        <v>13820</v>
      </c>
      <c r="AA509" s="225">
        <f t="shared" si="685"/>
        <v>45220</v>
      </c>
      <c r="AB509" s="225">
        <f t="shared" si="686"/>
        <v>40200</v>
      </c>
      <c r="AC509" s="252">
        <f t="shared" si="687"/>
        <v>906410</v>
      </c>
    </row>
    <row r="510" spans="1:29" s="204" customFormat="1" ht="16.5" hidden="1" customHeight="1">
      <c r="A510" s="319"/>
      <c r="B510" s="211"/>
      <c r="C510" s="212"/>
      <c r="D510" s="212"/>
      <c r="E510" s="219" t="s">
        <v>55</v>
      </c>
      <c r="F510" s="221">
        <f t="shared" si="691"/>
        <v>2631000</v>
      </c>
      <c r="G510" s="221"/>
      <c r="H510" s="221"/>
      <c r="I510" s="222"/>
      <c r="J510" s="221"/>
      <c r="K510" s="221"/>
      <c r="L510" s="221"/>
      <c r="M510" s="221"/>
      <c r="N510" s="221"/>
      <c r="O510" s="221">
        <v>60000</v>
      </c>
      <c r="P510" s="221"/>
      <c r="Q510" s="221">
        <f t="shared" si="688"/>
        <v>18880</v>
      </c>
      <c r="R510" s="221">
        <f t="shared" si="689"/>
        <v>755200</v>
      </c>
      <c r="S510" s="221"/>
      <c r="T510" s="222"/>
      <c r="U510" s="214">
        <f t="shared" si="681"/>
        <v>3446200</v>
      </c>
      <c r="V510" s="250"/>
      <c r="W510" s="224">
        <f t="shared" si="690"/>
        <v>287190</v>
      </c>
      <c r="X510" s="225">
        <f t="shared" si="682"/>
        <v>155080</v>
      </c>
      <c r="Y510" s="225">
        <f t="shared" si="647"/>
        <v>111320</v>
      </c>
      <c r="Z510" s="225">
        <f t="shared" si="648"/>
        <v>9480</v>
      </c>
      <c r="AA510" s="225">
        <f t="shared" si="685"/>
        <v>31020</v>
      </c>
      <c r="AB510" s="225">
        <f t="shared" si="686"/>
        <v>27570</v>
      </c>
      <c r="AC510" s="252">
        <f t="shared" si="687"/>
        <v>621660</v>
      </c>
    </row>
    <row r="511" spans="1:29" s="204" customFormat="1" ht="16.5" hidden="1" customHeight="1">
      <c r="A511" s="319"/>
      <c r="B511" s="211"/>
      <c r="C511" s="212"/>
      <c r="D511" s="212"/>
      <c r="E511" s="219" t="s">
        <v>56</v>
      </c>
      <c r="F511" s="221">
        <f t="shared" si="691"/>
        <v>2631000</v>
      </c>
      <c r="G511" s="221"/>
      <c r="H511" s="221"/>
      <c r="I511" s="222"/>
      <c r="J511" s="221"/>
      <c r="K511" s="221"/>
      <c r="L511" s="221"/>
      <c r="M511" s="221"/>
      <c r="N511" s="221"/>
      <c r="O511" s="221">
        <v>60000</v>
      </c>
      <c r="P511" s="221"/>
      <c r="Q511" s="221">
        <f t="shared" si="688"/>
        <v>18880</v>
      </c>
      <c r="R511" s="221">
        <f t="shared" si="689"/>
        <v>755200</v>
      </c>
      <c r="S511" s="221"/>
      <c r="T511" s="222"/>
      <c r="U511" s="214">
        <f t="shared" si="681"/>
        <v>3446200</v>
      </c>
      <c r="V511" s="250"/>
      <c r="W511" s="224">
        <f t="shared" si="690"/>
        <v>287190</v>
      </c>
      <c r="X511" s="225">
        <f t="shared" si="682"/>
        <v>155080</v>
      </c>
      <c r="Y511" s="225">
        <f t="shared" si="647"/>
        <v>111320</v>
      </c>
      <c r="Z511" s="225">
        <f t="shared" si="648"/>
        <v>9480</v>
      </c>
      <c r="AA511" s="225">
        <f t="shared" si="685"/>
        <v>31020</v>
      </c>
      <c r="AB511" s="225">
        <f t="shared" si="686"/>
        <v>27570</v>
      </c>
      <c r="AC511" s="252">
        <f t="shared" si="687"/>
        <v>621660</v>
      </c>
    </row>
    <row r="512" spans="1:29" s="204" customFormat="1" ht="16.5" hidden="1" customHeight="1">
      <c r="A512" s="319"/>
      <c r="B512" s="211"/>
      <c r="C512" s="212"/>
      <c r="D512" s="212"/>
      <c r="E512" s="219" t="s">
        <v>281</v>
      </c>
      <c r="F512" s="221">
        <f t="shared" si="691"/>
        <v>2631000</v>
      </c>
      <c r="G512" s="221"/>
      <c r="H512" s="221"/>
      <c r="I512" s="222"/>
      <c r="J512" s="221"/>
      <c r="K512" s="221"/>
      <c r="L512" s="221"/>
      <c r="M512" s="221"/>
      <c r="N512" s="221"/>
      <c r="O512" s="221">
        <v>60000</v>
      </c>
      <c r="P512" s="221"/>
      <c r="Q512" s="221">
        <f t="shared" si="688"/>
        <v>18880</v>
      </c>
      <c r="R512" s="221">
        <f>Q512*40*2</f>
        <v>1510400</v>
      </c>
      <c r="S512" s="221"/>
      <c r="T512" s="222"/>
      <c r="U512" s="214">
        <f t="shared" si="681"/>
        <v>4201400</v>
      </c>
      <c r="V512" s="250"/>
      <c r="W512" s="224">
        <f t="shared" si="690"/>
        <v>350120</v>
      </c>
      <c r="X512" s="225">
        <f t="shared" si="682"/>
        <v>189060</v>
      </c>
      <c r="Y512" s="225">
        <f t="shared" si="647"/>
        <v>135710</v>
      </c>
      <c r="Z512" s="225">
        <f t="shared" si="648"/>
        <v>11550</v>
      </c>
      <c r="AA512" s="225">
        <f t="shared" si="685"/>
        <v>37810</v>
      </c>
      <c r="AB512" s="225">
        <f t="shared" si="686"/>
        <v>33610</v>
      </c>
      <c r="AC512" s="252">
        <f t="shared" si="687"/>
        <v>757860</v>
      </c>
    </row>
    <row r="513" spans="1:29" s="204" customFormat="1" ht="16.5" hidden="1" customHeight="1">
      <c r="A513" s="319">
        <v>40</v>
      </c>
      <c r="B513" s="211" t="s">
        <v>87</v>
      </c>
      <c r="C513" s="212" t="s">
        <v>434</v>
      </c>
      <c r="D513" s="212">
        <v>1</v>
      </c>
      <c r="E513" s="213" t="s">
        <v>86</v>
      </c>
      <c r="F513" s="214">
        <f t="shared" ref="F513:N513" si="693">SUM(F514:F525)</f>
        <v>25844000</v>
      </c>
      <c r="G513" s="214">
        <f t="shared" si="693"/>
        <v>0</v>
      </c>
      <c r="H513" s="214">
        <f t="shared" si="693"/>
        <v>0</v>
      </c>
      <c r="I513" s="214">
        <f t="shared" si="693"/>
        <v>0</v>
      </c>
      <c r="J513" s="214">
        <f t="shared" si="693"/>
        <v>0</v>
      </c>
      <c r="K513" s="214">
        <f t="shared" si="693"/>
        <v>0</v>
      </c>
      <c r="L513" s="214">
        <f t="shared" si="693"/>
        <v>0</v>
      </c>
      <c r="M513" s="214">
        <f t="shared" si="693"/>
        <v>2597400</v>
      </c>
      <c r="N513" s="214">
        <f t="shared" si="693"/>
        <v>0</v>
      </c>
      <c r="O513" s="214">
        <f>SUM(O514:O525)</f>
        <v>640000</v>
      </c>
      <c r="P513" s="214">
        <f t="shared" ref="P513" si="694">SUM(P514:P525)</f>
        <v>0</v>
      </c>
      <c r="Q513" s="214"/>
      <c r="R513" s="214">
        <f t="shared" ref="R513" si="695">SUM(R514:R525)</f>
        <v>7419200</v>
      </c>
      <c r="S513" s="214">
        <f>SUM(S514:S525)</f>
        <v>0</v>
      </c>
      <c r="T513" s="214">
        <f t="shared" ref="T513:U513" si="696">SUM(T514:T525)</f>
        <v>0</v>
      </c>
      <c r="U513" s="214">
        <f t="shared" si="696"/>
        <v>36500600</v>
      </c>
      <c r="V513" s="250"/>
      <c r="W513" s="217">
        <f t="shared" ref="W513:AB513" si="697">SUM(W514:W525)</f>
        <v>3041740</v>
      </c>
      <c r="X513" s="214">
        <f t="shared" si="697"/>
        <v>1642520</v>
      </c>
      <c r="Y513" s="214">
        <f t="shared" si="697"/>
        <v>1179020</v>
      </c>
      <c r="Z513" s="214">
        <f t="shared" si="697"/>
        <v>100380</v>
      </c>
      <c r="AA513" s="214">
        <f t="shared" si="697"/>
        <v>328530</v>
      </c>
      <c r="AB513" s="214">
        <f t="shared" si="697"/>
        <v>292000</v>
      </c>
      <c r="AC513" s="266">
        <f>SUM(AC514:AC525)</f>
        <v>6584190</v>
      </c>
    </row>
    <row r="514" spans="1:29" s="204" customFormat="1" ht="16.5" hidden="1" customHeight="1">
      <c r="A514" s="319"/>
      <c r="B514" s="211" t="s">
        <v>905</v>
      </c>
      <c r="C514" s="310">
        <v>7</v>
      </c>
      <c r="D514" s="310"/>
      <c r="E514" s="311" t="s">
        <v>389</v>
      </c>
      <c r="F514" s="312">
        <v>2132000</v>
      </c>
      <c r="G514" s="221"/>
      <c r="H514" s="220"/>
      <c r="I514" s="222"/>
      <c r="J514" s="221"/>
      <c r="K514" s="221"/>
      <c r="L514" s="221"/>
      <c r="M514" s="221" t="s">
        <v>60</v>
      </c>
      <c r="N514" s="221"/>
      <c r="O514" s="221">
        <v>40000</v>
      </c>
      <c r="P514" s="221"/>
      <c r="Q514" s="221"/>
      <c r="R514" s="221"/>
      <c r="S514" s="221"/>
      <c r="T514" s="222"/>
      <c r="U514" s="214">
        <f t="shared" ref="U514:U525" si="698">SUM(F514,M514,O514,R514,T514,S514)</f>
        <v>2172000</v>
      </c>
      <c r="V514" s="250"/>
      <c r="W514" s="224">
        <f>ROUNDUP(U514*1/12,-1)</f>
        <v>181000</v>
      </c>
      <c r="X514" s="225">
        <f t="shared" ref="X514:X525" si="699">ROUND(U514*4.5%,-1)</f>
        <v>97740</v>
      </c>
      <c r="Y514" s="225">
        <f t="shared" ref="Y514" si="700">ROUNDUP((U514-L514)*3.23%,-1)</f>
        <v>70160</v>
      </c>
      <c r="Z514" s="225">
        <f t="shared" ref="Z514" si="701">ROUNDUP(Y514*8.51%,-1)</f>
        <v>5980</v>
      </c>
      <c r="AA514" s="225">
        <f t="shared" ref="AA514:AA525" si="702">ROUND(U514*0.9%,-1)</f>
        <v>19550</v>
      </c>
      <c r="AB514" s="225">
        <f t="shared" ref="AB514:AB525" si="703">ROUND(U514*0.8%,-1)</f>
        <v>17380</v>
      </c>
      <c r="AC514" s="252">
        <f t="shared" ref="AC514:AC525" si="704">SUM(W514:AB514)</f>
        <v>391810</v>
      </c>
    </row>
    <row r="515" spans="1:29" s="204" customFormat="1" ht="16.5" hidden="1" customHeight="1">
      <c r="A515" s="319"/>
      <c r="B515" s="211"/>
      <c r="C515" s="212"/>
      <c r="D515" s="212"/>
      <c r="E515" s="219" t="s">
        <v>390</v>
      </c>
      <c r="F515" s="221">
        <f>F514</f>
        <v>2132000</v>
      </c>
      <c r="G515" s="221"/>
      <c r="H515" s="221"/>
      <c r="I515" s="222"/>
      <c r="J515" s="221"/>
      <c r="K515" s="221"/>
      <c r="L515" s="221"/>
      <c r="M515" s="221">
        <f>F515*60%</f>
        <v>1279200</v>
      </c>
      <c r="N515" s="221"/>
      <c r="O515" s="221">
        <f t="shared" ref="O515:O525" si="705">O514</f>
        <v>40000</v>
      </c>
      <c r="P515" s="221"/>
      <c r="Q515" s="221">
        <f t="shared" ref="Q515:Q525" si="706">ROUND((F514+T514)*1/209*1.5,-1)</f>
        <v>15300</v>
      </c>
      <c r="R515" s="221">
        <f>Q515*40</f>
        <v>612000</v>
      </c>
      <c r="S515" s="221"/>
      <c r="T515" s="222"/>
      <c r="U515" s="214">
        <f t="shared" si="698"/>
        <v>4063200</v>
      </c>
      <c r="V515" s="250"/>
      <c r="W515" s="224">
        <f>ROUNDUP((T515+U515)*1/12,-1)</f>
        <v>338600</v>
      </c>
      <c r="X515" s="225">
        <f t="shared" si="699"/>
        <v>182840</v>
      </c>
      <c r="Y515" s="225">
        <f t="shared" si="647"/>
        <v>131250</v>
      </c>
      <c r="Z515" s="225">
        <f t="shared" si="648"/>
        <v>11170</v>
      </c>
      <c r="AA515" s="225">
        <f t="shared" si="702"/>
        <v>36570</v>
      </c>
      <c r="AB515" s="225">
        <f t="shared" si="703"/>
        <v>32510</v>
      </c>
      <c r="AC515" s="252">
        <f t="shared" si="704"/>
        <v>732940</v>
      </c>
    </row>
    <row r="516" spans="1:29" s="204" customFormat="1" ht="16.5" hidden="1" customHeight="1">
      <c r="A516" s="319"/>
      <c r="B516" s="211"/>
      <c r="C516" s="212"/>
      <c r="D516" s="212"/>
      <c r="E516" s="219" t="s">
        <v>391</v>
      </c>
      <c r="F516" s="221">
        <f>F515</f>
        <v>2132000</v>
      </c>
      <c r="G516" s="221"/>
      <c r="H516" s="221"/>
      <c r="I516" s="222"/>
      <c r="J516" s="221"/>
      <c r="K516" s="221"/>
      <c r="L516" s="221"/>
      <c r="M516" s="221"/>
      <c r="N516" s="221"/>
      <c r="O516" s="221">
        <f t="shared" si="705"/>
        <v>40000</v>
      </c>
      <c r="P516" s="221"/>
      <c r="Q516" s="221">
        <f t="shared" si="706"/>
        <v>15300</v>
      </c>
      <c r="R516" s="221">
        <f t="shared" ref="R516:R524" si="707">Q516*40</f>
        <v>612000</v>
      </c>
      <c r="S516" s="221"/>
      <c r="T516" s="222"/>
      <c r="U516" s="214">
        <f t="shared" si="698"/>
        <v>2784000</v>
      </c>
      <c r="V516" s="250"/>
      <c r="W516" s="224">
        <f t="shared" ref="W516:W525" si="708">ROUNDUP(U516*1/12,-1)</f>
        <v>232000</v>
      </c>
      <c r="X516" s="225">
        <f t="shared" si="699"/>
        <v>125280</v>
      </c>
      <c r="Y516" s="225">
        <f t="shared" si="647"/>
        <v>89930</v>
      </c>
      <c r="Z516" s="225">
        <f t="shared" si="648"/>
        <v>7660</v>
      </c>
      <c r="AA516" s="225">
        <f t="shared" si="702"/>
        <v>25060</v>
      </c>
      <c r="AB516" s="225">
        <f t="shared" si="703"/>
        <v>22270</v>
      </c>
      <c r="AC516" s="252">
        <f t="shared" si="704"/>
        <v>502200</v>
      </c>
    </row>
    <row r="517" spans="1:29" s="204" customFormat="1" ht="16.5" hidden="1" customHeight="1">
      <c r="A517" s="319"/>
      <c r="B517" s="211"/>
      <c r="C517" s="212"/>
      <c r="D517" s="212"/>
      <c r="E517" s="219" t="s">
        <v>392</v>
      </c>
      <c r="F517" s="221">
        <f>F516</f>
        <v>2132000</v>
      </c>
      <c r="G517" s="221"/>
      <c r="H517" s="221"/>
      <c r="I517" s="222"/>
      <c r="J517" s="221"/>
      <c r="K517" s="221"/>
      <c r="L517" s="221"/>
      <c r="M517" s="221"/>
      <c r="N517" s="221"/>
      <c r="O517" s="221">
        <f t="shared" si="705"/>
        <v>40000</v>
      </c>
      <c r="P517" s="221"/>
      <c r="Q517" s="221">
        <f t="shared" si="706"/>
        <v>15300</v>
      </c>
      <c r="R517" s="221">
        <f t="shared" si="707"/>
        <v>612000</v>
      </c>
      <c r="S517" s="221"/>
      <c r="T517" s="222"/>
      <c r="U517" s="214">
        <f t="shared" si="698"/>
        <v>2784000</v>
      </c>
      <c r="V517" s="250"/>
      <c r="W517" s="224">
        <f t="shared" si="708"/>
        <v>232000</v>
      </c>
      <c r="X517" s="225">
        <f t="shared" si="699"/>
        <v>125280</v>
      </c>
      <c r="Y517" s="225">
        <f t="shared" si="647"/>
        <v>89930</v>
      </c>
      <c r="Z517" s="225">
        <f t="shared" si="648"/>
        <v>7660</v>
      </c>
      <c r="AA517" s="225">
        <f t="shared" si="702"/>
        <v>25060</v>
      </c>
      <c r="AB517" s="225">
        <f t="shared" si="703"/>
        <v>22270</v>
      </c>
      <c r="AC517" s="252">
        <f t="shared" si="704"/>
        <v>502200</v>
      </c>
    </row>
    <row r="518" spans="1:29" s="204" customFormat="1" ht="16.5" hidden="1" customHeight="1">
      <c r="A518" s="319"/>
      <c r="B518" s="211"/>
      <c r="C518" s="212"/>
      <c r="D518" s="212"/>
      <c r="E518" s="219" t="s">
        <v>393</v>
      </c>
      <c r="F518" s="221">
        <f>F517</f>
        <v>2132000</v>
      </c>
      <c r="G518" s="221"/>
      <c r="H518" s="221"/>
      <c r="I518" s="222"/>
      <c r="J518" s="221"/>
      <c r="K518" s="221"/>
      <c r="L518" s="221"/>
      <c r="M518" s="221"/>
      <c r="N518" s="221"/>
      <c r="O518" s="221">
        <v>60000</v>
      </c>
      <c r="P518" s="221"/>
      <c r="Q518" s="221">
        <f t="shared" si="706"/>
        <v>15300</v>
      </c>
      <c r="R518" s="221">
        <f t="shared" si="707"/>
        <v>612000</v>
      </c>
      <c r="S518" s="221"/>
      <c r="T518" s="222"/>
      <c r="U518" s="214">
        <f t="shared" si="698"/>
        <v>2804000</v>
      </c>
      <c r="V518" s="250"/>
      <c r="W518" s="224">
        <f t="shared" si="708"/>
        <v>233670</v>
      </c>
      <c r="X518" s="225">
        <f t="shared" si="699"/>
        <v>126180</v>
      </c>
      <c r="Y518" s="225">
        <f t="shared" si="647"/>
        <v>90570</v>
      </c>
      <c r="Z518" s="225">
        <f t="shared" si="648"/>
        <v>7710</v>
      </c>
      <c r="AA518" s="225">
        <f t="shared" si="702"/>
        <v>25240</v>
      </c>
      <c r="AB518" s="225">
        <f t="shared" si="703"/>
        <v>22430</v>
      </c>
      <c r="AC518" s="252">
        <f t="shared" si="704"/>
        <v>505800</v>
      </c>
    </row>
    <row r="519" spans="1:29" s="204" customFormat="1" ht="16.5" hidden="1" customHeight="1">
      <c r="A519" s="319"/>
      <c r="B519" s="211"/>
      <c r="C519" s="212"/>
      <c r="D519" s="212"/>
      <c r="E519" s="219" t="s">
        <v>394</v>
      </c>
      <c r="F519" s="221">
        <f>F518</f>
        <v>2132000</v>
      </c>
      <c r="G519" s="221"/>
      <c r="H519" s="221"/>
      <c r="I519" s="222"/>
      <c r="J519" s="221"/>
      <c r="K519" s="221"/>
      <c r="L519" s="221"/>
      <c r="M519" s="221"/>
      <c r="N519" s="221"/>
      <c r="O519" s="221">
        <f t="shared" si="705"/>
        <v>60000</v>
      </c>
      <c r="P519" s="221"/>
      <c r="Q519" s="221">
        <f t="shared" si="706"/>
        <v>15300</v>
      </c>
      <c r="R519" s="221">
        <f t="shared" si="707"/>
        <v>612000</v>
      </c>
      <c r="S519" s="221"/>
      <c r="T519" s="222"/>
      <c r="U519" s="214">
        <f t="shared" si="698"/>
        <v>2804000</v>
      </c>
      <c r="V519" s="250"/>
      <c r="W519" s="224">
        <f t="shared" si="708"/>
        <v>233670</v>
      </c>
      <c r="X519" s="225">
        <f t="shared" si="699"/>
        <v>126180</v>
      </c>
      <c r="Y519" s="225">
        <f t="shared" si="647"/>
        <v>90570</v>
      </c>
      <c r="Z519" s="225">
        <f t="shared" si="648"/>
        <v>7710</v>
      </c>
      <c r="AA519" s="225">
        <f t="shared" si="702"/>
        <v>25240</v>
      </c>
      <c r="AB519" s="225">
        <f t="shared" si="703"/>
        <v>22430</v>
      </c>
      <c r="AC519" s="252">
        <f t="shared" si="704"/>
        <v>505800</v>
      </c>
    </row>
    <row r="520" spans="1:29" s="204" customFormat="1" ht="16.5" hidden="1" customHeight="1">
      <c r="A520" s="319"/>
      <c r="B520" s="211"/>
      <c r="C520" s="212"/>
      <c r="D520" s="212"/>
      <c r="E520" s="219" t="s">
        <v>279</v>
      </c>
      <c r="F520" s="221">
        <f t="shared" ref="F520:F525" si="709">F519</f>
        <v>2132000</v>
      </c>
      <c r="G520" s="221"/>
      <c r="H520" s="220"/>
      <c r="I520" s="222"/>
      <c r="J520" s="221"/>
      <c r="K520" s="221"/>
      <c r="L520" s="221"/>
      <c r="M520" s="221"/>
      <c r="N520" s="221"/>
      <c r="O520" s="221">
        <f t="shared" si="705"/>
        <v>60000</v>
      </c>
      <c r="P520" s="221"/>
      <c r="Q520" s="221">
        <f t="shared" si="706"/>
        <v>15300</v>
      </c>
      <c r="R520" s="221">
        <f t="shared" si="707"/>
        <v>612000</v>
      </c>
      <c r="S520" s="221"/>
      <c r="T520" s="222"/>
      <c r="U520" s="214">
        <f t="shared" si="698"/>
        <v>2804000</v>
      </c>
      <c r="V520" s="250"/>
      <c r="W520" s="224">
        <f t="shared" si="708"/>
        <v>233670</v>
      </c>
      <c r="X520" s="225">
        <f t="shared" si="699"/>
        <v>126180</v>
      </c>
      <c r="Y520" s="225">
        <f t="shared" si="647"/>
        <v>90570</v>
      </c>
      <c r="Z520" s="225">
        <f t="shared" si="648"/>
        <v>7710</v>
      </c>
      <c r="AA520" s="225">
        <f t="shared" si="702"/>
        <v>25240</v>
      </c>
      <c r="AB520" s="225">
        <f t="shared" si="703"/>
        <v>22430</v>
      </c>
      <c r="AC520" s="252">
        <f t="shared" si="704"/>
        <v>505800</v>
      </c>
    </row>
    <row r="521" spans="1:29" s="204" customFormat="1" ht="16.5" hidden="1" customHeight="1">
      <c r="A521" s="319"/>
      <c r="B521" s="211"/>
      <c r="C521" s="212"/>
      <c r="D521" s="212"/>
      <c r="E521" s="219" t="s">
        <v>280</v>
      </c>
      <c r="F521" s="221">
        <f t="shared" si="709"/>
        <v>2132000</v>
      </c>
      <c r="G521" s="221"/>
      <c r="H521" s="221"/>
      <c r="I521" s="222"/>
      <c r="J521" s="221"/>
      <c r="K521" s="221"/>
      <c r="L521" s="221"/>
      <c r="M521" s="221"/>
      <c r="N521" s="221"/>
      <c r="O521" s="221">
        <f t="shared" si="705"/>
        <v>60000</v>
      </c>
      <c r="P521" s="221"/>
      <c r="Q521" s="221">
        <f t="shared" si="706"/>
        <v>15300</v>
      </c>
      <c r="R521" s="221">
        <f t="shared" si="707"/>
        <v>612000</v>
      </c>
      <c r="S521" s="221"/>
      <c r="T521" s="222"/>
      <c r="U521" s="214">
        <f t="shared" si="698"/>
        <v>2804000</v>
      </c>
      <c r="V521" s="250"/>
      <c r="W521" s="224">
        <f t="shared" si="708"/>
        <v>233670</v>
      </c>
      <c r="X521" s="225">
        <f t="shared" si="699"/>
        <v>126180</v>
      </c>
      <c r="Y521" s="225">
        <f t="shared" si="647"/>
        <v>90570</v>
      </c>
      <c r="Z521" s="225">
        <f t="shared" si="648"/>
        <v>7710</v>
      </c>
      <c r="AA521" s="225">
        <f t="shared" si="702"/>
        <v>25240</v>
      </c>
      <c r="AB521" s="225">
        <f t="shared" si="703"/>
        <v>22430</v>
      </c>
      <c r="AC521" s="252">
        <f t="shared" si="704"/>
        <v>505800</v>
      </c>
    </row>
    <row r="522" spans="1:29" s="204" customFormat="1" ht="16.5" hidden="1" customHeight="1">
      <c r="A522" s="319"/>
      <c r="B522" s="211"/>
      <c r="C522" s="310">
        <v>8</v>
      </c>
      <c r="D522" s="310"/>
      <c r="E522" s="311" t="s">
        <v>54</v>
      </c>
      <c r="F522" s="312">
        <v>2197000</v>
      </c>
      <c r="G522" s="221"/>
      <c r="H522" s="221"/>
      <c r="I522" s="222"/>
      <c r="J522" s="221"/>
      <c r="K522" s="221"/>
      <c r="L522" s="221"/>
      <c r="M522" s="221">
        <f t="shared" ref="M522" si="710">F522*60%</f>
        <v>1318200</v>
      </c>
      <c r="N522" s="221"/>
      <c r="O522" s="221">
        <f t="shared" si="705"/>
        <v>60000</v>
      </c>
      <c r="P522" s="221"/>
      <c r="Q522" s="221">
        <f t="shared" si="706"/>
        <v>15300</v>
      </c>
      <c r="R522" s="221">
        <f t="shared" si="707"/>
        <v>612000</v>
      </c>
      <c r="S522" s="221"/>
      <c r="T522" s="222"/>
      <c r="U522" s="214">
        <f t="shared" si="698"/>
        <v>4187200</v>
      </c>
      <c r="V522" s="250"/>
      <c r="W522" s="224">
        <f t="shared" si="708"/>
        <v>348940</v>
      </c>
      <c r="X522" s="225">
        <f t="shared" si="699"/>
        <v>188420</v>
      </c>
      <c r="Y522" s="225">
        <f t="shared" si="647"/>
        <v>135250</v>
      </c>
      <c r="Z522" s="225">
        <f t="shared" si="648"/>
        <v>11510</v>
      </c>
      <c r="AA522" s="225">
        <f t="shared" si="702"/>
        <v>37680</v>
      </c>
      <c r="AB522" s="225">
        <f t="shared" si="703"/>
        <v>33500</v>
      </c>
      <c r="AC522" s="252">
        <f t="shared" si="704"/>
        <v>755300</v>
      </c>
    </row>
    <row r="523" spans="1:29" s="204" customFormat="1" ht="16.5" hidden="1" customHeight="1">
      <c r="A523" s="319"/>
      <c r="B523" s="211"/>
      <c r="C523" s="212"/>
      <c r="D523" s="212"/>
      <c r="E523" s="219" t="s">
        <v>55</v>
      </c>
      <c r="F523" s="221">
        <f t="shared" si="709"/>
        <v>2197000</v>
      </c>
      <c r="G523" s="221"/>
      <c r="H523" s="221"/>
      <c r="I523" s="222"/>
      <c r="J523" s="221"/>
      <c r="K523" s="221"/>
      <c r="L523" s="221"/>
      <c r="M523" s="221"/>
      <c r="N523" s="221"/>
      <c r="O523" s="221">
        <f t="shared" si="705"/>
        <v>60000</v>
      </c>
      <c r="P523" s="221"/>
      <c r="Q523" s="221">
        <f t="shared" si="706"/>
        <v>15770</v>
      </c>
      <c r="R523" s="221">
        <f t="shared" si="707"/>
        <v>630800</v>
      </c>
      <c r="S523" s="221"/>
      <c r="T523" s="222"/>
      <c r="U523" s="214">
        <f t="shared" si="698"/>
        <v>2887800</v>
      </c>
      <c r="V523" s="250"/>
      <c r="W523" s="224">
        <f t="shared" si="708"/>
        <v>240650</v>
      </c>
      <c r="X523" s="225">
        <f t="shared" si="699"/>
        <v>129950</v>
      </c>
      <c r="Y523" s="225">
        <f t="shared" si="647"/>
        <v>93280</v>
      </c>
      <c r="Z523" s="225">
        <f t="shared" si="648"/>
        <v>7940</v>
      </c>
      <c r="AA523" s="225">
        <f t="shared" si="702"/>
        <v>25990</v>
      </c>
      <c r="AB523" s="225">
        <f t="shared" si="703"/>
        <v>23100</v>
      </c>
      <c r="AC523" s="252">
        <f t="shared" si="704"/>
        <v>520910</v>
      </c>
    </row>
    <row r="524" spans="1:29" s="204" customFormat="1" ht="16.5" hidden="1" customHeight="1">
      <c r="A524" s="319"/>
      <c r="B524" s="211"/>
      <c r="C524" s="212"/>
      <c r="D524" s="212"/>
      <c r="E524" s="219" t="s">
        <v>56</v>
      </c>
      <c r="F524" s="221">
        <f t="shared" si="709"/>
        <v>2197000</v>
      </c>
      <c r="G524" s="221"/>
      <c r="H524" s="221"/>
      <c r="I524" s="222"/>
      <c r="J524" s="221"/>
      <c r="K524" s="221"/>
      <c r="L524" s="221"/>
      <c r="M524" s="221"/>
      <c r="N524" s="221"/>
      <c r="O524" s="221">
        <f t="shared" si="705"/>
        <v>60000</v>
      </c>
      <c r="P524" s="221"/>
      <c r="Q524" s="221">
        <f t="shared" si="706"/>
        <v>15770</v>
      </c>
      <c r="R524" s="221">
        <f t="shared" si="707"/>
        <v>630800</v>
      </c>
      <c r="S524" s="221"/>
      <c r="T524" s="222"/>
      <c r="U524" s="214">
        <f t="shared" si="698"/>
        <v>2887800</v>
      </c>
      <c r="V524" s="250"/>
      <c r="W524" s="224">
        <f t="shared" si="708"/>
        <v>240650</v>
      </c>
      <c r="X524" s="225">
        <f t="shared" si="699"/>
        <v>129950</v>
      </c>
      <c r="Y524" s="225">
        <f t="shared" si="647"/>
        <v>93280</v>
      </c>
      <c r="Z524" s="225">
        <f t="shared" si="648"/>
        <v>7940</v>
      </c>
      <c r="AA524" s="225">
        <f t="shared" si="702"/>
        <v>25990</v>
      </c>
      <c r="AB524" s="225">
        <f t="shared" si="703"/>
        <v>23100</v>
      </c>
      <c r="AC524" s="252">
        <f t="shared" si="704"/>
        <v>520910</v>
      </c>
    </row>
    <row r="525" spans="1:29" s="204" customFormat="1" ht="16.5" hidden="1" customHeight="1">
      <c r="A525" s="319"/>
      <c r="B525" s="211"/>
      <c r="C525" s="212"/>
      <c r="D525" s="212"/>
      <c r="E525" s="219" t="s">
        <v>395</v>
      </c>
      <c r="F525" s="221">
        <f t="shared" si="709"/>
        <v>2197000</v>
      </c>
      <c r="G525" s="221"/>
      <c r="H525" s="221"/>
      <c r="I525" s="222"/>
      <c r="J525" s="221"/>
      <c r="K525" s="221"/>
      <c r="L525" s="221"/>
      <c r="M525" s="221"/>
      <c r="N525" s="221"/>
      <c r="O525" s="221">
        <f t="shared" si="705"/>
        <v>60000</v>
      </c>
      <c r="P525" s="221"/>
      <c r="Q525" s="221">
        <f t="shared" si="706"/>
        <v>15770</v>
      </c>
      <c r="R525" s="221">
        <f>Q525*40*2</f>
        <v>1261600</v>
      </c>
      <c r="S525" s="221"/>
      <c r="T525" s="222"/>
      <c r="U525" s="214">
        <f t="shared" si="698"/>
        <v>3518600</v>
      </c>
      <c r="V525" s="250"/>
      <c r="W525" s="224">
        <f t="shared" si="708"/>
        <v>293220</v>
      </c>
      <c r="X525" s="225">
        <f t="shared" si="699"/>
        <v>158340</v>
      </c>
      <c r="Y525" s="225">
        <f t="shared" si="647"/>
        <v>113660</v>
      </c>
      <c r="Z525" s="225">
        <f t="shared" si="648"/>
        <v>9680</v>
      </c>
      <c r="AA525" s="225">
        <f t="shared" si="702"/>
        <v>31670</v>
      </c>
      <c r="AB525" s="225">
        <f t="shared" si="703"/>
        <v>28150</v>
      </c>
      <c r="AC525" s="252">
        <f t="shared" si="704"/>
        <v>634720</v>
      </c>
    </row>
    <row r="526" spans="1:29" s="204" customFormat="1" ht="16.5" hidden="1" customHeight="1">
      <c r="A526" s="319">
        <v>41</v>
      </c>
      <c r="B526" s="211" t="s">
        <v>87</v>
      </c>
      <c r="C526" s="212">
        <v>2</v>
      </c>
      <c r="D526" s="212">
        <v>1</v>
      </c>
      <c r="E526" s="213" t="s">
        <v>86</v>
      </c>
      <c r="F526" s="214">
        <f t="shared" ref="F526:N526" si="711">SUM(F527:F538)</f>
        <v>22032000</v>
      </c>
      <c r="G526" s="214">
        <f t="shared" si="711"/>
        <v>0</v>
      </c>
      <c r="H526" s="214">
        <f t="shared" si="711"/>
        <v>0</v>
      </c>
      <c r="I526" s="214">
        <f t="shared" si="711"/>
        <v>0</v>
      </c>
      <c r="J526" s="214">
        <f t="shared" si="711"/>
        <v>0</v>
      </c>
      <c r="K526" s="214">
        <f t="shared" si="711"/>
        <v>0</v>
      </c>
      <c r="L526" s="214">
        <f t="shared" si="711"/>
        <v>0</v>
      </c>
      <c r="M526" s="214">
        <f t="shared" si="711"/>
        <v>2203200</v>
      </c>
      <c r="N526" s="214">
        <f t="shared" si="711"/>
        <v>0</v>
      </c>
      <c r="O526" s="214">
        <f>SUM(O527:O538)</f>
        <v>0</v>
      </c>
      <c r="P526" s="214">
        <f t="shared" ref="P526" si="712">SUM(P527:P538)</f>
        <v>0</v>
      </c>
      <c r="Q526" s="214"/>
      <c r="R526" s="214">
        <f t="shared" ref="R526" si="713">SUM(R527:R538)</f>
        <v>2525280</v>
      </c>
      <c r="S526" s="214">
        <f>SUM(S527:S538)</f>
        <v>789150</v>
      </c>
      <c r="T526" s="214">
        <f t="shared" ref="T526:U526" si="714">SUM(T527:T538)</f>
        <v>0</v>
      </c>
      <c r="U526" s="214">
        <f t="shared" si="714"/>
        <v>27549630</v>
      </c>
      <c r="V526" s="250"/>
      <c r="W526" s="217">
        <f t="shared" ref="W526:AB526" si="715">SUM(W527:W538)</f>
        <v>2295850</v>
      </c>
      <c r="X526" s="214">
        <f t="shared" si="715"/>
        <v>1239780</v>
      </c>
      <c r="Y526" s="214">
        <f t="shared" si="715"/>
        <v>889940</v>
      </c>
      <c r="Z526" s="214">
        <f t="shared" si="715"/>
        <v>75760</v>
      </c>
      <c r="AA526" s="214">
        <f t="shared" si="715"/>
        <v>247990</v>
      </c>
      <c r="AB526" s="214">
        <f t="shared" si="715"/>
        <v>220390</v>
      </c>
      <c r="AC526" s="266">
        <f>SUM(AC527:AC538)</f>
        <v>4969710</v>
      </c>
    </row>
    <row r="527" spans="1:29" s="204" customFormat="1" ht="16.5" hidden="1" customHeight="1">
      <c r="A527" s="319"/>
      <c r="B527" s="211" t="s">
        <v>906</v>
      </c>
      <c r="C527" s="310">
        <v>2</v>
      </c>
      <c r="D527" s="310"/>
      <c r="E527" s="311" t="s">
        <v>273</v>
      </c>
      <c r="F527" s="312">
        <v>1836000</v>
      </c>
      <c r="G527" s="221"/>
      <c r="H527" s="220"/>
      <c r="I527" s="222"/>
      <c r="J527" s="221"/>
      <c r="K527" s="221"/>
      <c r="L527" s="221"/>
      <c r="M527" s="221" t="s">
        <v>60</v>
      </c>
      <c r="N527" s="221"/>
      <c r="O527" s="221"/>
      <c r="P527" s="221"/>
      <c r="Q527" s="221"/>
      <c r="R527" s="221"/>
      <c r="S527" s="221"/>
      <c r="T527" s="222"/>
      <c r="U527" s="214">
        <f t="shared" ref="U527:U538" si="716">SUM(F527,M527,O527,R527,T527,S527)</f>
        <v>1836000</v>
      </c>
      <c r="V527" s="250"/>
      <c r="W527" s="224">
        <f>ROUNDUP(U527*1/12,-1)</f>
        <v>153000</v>
      </c>
      <c r="X527" s="225">
        <f t="shared" ref="X527:X538" si="717">ROUND(U527*4.5%,-1)</f>
        <v>82620</v>
      </c>
      <c r="Y527" s="225">
        <f t="shared" ref="Y527" si="718">ROUNDUP((U527-L527)*3.23%,-1)</f>
        <v>59310</v>
      </c>
      <c r="Z527" s="225">
        <f t="shared" ref="Z527" si="719">ROUNDUP(Y527*8.51%,-1)</f>
        <v>5050</v>
      </c>
      <c r="AA527" s="225">
        <f t="shared" ref="AA527:AA538" si="720">ROUND(U527*0.9%,-1)</f>
        <v>16520</v>
      </c>
      <c r="AB527" s="225">
        <f t="shared" ref="AB527:AB538" si="721">ROUND(U527*0.8%,-1)</f>
        <v>14690</v>
      </c>
      <c r="AC527" s="252">
        <f t="shared" ref="AC527:AC538" si="722">SUM(W527:AB527)</f>
        <v>331190</v>
      </c>
    </row>
    <row r="528" spans="1:29" s="204" customFormat="1" ht="16.5" hidden="1" customHeight="1">
      <c r="A528" s="319"/>
      <c r="B528" s="211"/>
      <c r="C528" s="212"/>
      <c r="D528" s="212"/>
      <c r="E528" s="219" t="s">
        <v>274</v>
      </c>
      <c r="F528" s="221">
        <f>F527</f>
        <v>1836000</v>
      </c>
      <c r="G528" s="221"/>
      <c r="H528" s="221"/>
      <c r="I528" s="222"/>
      <c r="J528" s="221"/>
      <c r="K528" s="221"/>
      <c r="L528" s="221"/>
      <c r="M528" s="221">
        <f>F528*60%</f>
        <v>1101600</v>
      </c>
      <c r="N528" s="221"/>
      <c r="O528" s="221"/>
      <c r="P528" s="221"/>
      <c r="Q528" s="221">
        <v>12850</v>
      </c>
      <c r="R528" s="221">
        <f>Q528*16</f>
        <v>205600</v>
      </c>
      <c r="S528" s="221">
        <f>Q528*5</f>
        <v>64250</v>
      </c>
      <c r="T528" s="222"/>
      <c r="U528" s="214">
        <f t="shared" si="716"/>
        <v>3207450</v>
      </c>
      <c r="V528" s="250"/>
      <c r="W528" s="224">
        <f>ROUNDUP((T528+U528)*1/12,-1)</f>
        <v>267290</v>
      </c>
      <c r="X528" s="225">
        <f t="shared" si="717"/>
        <v>144340</v>
      </c>
      <c r="Y528" s="225">
        <f t="shared" si="647"/>
        <v>103610</v>
      </c>
      <c r="Z528" s="225">
        <f t="shared" si="648"/>
        <v>8820</v>
      </c>
      <c r="AA528" s="225">
        <f t="shared" si="720"/>
        <v>28870</v>
      </c>
      <c r="AB528" s="225">
        <f t="shared" si="721"/>
        <v>25660</v>
      </c>
      <c r="AC528" s="252">
        <f t="shared" si="722"/>
        <v>578590</v>
      </c>
    </row>
    <row r="529" spans="1:29" s="204" customFormat="1" ht="16.5" hidden="1" customHeight="1">
      <c r="A529" s="319"/>
      <c r="B529" s="211"/>
      <c r="C529" s="212"/>
      <c r="D529" s="212"/>
      <c r="E529" s="219" t="s">
        <v>275</v>
      </c>
      <c r="F529" s="221">
        <f t="shared" ref="F529:F538" si="723">F528</f>
        <v>1836000</v>
      </c>
      <c r="G529" s="221"/>
      <c r="H529" s="221"/>
      <c r="I529" s="222"/>
      <c r="J529" s="221"/>
      <c r="K529" s="221"/>
      <c r="L529" s="221"/>
      <c r="M529" s="221"/>
      <c r="N529" s="221"/>
      <c r="O529" s="221"/>
      <c r="P529" s="221"/>
      <c r="Q529" s="221">
        <f t="shared" ref="Q529:Q538" si="724">ROUND((F528+T528)*1/209*1.5,-1)</f>
        <v>13180</v>
      </c>
      <c r="R529" s="221">
        <f t="shared" ref="R529:R537" si="725">Q529*16</f>
        <v>210880</v>
      </c>
      <c r="S529" s="221">
        <f t="shared" ref="S529:S537" si="726">Q529*5</f>
        <v>65900</v>
      </c>
      <c r="T529" s="222"/>
      <c r="U529" s="214">
        <f t="shared" si="716"/>
        <v>2112780</v>
      </c>
      <c r="V529" s="250"/>
      <c r="W529" s="224">
        <f t="shared" ref="W529:W538" si="727">ROUNDUP(U529*1/12,-1)</f>
        <v>176070</v>
      </c>
      <c r="X529" s="225">
        <f t="shared" si="717"/>
        <v>95080</v>
      </c>
      <c r="Y529" s="225">
        <f t="shared" si="647"/>
        <v>68250</v>
      </c>
      <c r="Z529" s="225">
        <f t="shared" si="648"/>
        <v>5810</v>
      </c>
      <c r="AA529" s="225">
        <f t="shared" si="720"/>
        <v>19020</v>
      </c>
      <c r="AB529" s="225">
        <f t="shared" si="721"/>
        <v>16900</v>
      </c>
      <c r="AC529" s="252">
        <f t="shared" si="722"/>
        <v>381130</v>
      </c>
    </row>
    <row r="530" spans="1:29" s="204" customFormat="1" ht="16.5" hidden="1" customHeight="1">
      <c r="A530" s="319"/>
      <c r="B530" s="211"/>
      <c r="C530" s="212"/>
      <c r="D530" s="212"/>
      <c r="E530" s="219" t="s">
        <v>276</v>
      </c>
      <c r="F530" s="221">
        <f t="shared" si="723"/>
        <v>1836000</v>
      </c>
      <c r="G530" s="221"/>
      <c r="H530" s="221"/>
      <c r="I530" s="222"/>
      <c r="J530" s="221"/>
      <c r="K530" s="221"/>
      <c r="L530" s="221"/>
      <c r="M530" s="221"/>
      <c r="N530" s="221"/>
      <c r="O530" s="221"/>
      <c r="P530" s="221"/>
      <c r="Q530" s="221">
        <f t="shared" si="724"/>
        <v>13180</v>
      </c>
      <c r="R530" s="221">
        <f t="shared" si="725"/>
        <v>210880</v>
      </c>
      <c r="S530" s="221">
        <f t="shared" si="726"/>
        <v>65900</v>
      </c>
      <c r="T530" s="222"/>
      <c r="U530" s="214">
        <f t="shared" si="716"/>
        <v>2112780</v>
      </c>
      <c r="V530" s="250"/>
      <c r="W530" s="224">
        <f t="shared" si="727"/>
        <v>176070</v>
      </c>
      <c r="X530" s="225">
        <f t="shared" si="717"/>
        <v>95080</v>
      </c>
      <c r="Y530" s="225">
        <f t="shared" si="647"/>
        <v>68250</v>
      </c>
      <c r="Z530" s="225">
        <f t="shared" si="648"/>
        <v>5810</v>
      </c>
      <c r="AA530" s="225">
        <f t="shared" si="720"/>
        <v>19020</v>
      </c>
      <c r="AB530" s="225">
        <f t="shared" si="721"/>
        <v>16900</v>
      </c>
      <c r="AC530" s="252">
        <f t="shared" si="722"/>
        <v>381130</v>
      </c>
    </row>
    <row r="531" spans="1:29" s="204" customFormat="1" ht="16.5" hidden="1" customHeight="1">
      <c r="A531" s="319"/>
      <c r="B531" s="211"/>
      <c r="C531" s="212"/>
      <c r="D531" s="212"/>
      <c r="E531" s="219" t="s">
        <v>277</v>
      </c>
      <c r="F531" s="221">
        <f t="shared" si="723"/>
        <v>1836000</v>
      </c>
      <c r="G531" s="221"/>
      <c r="H531" s="221"/>
      <c r="I531" s="222"/>
      <c r="J531" s="221"/>
      <c r="K531" s="221"/>
      <c r="L531" s="221"/>
      <c r="M531" s="221"/>
      <c r="N531" s="221"/>
      <c r="O531" s="221"/>
      <c r="P531" s="221"/>
      <c r="Q531" s="221">
        <f t="shared" si="724"/>
        <v>13180</v>
      </c>
      <c r="R531" s="221">
        <f t="shared" si="725"/>
        <v>210880</v>
      </c>
      <c r="S531" s="221">
        <f t="shared" si="726"/>
        <v>65900</v>
      </c>
      <c r="T531" s="222"/>
      <c r="U531" s="214">
        <f t="shared" si="716"/>
        <v>2112780</v>
      </c>
      <c r="V531" s="250"/>
      <c r="W531" s="224">
        <f t="shared" si="727"/>
        <v>176070</v>
      </c>
      <c r="X531" s="225">
        <f t="shared" si="717"/>
        <v>95080</v>
      </c>
      <c r="Y531" s="225">
        <f t="shared" si="647"/>
        <v>68250</v>
      </c>
      <c r="Z531" s="225">
        <f t="shared" si="648"/>
        <v>5810</v>
      </c>
      <c r="AA531" s="225">
        <f t="shared" si="720"/>
        <v>19020</v>
      </c>
      <c r="AB531" s="225">
        <f t="shared" si="721"/>
        <v>16900</v>
      </c>
      <c r="AC531" s="252">
        <f t="shared" si="722"/>
        <v>381130</v>
      </c>
    </row>
    <row r="532" spans="1:29" s="204" customFormat="1" ht="16.5" hidden="1" customHeight="1">
      <c r="A532" s="319"/>
      <c r="B532" s="211"/>
      <c r="C532" s="212"/>
      <c r="D532" s="212"/>
      <c r="E532" s="219" t="s">
        <v>278</v>
      </c>
      <c r="F532" s="221">
        <f t="shared" si="723"/>
        <v>1836000</v>
      </c>
      <c r="G532" s="221"/>
      <c r="H532" s="221"/>
      <c r="I532" s="222"/>
      <c r="J532" s="221"/>
      <c r="K532" s="221"/>
      <c r="L532" s="221"/>
      <c r="M532" s="221"/>
      <c r="N532" s="221"/>
      <c r="O532" s="221"/>
      <c r="P532" s="221"/>
      <c r="Q532" s="221">
        <f t="shared" si="724"/>
        <v>13180</v>
      </c>
      <c r="R532" s="221">
        <f t="shared" si="725"/>
        <v>210880</v>
      </c>
      <c r="S532" s="221">
        <f t="shared" si="726"/>
        <v>65900</v>
      </c>
      <c r="T532" s="222"/>
      <c r="U532" s="214">
        <f t="shared" si="716"/>
        <v>2112780</v>
      </c>
      <c r="V532" s="250"/>
      <c r="W532" s="224">
        <f t="shared" si="727"/>
        <v>176070</v>
      </c>
      <c r="X532" s="225">
        <f t="shared" si="717"/>
        <v>95080</v>
      </c>
      <c r="Y532" s="225">
        <f t="shared" si="647"/>
        <v>68250</v>
      </c>
      <c r="Z532" s="225">
        <f t="shared" si="648"/>
        <v>5810</v>
      </c>
      <c r="AA532" s="225">
        <f t="shared" si="720"/>
        <v>19020</v>
      </c>
      <c r="AB532" s="225">
        <f t="shared" si="721"/>
        <v>16900</v>
      </c>
      <c r="AC532" s="252">
        <f t="shared" si="722"/>
        <v>381130</v>
      </c>
    </row>
    <row r="533" spans="1:29" s="204" customFormat="1" ht="16.5" hidden="1" customHeight="1">
      <c r="A533" s="319"/>
      <c r="B533" s="211"/>
      <c r="C533" s="212"/>
      <c r="D533" s="212"/>
      <c r="E533" s="219" t="s">
        <v>279</v>
      </c>
      <c r="F533" s="221">
        <f t="shared" si="723"/>
        <v>1836000</v>
      </c>
      <c r="G533" s="221"/>
      <c r="H533" s="220"/>
      <c r="I533" s="222"/>
      <c r="J533" s="221"/>
      <c r="K533" s="221"/>
      <c r="L533" s="221"/>
      <c r="M533" s="221"/>
      <c r="N533" s="221"/>
      <c r="O533" s="221"/>
      <c r="P533" s="221"/>
      <c r="Q533" s="221">
        <f t="shared" si="724"/>
        <v>13180</v>
      </c>
      <c r="R533" s="221">
        <f t="shared" si="725"/>
        <v>210880</v>
      </c>
      <c r="S533" s="221">
        <f t="shared" si="726"/>
        <v>65900</v>
      </c>
      <c r="T533" s="222"/>
      <c r="U533" s="214">
        <f t="shared" si="716"/>
        <v>2112780</v>
      </c>
      <c r="V533" s="250"/>
      <c r="W533" s="224">
        <f t="shared" si="727"/>
        <v>176070</v>
      </c>
      <c r="X533" s="225">
        <f t="shared" si="717"/>
        <v>95080</v>
      </c>
      <c r="Y533" s="225">
        <f t="shared" si="647"/>
        <v>68250</v>
      </c>
      <c r="Z533" s="225">
        <f t="shared" si="648"/>
        <v>5810</v>
      </c>
      <c r="AA533" s="225">
        <f t="shared" si="720"/>
        <v>19020</v>
      </c>
      <c r="AB533" s="225">
        <f t="shared" si="721"/>
        <v>16900</v>
      </c>
      <c r="AC533" s="252">
        <f t="shared" si="722"/>
        <v>381130</v>
      </c>
    </row>
    <row r="534" spans="1:29" s="204" customFormat="1" ht="16.5" hidden="1" customHeight="1">
      <c r="A534" s="319"/>
      <c r="B534" s="211"/>
      <c r="C534" s="212"/>
      <c r="D534" s="212"/>
      <c r="E534" s="219" t="s">
        <v>280</v>
      </c>
      <c r="F534" s="221">
        <f t="shared" si="723"/>
        <v>1836000</v>
      </c>
      <c r="G534" s="221"/>
      <c r="H534" s="221"/>
      <c r="I534" s="222"/>
      <c r="J534" s="221"/>
      <c r="K534" s="221"/>
      <c r="L534" s="221"/>
      <c r="M534" s="221"/>
      <c r="N534" s="221"/>
      <c r="O534" s="221"/>
      <c r="P534" s="221"/>
      <c r="Q534" s="221">
        <f t="shared" si="724"/>
        <v>13180</v>
      </c>
      <c r="R534" s="221">
        <f t="shared" si="725"/>
        <v>210880</v>
      </c>
      <c r="S534" s="221">
        <f t="shared" si="726"/>
        <v>65900</v>
      </c>
      <c r="T534" s="222"/>
      <c r="U534" s="214">
        <f t="shared" si="716"/>
        <v>2112780</v>
      </c>
      <c r="V534" s="250"/>
      <c r="W534" s="224">
        <f t="shared" si="727"/>
        <v>176070</v>
      </c>
      <c r="X534" s="225">
        <f t="shared" si="717"/>
        <v>95080</v>
      </c>
      <c r="Y534" s="225">
        <f t="shared" si="647"/>
        <v>68250</v>
      </c>
      <c r="Z534" s="225">
        <f t="shared" si="648"/>
        <v>5810</v>
      </c>
      <c r="AA534" s="225">
        <f t="shared" si="720"/>
        <v>19020</v>
      </c>
      <c r="AB534" s="225">
        <f t="shared" si="721"/>
        <v>16900</v>
      </c>
      <c r="AC534" s="252">
        <f t="shared" si="722"/>
        <v>381130</v>
      </c>
    </row>
    <row r="535" spans="1:29" s="204" customFormat="1" ht="16.5" hidden="1" customHeight="1">
      <c r="A535" s="319"/>
      <c r="B535" s="211"/>
      <c r="C535" s="212"/>
      <c r="D535" s="212"/>
      <c r="E535" s="219" t="s">
        <v>54</v>
      </c>
      <c r="F535" s="221">
        <f t="shared" si="723"/>
        <v>1836000</v>
      </c>
      <c r="G535" s="221"/>
      <c r="H535" s="221"/>
      <c r="I535" s="222"/>
      <c r="J535" s="221"/>
      <c r="K535" s="221"/>
      <c r="L535" s="221"/>
      <c r="M535" s="221">
        <f t="shared" ref="M535" si="728">F535*60%</f>
        <v>1101600</v>
      </c>
      <c r="N535" s="221"/>
      <c r="O535" s="221"/>
      <c r="P535" s="221"/>
      <c r="Q535" s="221">
        <f t="shared" si="724"/>
        <v>13180</v>
      </c>
      <c r="R535" s="221">
        <f t="shared" si="725"/>
        <v>210880</v>
      </c>
      <c r="S535" s="221">
        <f t="shared" si="726"/>
        <v>65900</v>
      </c>
      <c r="T535" s="222"/>
      <c r="U535" s="214">
        <f t="shared" si="716"/>
        <v>3214380</v>
      </c>
      <c r="V535" s="250"/>
      <c r="W535" s="224">
        <f t="shared" si="727"/>
        <v>267870</v>
      </c>
      <c r="X535" s="225">
        <f t="shared" si="717"/>
        <v>144650</v>
      </c>
      <c r="Y535" s="225">
        <f t="shared" si="647"/>
        <v>103830</v>
      </c>
      <c r="Z535" s="225">
        <f t="shared" si="648"/>
        <v>8840</v>
      </c>
      <c r="AA535" s="225">
        <f t="shared" si="720"/>
        <v>28930</v>
      </c>
      <c r="AB535" s="225">
        <f t="shared" si="721"/>
        <v>25720</v>
      </c>
      <c r="AC535" s="252">
        <f t="shared" si="722"/>
        <v>579840</v>
      </c>
    </row>
    <row r="536" spans="1:29" s="204" customFormat="1" ht="16.5" hidden="1" customHeight="1">
      <c r="A536" s="319"/>
      <c r="B536" s="211"/>
      <c r="C536" s="212"/>
      <c r="D536" s="212"/>
      <c r="E536" s="219" t="s">
        <v>55</v>
      </c>
      <c r="F536" s="221">
        <f t="shared" si="723"/>
        <v>1836000</v>
      </c>
      <c r="G536" s="221"/>
      <c r="H536" s="222"/>
      <c r="I536" s="222"/>
      <c r="J536" s="221"/>
      <c r="K536" s="221"/>
      <c r="L536" s="221"/>
      <c r="M536" s="221"/>
      <c r="N536" s="221"/>
      <c r="O536" s="221"/>
      <c r="P536" s="221"/>
      <c r="Q536" s="221">
        <f t="shared" si="724"/>
        <v>13180</v>
      </c>
      <c r="R536" s="221">
        <f t="shared" si="725"/>
        <v>210880</v>
      </c>
      <c r="S536" s="221">
        <f t="shared" si="726"/>
        <v>65900</v>
      </c>
      <c r="T536" s="222"/>
      <c r="U536" s="214">
        <f t="shared" si="716"/>
        <v>2112780</v>
      </c>
      <c r="V536" s="250"/>
      <c r="W536" s="224">
        <f t="shared" si="727"/>
        <v>176070</v>
      </c>
      <c r="X536" s="225">
        <f t="shared" si="717"/>
        <v>95080</v>
      </c>
      <c r="Y536" s="225">
        <f t="shared" si="647"/>
        <v>68250</v>
      </c>
      <c r="Z536" s="225">
        <f t="shared" si="648"/>
        <v>5810</v>
      </c>
      <c r="AA536" s="225">
        <f t="shared" si="720"/>
        <v>19020</v>
      </c>
      <c r="AB536" s="225">
        <f t="shared" si="721"/>
        <v>16900</v>
      </c>
      <c r="AC536" s="252">
        <f t="shared" si="722"/>
        <v>381130</v>
      </c>
    </row>
    <row r="537" spans="1:29" s="204" customFormat="1" ht="16.5" hidden="1" customHeight="1">
      <c r="A537" s="319"/>
      <c r="B537" s="211"/>
      <c r="C537" s="212"/>
      <c r="D537" s="212"/>
      <c r="E537" s="219" t="s">
        <v>56</v>
      </c>
      <c r="F537" s="221">
        <f t="shared" si="723"/>
        <v>1836000</v>
      </c>
      <c r="G537" s="221"/>
      <c r="H537" s="221"/>
      <c r="I537" s="222"/>
      <c r="J537" s="221"/>
      <c r="K537" s="221"/>
      <c r="L537" s="221"/>
      <c r="M537" s="221"/>
      <c r="N537" s="221"/>
      <c r="O537" s="221"/>
      <c r="P537" s="221"/>
      <c r="Q537" s="221">
        <f t="shared" si="724"/>
        <v>13180</v>
      </c>
      <c r="R537" s="221">
        <f t="shared" si="725"/>
        <v>210880</v>
      </c>
      <c r="S537" s="221">
        <f t="shared" si="726"/>
        <v>65900</v>
      </c>
      <c r="T537" s="222"/>
      <c r="U537" s="214">
        <f t="shared" si="716"/>
        <v>2112780</v>
      </c>
      <c r="V537" s="250"/>
      <c r="W537" s="224">
        <f t="shared" si="727"/>
        <v>176070</v>
      </c>
      <c r="X537" s="225">
        <f t="shared" si="717"/>
        <v>95080</v>
      </c>
      <c r="Y537" s="225">
        <f t="shared" si="647"/>
        <v>68250</v>
      </c>
      <c r="Z537" s="225">
        <f t="shared" si="648"/>
        <v>5810</v>
      </c>
      <c r="AA537" s="225">
        <f t="shared" si="720"/>
        <v>19020</v>
      </c>
      <c r="AB537" s="225">
        <f t="shared" si="721"/>
        <v>16900</v>
      </c>
      <c r="AC537" s="252">
        <f t="shared" si="722"/>
        <v>381130</v>
      </c>
    </row>
    <row r="538" spans="1:29" s="204" customFormat="1" ht="16.5" hidden="1" customHeight="1">
      <c r="A538" s="319"/>
      <c r="B538" s="211"/>
      <c r="C538" s="212"/>
      <c r="D538" s="212"/>
      <c r="E538" s="219" t="s">
        <v>281</v>
      </c>
      <c r="F538" s="221">
        <f t="shared" si="723"/>
        <v>1836000</v>
      </c>
      <c r="G538" s="221"/>
      <c r="H538" s="221"/>
      <c r="I538" s="222"/>
      <c r="J538" s="221"/>
      <c r="K538" s="221"/>
      <c r="L538" s="221"/>
      <c r="M538" s="221"/>
      <c r="N538" s="221"/>
      <c r="O538" s="221"/>
      <c r="P538" s="221"/>
      <c r="Q538" s="221">
        <f t="shared" si="724"/>
        <v>13180</v>
      </c>
      <c r="R538" s="221">
        <f>Q538*16*2</f>
        <v>421760</v>
      </c>
      <c r="S538" s="221">
        <f>(Q538*5)*2</f>
        <v>131800</v>
      </c>
      <c r="T538" s="222"/>
      <c r="U538" s="214">
        <f t="shared" si="716"/>
        <v>2389560</v>
      </c>
      <c r="V538" s="250"/>
      <c r="W538" s="224">
        <f t="shared" si="727"/>
        <v>199130</v>
      </c>
      <c r="X538" s="225">
        <f t="shared" si="717"/>
        <v>107530</v>
      </c>
      <c r="Y538" s="225">
        <f t="shared" si="647"/>
        <v>77190</v>
      </c>
      <c r="Z538" s="225">
        <f t="shared" si="648"/>
        <v>6570</v>
      </c>
      <c r="AA538" s="225">
        <f t="shared" si="720"/>
        <v>21510</v>
      </c>
      <c r="AB538" s="225">
        <f t="shared" si="721"/>
        <v>19120</v>
      </c>
      <c r="AC538" s="252">
        <f t="shared" si="722"/>
        <v>431050</v>
      </c>
    </row>
    <row r="539" spans="1:29" s="204" customFormat="1" ht="16.5" hidden="1" customHeight="1">
      <c r="A539" s="319">
        <v>42</v>
      </c>
      <c r="B539" s="211" t="s">
        <v>87</v>
      </c>
      <c r="C539" s="212" t="s">
        <v>848</v>
      </c>
      <c r="D539" s="212">
        <v>1</v>
      </c>
      <c r="E539" s="213" t="s">
        <v>86</v>
      </c>
      <c r="F539" s="214">
        <f t="shared" ref="F539:N539" si="729">SUM(F540:F551)</f>
        <v>21777000</v>
      </c>
      <c r="G539" s="214">
        <f t="shared" si="729"/>
        <v>0</v>
      </c>
      <c r="H539" s="214">
        <f t="shared" si="729"/>
        <v>0</v>
      </c>
      <c r="I539" s="214">
        <f t="shared" si="729"/>
        <v>0</v>
      </c>
      <c r="J539" s="214">
        <f t="shared" si="729"/>
        <v>0</v>
      </c>
      <c r="K539" s="214">
        <f t="shared" si="729"/>
        <v>0</v>
      </c>
      <c r="L539" s="214">
        <f t="shared" si="729"/>
        <v>0</v>
      </c>
      <c r="M539" s="214">
        <f t="shared" si="729"/>
        <v>2172600</v>
      </c>
      <c r="N539" s="214">
        <f t="shared" si="729"/>
        <v>0</v>
      </c>
      <c r="O539" s="214">
        <f>SUM(O540:O551)</f>
        <v>0</v>
      </c>
      <c r="P539" s="214">
        <f t="shared" ref="P539" si="730">SUM(P540:P551)</f>
        <v>0</v>
      </c>
      <c r="Q539" s="214"/>
      <c r="R539" s="214">
        <f t="shared" ref="R539" si="731">SUM(R540:R551)</f>
        <v>6252400</v>
      </c>
      <c r="S539" s="214">
        <f>SUM(S540:S551)</f>
        <v>0</v>
      </c>
      <c r="T539" s="214">
        <f t="shared" ref="T539:U539" si="732">SUM(T540:T551)</f>
        <v>0</v>
      </c>
      <c r="U539" s="214">
        <f t="shared" si="732"/>
        <v>30202000</v>
      </c>
      <c r="V539" s="250"/>
      <c r="W539" s="217">
        <f t="shared" ref="W539:AB539" si="733">SUM(W540:W551)</f>
        <v>2516870</v>
      </c>
      <c r="X539" s="214">
        <f t="shared" si="733"/>
        <v>1359080</v>
      </c>
      <c r="Y539" s="214">
        <f t="shared" si="733"/>
        <v>975590</v>
      </c>
      <c r="Z539" s="214">
        <f t="shared" si="733"/>
        <v>83070</v>
      </c>
      <c r="AA539" s="214">
        <f t="shared" si="733"/>
        <v>271840</v>
      </c>
      <c r="AB539" s="214">
        <f t="shared" si="733"/>
        <v>241640</v>
      </c>
      <c r="AC539" s="266">
        <f>SUM(AC540:AC551)</f>
        <v>5448090</v>
      </c>
    </row>
    <row r="540" spans="1:29" s="204" customFormat="1" ht="16.5" hidden="1" customHeight="1">
      <c r="A540" s="319"/>
      <c r="B540" s="211" t="s">
        <v>907</v>
      </c>
      <c r="C540" s="310">
        <v>1</v>
      </c>
      <c r="D540" s="310"/>
      <c r="E540" s="311" t="s">
        <v>273</v>
      </c>
      <c r="F540" s="312">
        <v>1785000</v>
      </c>
      <c r="G540" s="221"/>
      <c r="H540" s="220"/>
      <c r="I540" s="222"/>
      <c r="J540" s="221"/>
      <c r="K540" s="221"/>
      <c r="L540" s="221"/>
      <c r="M540" s="221" t="s">
        <v>60</v>
      </c>
      <c r="N540" s="221"/>
      <c r="O540" s="221"/>
      <c r="P540" s="221"/>
      <c r="Q540" s="221"/>
      <c r="R540" s="221"/>
      <c r="S540" s="221"/>
      <c r="T540" s="222"/>
      <c r="U540" s="214">
        <f t="shared" ref="U540:U551" si="734">SUM(F540,M540,O540,R540,T540,S540)</f>
        <v>1785000</v>
      </c>
      <c r="V540" s="250"/>
      <c r="W540" s="224">
        <f>ROUNDUP(U540*1/12,-1)</f>
        <v>148750</v>
      </c>
      <c r="X540" s="225">
        <f t="shared" ref="X540:X551" si="735">ROUND(U540*4.5%,-1)</f>
        <v>80330</v>
      </c>
      <c r="Y540" s="225">
        <f t="shared" ref="Y540:Y603" si="736">ROUNDUP((U540-L540)*3.23%,-1)</f>
        <v>57660</v>
      </c>
      <c r="Z540" s="225">
        <f t="shared" ref="Z540:Z603" si="737">ROUNDUP(Y540*8.51%,-1)</f>
        <v>4910</v>
      </c>
      <c r="AA540" s="225">
        <f t="shared" ref="AA540:AA551" si="738">ROUND(U540*0.9%,-1)</f>
        <v>16070</v>
      </c>
      <c r="AB540" s="225">
        <f t="shared" ref="AB540:AB551" si="739">ROUND(U540*0.8%,-1)</f>
        <v>14280</v>
      </c>
      <c r="AC540" s="252">
        <f t="shared" ref="AC540:AC551" si="740">SUM(W540:AB540)</f>
        <v>322000</v>
      </c>
    </row>
    <row r="541" spans="1:29" s="204" customFormat="1" ht="16.5" hidden="1" customHeight="1">
      <c r="A541" s="319"/>
      <c r="B541" s="211"/>
      <c r="C541" s="212"/>
      <c r="D541" s="212"/>
      <c r="E541" s="219" t="s">
        <v>274</v>
      </c>
      <c r="F541" s="221">
        <f>F540</f>
        <v>1785000</v>
      </c>
      <c r="G541" s="221"/>
      <c r="H541" s="221"/>
      <c r="I541" s="222"/>
      <c r="J541" s="221"/>
      <c r="K541" s="221"/>
      <c r="L541" s="221"/>
      <c r="M541" s="221">
        <f>F541*60%</f>
        <v>1071000</v>
      </c>
      <c r="N541" s="221"/>
      <c r="O541" s="221"/>
      <c r="P541" s="221"/>
      <c r="Q541" s="221">
        <f t="shared" ref="Q541:Q551" si="741">ROUND((F540+T540)*1/209*1.5,-1)</f>
        <v>12810</v>
      </c>
      <c r="R541" s="221">
        <f>Q541*40</f>
        <v>512400</v>
      </c>
      <c r="S541" s="221"/>
      <c r="T541" s="222"/>
      <c r="U541" s="214">
        <f t="shared" si="734"/>
        <v>3368400</v>
      </c>
      <c r="V541" s="250"/>
      <c r="W541" s="224">
        <f>ROUNDUP((T541+U541)*1/12,-1)</f>
        <v>280700</v>
      </c>
      <c r="X541" s="225">
        <f t="shared" si="735"/>
        <v>151580</v>
      </c>
      <c r="Y541" s="225">
        <f t="shared" si="736"/>
        <v>108800</v>
      </c>
      <c r="Z541" s="225">
        <f t="shared" si="737"/>
        <v>9260</v>
      </c>
      <c r="AA541" s="225">
        <f t="shared" si="738"/>
        <v>30320</v>
      </c>
      <c r="AB541" s="225">
        <f t="shared" si="739"/>
        <v>26950</v>
      </c>
      <c r="AC541" s="252">
        <f t="shared" si="740"/>
        <v>607610</v>
      </c>
    </row>
    <row r="542" spans="1:29" s="204" customFormat="1" ht="16.5" hidden="1" customHeight="1">
      <c r="A542" s="319"/>
      <c r="B542" s="211"/>
      <c r="C542" s="212"/>
      <c r="D542" s="212"/>
      <c r="E542" s="219" t="s">
        <v>275</v>
      </c>
      <c r="F542" s="221">
        <f t="shared" ref="F542:F544" si="742">F541</f>
        <v>1785000</v>
      </c>
      <c r="G542" s="221"/>
      <c r="H542" s="221"/>
      <c r="I542" s="222"/>
      <c r="J542" s="221"/>
      <c r="K542" s="221"/>
      <c r="L542" s="221"/>
      <c r="M542" s="221"/>
      <c r="N542" s="221"/>
      <c r="O542" s="221"/>
      <c r="P542" s="221"/>
      <c r="Q542" s="221">
        <f t="shared" si="741"/>
        <v>12810</v>
      </c>
      <c r="R542" s="221">
        <f t="shared" ref="R542:R550" si="743">Q542*40</f>
        <v>512400</v>
      </c>
      <c r="S542" s="221"/>
      <c r="T542" s="222"/>
      <c r="U542" s="214">
        <f t="shared" si="734"/>
        <v>2297400</v>
      </c>
      <c r="V542" s="250"/>
      <c r="W542" s="224">
        <f t="shared" ref="W542:W551" si="744">ROUNDUP(U542*1/12,-1)</f>
        <v>191450</v>
      </c>
      <c r="X542" s="225">
        <f t="shared" si="735"/>
        <v>103380</v>
      </c>
      <c r="Y542" s="225">
        <f t="shared" si="736"/>
        <v>74210</v>
      </c>
      <c r="Z542" s="225">
        <f t="shared" si="737"/>
        <v>6320</v>
      </c>
      <c r="AA542" s="225">
        <f t="shared" si="738"/>
        <v>20680</v>
      </c>
      <c r="AB542" s="225">
        <f t="shared" si="739"/>
        <v>18380</v>
      </c>
      <c r="AC542" s="252">
        <f t="shared" si="740"/>
        <v>414420</v>
      </c>
    </row>
    <row r="543" spans="1:29" s="204" customFormat="1" ht="16.5" hidden="1" customHeight="1">
      <c r="A543" s="319"/>
      <c r="B543" s="211"/>
      <c r="C543" s="212"/>
      <c r="D543" s="212"/>
      <c r="E543" s="219" t="s">
        <v>392</v>
      </c>
      <c r="F543" s="221">
        <f t="shared" si="742"/>
        <v>1785000</v>
      </c>
      <c r="G543" s="221"/>
      <c r="H543" s="221"/>
      <c r="I543" s="222"/>
      <c r="J543" s="221"/>
      <c r="K543" s="221"/>
      <c r="L543" s="221"/>
      <c r="M543" s="221"/>
      <c r="N543" s="221"/>
      <c r="O543" s="221"/>
      <c r="P543" s="221"/>
      <c r="Q543" s="221">
        <f t="shared" si="741"/>
        <v>12810</v>
      </c>
      <c r="R543" s="221">
        <f t="shared" si="743"/>
        <v>512400</v>
      </c>
      <c r="S543" s="221"/>
      <c r="T543" s="222"/>
      <c r="U543" s="214">
        <f t="shared" si="734"/>
        <v>2297400</v>
      </c>
      <c r="V543" s="250"/>
      <c r="W543" s="224">
        <f t="shared" si="744"/>
        <v>191450</v>
      </c>
      <c r="X543" s="225">
        <f t="shared" si="735"/>
        <v>103380</v>
      </c>
      <c r="Y543" s="225">
        <f t="shared" si="736"/>
        <v>74210</v>
      </c>
      <c r="Z543" s="225">
        <f t="shared" si="737"/>
        <v>6320</v>
      </c>
      <c r="AA543" s="225">
        <f t="shared" si="738"/>
        <v>20680</v>
      </c>
      <c r="AB543" s="225">
        <f t="shared" si="739"/>
        <v>18380</v>
      </c>
      <c r="AC543" s="252">
        <f t="shared" si="740"/>
        <v>414420</v>
      </c>
    </row>
    <row r="544" spans="1:29" s="204" customFormat="1" ht="16.5" hidden="1" customHeight="1">
      <c r="A544" s="319"/>
      <c r="B544" s="211"/>
      <c r="C544" s="212"/>
      <c r="D544" s="212"/>
      <c r="E544" s="219" t="s">
        <v>393</v>
      </c>
      <c r="F544" s="221">
        <f t="shared" si="742"/>
        <v>1785000</v>
      </c>
      <c r="G544" s="221"/>
      <c r="H544" s="221"/>
      <c r="I544" s="222"/>
      <c r="J544" s="221"/>
      <c r="K544" s="221"/>
      <c r="L544" s="221"/>
      <c r="M544" s="221"/>
      <c r="N544" s="221"/>
      <c r="O544" s="221"/>
      <c r="P544" s="221"/>
      <c r="Q544" s="221">
        <f t="shared" si="741"/>
        <v>12810</v>
      </c>
      <c r="R544" s="221">
        <f t="shared" si="743"/>
        <v>512400</v>
      </c>
      <c r="S544" s="221"/>
      <c r="T544" s="222"/>
      <c r="U544" s="214">
        <f t="shared" si="734"/>
        <v>2297400</v>
      </c>
      <c r="V544" s="250"/>
      <c r="W544" s="224">
        <f t="shared" si="744"/>
        <v>191450</v>
      </c>
      <c r="X544" s="225">
        <f t="shared" si="735"/>
        <v>103380</v>
      </c>
      <c r="Y544" s="225">
        <f t="shared" si="736"/>
        <v>74210</v>
      </c>
      <c r="Z544" s="225">
        <f t="shared" si="737"/>
        <v>6320</v>
      </c>
      <c r="AA544" s="225">
        <f t="shared" si="738"/>
        <v>20680</v>
      </c>
      <c r="AB544" s="225">
        <f t="shared" si="739"/>
        <v>18380</v>
      </c>
      <c r="AC544" s="252">
        <f t="shared" si="740"/>
        <v>414420</v>
      </c>
    </row>
    <row r="545" spans="1:29" s="204" customFormat="1" ht="16.5" hidden="1" customHeight="1">
      <c r="A545" s="319"/>
      <c r="B545" s="211"/>
      <c r="C545" s="310">
        <v>2</v>
      </c>
      <c r="D545" s="310"/>
      <c r="E545" s="311" t="s">
        <v>394</v>
      </c>
      <c r="F545" s="312">
        <v>1836000</v>
      </c>
      <c r="G545" s="221"/>
      <c r="H545" s="221"/>
      <c r="I545" s="222"/>
      <c r="J545" s="221"/>
      <c r="K545" s="221"/>
      <c r="L545" s="221"/>
      <c r="M545" s="221"/>
      <c r="N545" s="221"/>
      <c r="O545" s="221"/>
      <c r="P545" s="221"/>
      <c r="Q545" s="221">
        <f t="shared" si="741"/>
        <v>12810</v>
      </c>
      <c r="R545" s="221">
        <f t="shared" si="743"/>
        <v>512400</v>
      </c>
      <c r="S545" s="221"/>
      <c r="T545" s="222"/>
      <c r="U545" s="214">
        <f t="shared" si="734"/>
        <v>2348400</v>
      </c>
      <c r="V545" s="250"/>
      <c r="W545" s="224">
        <f t="shared" si="744"/>
        <v>195700</v>
      </c>
      <c r="X545" s="225">
        <f t="shared" si="735"/>
        <v>105680</v>
      </c>
      <c r="Y545" s="225">
        <f t="shared" si="736"/>
        <v>75860</v>
      </c>
      <c r="Z545" s="225">
        <f t="shared" si="737"/>
        <v>6460</v>
      </c>
      <c r="AA545" s="225">
        <f t="shared" si="738"/>
        <v>21140</v>
      </c>
      <c r="AB545" s="225">
        <f t="shared" si="739"/>
        <v>18790</v>
      </c>
      <c r="AC545" s="252">
        <f t="shared" si="740"/>
        <v>423630</v>
      </c>
    </row>
    <row r="546" spans="1:29" s="204" customFormat="1" ht="16.5" hidden="1" customHeight="1">
      <c r="A546" s="319"/>
      <c r="B546" s="211"/>
      <c r="C546" s="212"/>
      <c r="D546" s="212"/>
      <c r="E546" s="219" t="s">
        <v>279</v>
      </c>
      <c r="F546" s="221">
        <f t="shared" ref="F546:F551" si="745">F545</f>
        <v>1836000</v>
      </c>
      <c r="G546" s="221"/>
      <c r="H546" s="220"/>
      <c r="I546" s="222"/>
      <c r="J546" s="221"/>
      <c r="K546" s="221"/>
      <c r="L546" s="221"/>
      <c r="M546" s="221"/>
      <c r="N546" s="221"/>
      <c r="O546" s="221"/>
      <c r="P546" s="221"/>
      <c r="Q546" s="221">
        <f t="shared" si="741"/>
        <v>13180</v>
      </c>
      <c r="R546" s="221">
        <f t="shared" si="743"/>
        <v>527200</v>
      </c>
      <c r="S546" s="221"/>
      <c r="T546" s="222"/>
      <c r="U546" s="214">
        <f t="shared" si="734"/>
        <v>2363200</v>
      </c>
      <c r="V546" s="250"/>
      <c r="W546" s="224">
        <f t="shared" si="744"/>
        <v>196940</v>
      </c>
      <c r="X546" s="225">
        <f t="shared" si="735"/>
        <v>106340</v>
      </c>
      <c r="Y546" s="225">
        <f t="shared" si="736"/>
        <v>76340</v>
      </c>
      <c r="Z546" s="225">
        <f t="shared" si="737"/>
        <v>6500</v>
      </c>
      <c r="AA546" s="225">
        <f t="shared" si="738"/>
        <v>21270</v>
      </c>
      <c r="AB546" s="225">
        <f t="shared" si="739"/>
        <v>18910</v>
      </c>
      <c r="AC546" s="252">
        <f t="shared" si="740"/>
        <v>426300</v>
      </c>
    </row>
    <row r="547" spans="1:29" s="204" customFormat="1" ht="16.5" hidden="1" customHeight="1">
      <c r="A547" s="319"/>
      <c r="B547" s="211"/>
      <c r="C547" s="212"/>
      <c r="D547" s="212"/>
      <c r="E547" s="219" t="s">
        <v>280</v>
      </c>
      <c r="F547" s="221">
        <f t="shared" si="745"/>
        <v>1836000</v>
      </c>
      <c r="G547" s="221"/>
      <c r="H547" s="221"/>
      <c r="I547" s="222"/>
      <c r="J547" s="221"/>
      <c r="K547" s="221"/>
      <c r="L547" s="221"/>
      <c r="M547" s="221"/>
      <c r="N547" s="221"/>
      <c r="O547" s="221"/>
      <c r="P547" s="221"/>
      <c r="Q547" s="221">
        <f t="shared" si="741"/>
        <v>13180</v>
      </c>
      <c r="R547" s="221">
        <f t="shared" si="743"/>
        <v>527200</v>
      </c>
      <c r="S547" s="221"/>
      <c r="T547" s="222"/>
      <c r="U547" s="214">
        <f t="shared" si="734"/>
        <v>2363200</v>
      </c>
      <c r="V547" s="250"/>
      <c r="W547" s="224">
        <f t="shared" si="744"/>
        <v>196940</v>
      </c>
      <c r="X547" s="225">
        <f t="shared" si="735"/>
        <v>106340</v>
      </c>
      <c r="Y547" s="225">
        <f t="shared" si="736"/>
        <v>76340</v>
      </c>
      <c r="Z547" s="225">
        <f t="shared" si="737"/>
        <v>6500</v>
      </c>
      <c r="AA547" s="225">
        <f t="shared" si="738"/>
        <v>21270</v>
      </c>
      <c r="AB547" s="225">
        <f t="shared" si="739"/>
        <v>18910</v>
      </c>
      <c r="AC547" s="252">
        <f t="shared" si="740"/>
        <v>426300</v>
      </c>
    </row>
    <row r="548" spans="1:29" s="204" customFormat="1" ht="16.5" hidden="1" customHeight="1">
      <c r="A548" s="319"/>
      <c r="B548" s="211"/>
      <c r="C548" s="212"/>
      <c r="D548" s="212"/>
      <c r="E548" s="219" t="s">
        <v>54</v>
      </c>
      <c r="F548" s="221">
        <f t="shared" si="745"/>
        <v>1836000</v>
      </c>
      <c r="G548" s="221"/>
      <c r="H548" s="221"/>
      <c r="I548" s="222"/>
      <c r="J548" s="221"/>
      <c r="K548" s="221"/>
      <c r="L548" s="221"/>
      <c r="M548" s="221">
        <f t="shared" ref="M548" si="746">F548*60%</f>
        <v>1101600</v>
      </c>
      <c r="N548" s="221"/>
      <c r="O548" s="221"/>
      <c r="P548" s="221"/>
      <c r="Q548" s="221">
        <f t="shared" si="741"/>
        <v>13180</v>
      </c>
      <c r="R548" s="221">
        <f t="shared" si="743"/>
        <v>527200</v>
      </c>
      <c r="S548" s="221"/>
      <c r="T548" s="222"/>
      <c r="U548" s="214">
        <f t="shared" si="734"/>
        <v>3464800</v>
      </c>
      <c r="V548" s="250"/>
      <c r="W548" s="224">
        <f t="shared" si="744"/>
        <v>288740</v>
      </c>
      <c r="X548" s="225">
        <f t="shared" si="735"/>
        <v>155920</v>
      </c>
      <c r="Y548" s="225">
        <f t="shared" si="736"/>
        <v>111920</v>
      </c>
      <c r="Z548" s="225">
        <f t="shared" si="737"/>
        <v>9530</v>
      </c>
      <c r="AA548" s="225">
        <f t="shared" si="738"/>
        <v>31180</v>
      </c>
      <c r="AB548" s="225">
        <f t="shared" si="739"/>
        <v>27720</v>
      </c>
      <c r="AC548" s="252">
        <f t="shared" si="740"/>
        <v>625010</v>
      </c>
    </row>
    <row r="549" spans="1:29" s="204" customFormat="1" ht="16.5" hidden="1" customHeight="1">
      <c r="A549" s="319"/>
      <c r="B549" s="211"/>
      <c r="C549" s="212"/>
      <c r="D549" s="212"/>
      <c r="E549" s="219" t="s">
        <v>55</v>
      </c>
      <c r="F549" s="221">
        <f t="shared" si="745"/>
        <v>1836000</v>
      </c>
      <c r="G549" s="221"/>
      <c r="H549" s="221"/>
      <c r="I549" s="222"/>
      <c r="J549" s="221"/>
      <c r="K549" s="221"/>
      <c r="L549" s="221"/>
      <c r="M549" s="221"/>
      <c r="N549" s="221"/>
      <c r="O549" s="221"/>
      <c r="P549" s="221"/>
      <c r="Q549" s="221">
        <f t="shared" si="741"/>
        <v>13180</v>
      </c>
      <c r="R549" s="221">
        <f t="shared" si="743"/>
        <v>527200</v>
      </c>
      <c r="S549" s="221"/>
      <c r="T549" s="222"/>
      <c r="U549" s="214">
        <f t="shared" si="734"/>
        <v>2363200</v>
      </c>
      <c r="V549" s="250"/>
      <c r="W549" s="224">
        <f t="shared" si="744"/>
        <v>196940</v>
      </c>
      <c r="X549" s="225">
        <f t="shared" si="735"/>
        <v>106340</v>
      </c>
      <c r="Y549" s="225">
        <f t="shared" si="736"/>
        <v>76340</v>
      </c>
      <c r="Z549" s="225">
        <f t="shared" si="737"/>
        <v>6500</v>
      </c>
      <c r="AA549" s="225">
        <f t="shared" si="738"/>
        <v>21270</v>
      </c>
      <c r="AB549" s="225">
        <f t="shared" si="739"/>
        <v>18910</v>
      </c>
      <c r="AC549" s="252">
        <f t="shared" si="740"/>
        <v>426300</v>
      </c>
    </row>
    <row r="550" spans="1:29" s="204" customFormat="1" ht="16.5" hidden="1" customHeight="1">
      <c r="A550" s="319"/>
      <c r="B550" s="211"/>
      <c r="C550" s="212"/>
      <c r="D550" s="212"/>
      <c r="E550" s="219" t="s">
        <v>56</v>
      </c>
      <c r="F550" s="221">
        <f t="shared" si="745"/>
        <v>1836000</v>
      </c>
      <c r="G550" s="221"/>
      <c r="H550" s="221"/>
      <c r="I550" s="222"/>
      <c r="J550" s="221"/>
      <c r="K550" s="221"/>
      <c r="L550" s="221"/>
      <c r="M550" s="221"/>
      <c r="N550" s="221"/>
      <c r="O550" s="221"/>
      <c r="P550" s="221"/>
      <c r="Q550" s="221">
        <f t="shared" si="741"/>
        <v>13180</v>
      </c>
      <c r="R550" s="221">
        <f t="shared" si="743"/>
        <v>527200</v>
      </c>
      <c r="S550" s="221"/>
      <c r="T550" s="222"/>
      <c r="U550" s="214">
        <f t="shared" si="734"/>
        <v>2363200</v>
      </c>
      <c r="V550" s="250"/>
      <c r="W550" s="224">
        <f t="shared" si="744"/>
        <v>196940</v>
      </c>
      <c r="X550" s="225">
        <f t="shared" si="735"/>
        <v>106340</v>
      </c>
      <c r="Y550" s="225">
        <f t="shared" si="736"/>
        <v>76340</v>
      </c>
      <c r="Z550" s="225">
        <f t="shared" si="737"/>
        <v>6500</v>
      </c>
      <c r="AA550" s="225">
        <f t="shared" si="738"/>
        <v>21270</v>
      </c>
      <c r="AB550" s="225">
        <f t="shared" si="739"/>
        <v>18910</v>
      </c>
      <c r="AC550" s="252">
        <f t="shared" si="740"/>
        <v>426300</v>
      </c>
    </row>
    <row r="551" spans="1:29" s="204" customFormat="1" ht="16.5" hidden="1" customHeight="1">
      <c r="A551" s="319"/>
      <c r="B551" s="211"/>
      <c r="C551" s="212"/>
      <c r="D551" s="212"/>
      <c r="E551" s="219" t="s">
        <v>281</v>
      </c>
      <c r="F551" s="221">
        <f t="shared" si="745"/>
        <v>1836000</v>
      </c>
      <c r="G551" s="221"/>
      <c r="H551" s="221"/>
      <c r="I551" s="222"/>
      <c r="J551" s="221"/>
      <c r="K551" s="221"/>
      <c r="L551" s="221"/>
      <c r="M551" s="221"/>
      <c r="N551" s="221"/>
      <c r="O551" s="221"/>
      <c r="P551" s="221"/>
      <c r="Q551" s="221">
        <f t="shared" si="741"/>
        <v>13180</v>
      </c>
      <c r="R551" s="221">
        <f>Q551*40*2</f>
        <v>1054400</v>
      </c>
      <c r="S551" s="221"/>
      <c r="T551" s="222"/>
      <c r="U551" s="214">
        <f t="shared" si="734"/>
        <v>2890400</v>
      </c>
      <c r="V551" s="250"/>
      <c r="W551" s="224">
        <f t="shared" si="744"/>
        <v>240870</v>
      </c>
      <c r="X551" s="225">
        <f t="shared" si="735"/>
        <v>130070</v>
      </c>
      <c r="Y551" s="225">
        <f t="shared" si="736"/>
        <v>93360</v>
      </c>
      <c r="Z551" s="225">
        <f t="shared" si="737"/>
        <v>7950</v>
      </c>
      <c r="AA551" s="225">
        <f t="shared" si="738"/>
        <v>26010</v>
      </c>
      <c r="AB551" s="225">
        <f t="shared" si="739"/>
        <v>23120</v>
      </c>
      <c r="AC551" s="252">
        <f t="shared" si="740"/>
        <v>521380</v>
      </c>
    </row>
    <row r="552" spans="1:29" s="204" customFormat="1" ht="16.5" hidden="1" customHeight="1">
      <c r="A552" s="319">
        <v>43</v>
      </c>
      <c r="B552" s="211" t="s">
        <v>87</v>
      </c>
      <c r="C552" s="212" t="s">
        <v>848</v>
      </c>
      <c r="D552" s="212">
        <v>1</v>
      </c>
      <c r="E552" s="213" t="s">
        <v>86</v>
      </c>
      <c r="F552" s="214">
        <f t="shared" ref="F552:N552" si="747">SUM(F553:F564)</f>
        <v>21522000</v>
      </c>
      <c r="G552" s="214">
        <f t="shared" si="747"/>
        <v>0</v>
      </c>
      <c r="H552" s="214">
        <f t="shared" si="747"/>
        <v>0</v>
      </c>
      <c r="I552" s="214">
        <f t="shared" si="747"/>
        <v>0</v>
      </c>
      <c r="J552" s="214">
        <f t="shared" si="747"/>
        <v>0</v>
      </c>
      <c r="K552" s="214">
        <f t="shared" si="747"/>
        <v>0</v>
      </c>
      <c r="L552" s="214">
        <f t="shared" si="747"/>
        <v>0</v>
      </c>
      <c r="M552" s="214">
        <f t="shared" si="747"/>
        <v>2142000</v>
      </c>
      <c r="N552" s="214">
        <f t="shared" si="747"/>
        <v>0</v>
      </c>
      <c r="O552" s="214">
        <f>SUM(O553:O564)</f>
        <v>0</v>
      </c>
      <c r="P552" s="214">
        <f t="shared" ref="P552" si="748">SUM(P553:P564)</f>
        <v>0</v>
      </c>
      <c r="Q552" s="214"/>
      <c r="R552" s="214">
        <f t="shared" ref="R552" si="749">SUM(R553:R564)</f>
        <v>6178400</v>
      </c>
      <c r="S552" s="214">
        <f>SUM(S553:S564)</f>
        <v>0</v>
      </c>
      <c r="T552" s="214">
        <f t="shared" ref="T552:U552" si="750">SUM(T553:T564)</f>
        <v>0</v>
      </c>
      <c r="U552" s="214">
        <f t="shared" si="750"/>
        <v>29842400</v>
      </c>
      <c r="V552" s="250"/>
      <c r="W552" s="217">
        <f t="shared" ref="W552:AB552" si="751">SUM(W553:W564)</f>
        <v>2486870</v>
      </c>
      <c r="X552" s="214">
        <f t="shared" si="751"/>
        <v>1342900</v>
      </c>
      <c r="Y552" s="214">
        <f t="shared" si="751"/>
        <v>963950</v>
      </c>
      <c r="Z552" s="214">
        <f t="shared" si="751"/>
        <v>82080</v>
      </c>
      <c r="AA552" s="214">
        <f t="shared" si="751"/>
        <v>268620</v>
      </c>
      <c r="AB552" s="214">
        <f t="shared" si="751"/>
        <v>238750</v>
      </c>
      <c r="AC552" s="266">
        <f>SUM(AC553:AC564)</f>
        <v>5383170</v>
      </c>
    </row>
    <row r="553" spans="1:29" s="204" customFormat="1" ht="16.5" hidden="1" customHeight="1">
      <c r="A553" s="319"/>
      <c r="B553" s="211" t="s">
        <v>908</v>
      </c>
      <c r="C553" s="310">
        <v>1</v>
      </c>
      <c r="D553" s="310"/>
      <c r="E553" s="311" t="s">
        <v>273</v>
      </c>
      <c r="F553" s="312">
        <v>1785000</v>
      </c>
      <c r="G553" s="221"/>
      <c r="H553" s="220"/>
      <c r="I553" s="222"/>
      <c r="J553" s="221"/>
      <c r="K553" s="221"/>
      <c r="L553" s="221"/>
      <c r="M553" s="221" t="s">
        <v>60</v>
      </c>
      <c r="N553" s="221"/>
      <c r="O553" s="221"/>
      <c r="P553" s="221"/>
      <c r="Q553" s="221"/>
      <c r="R553" s="221"/>
      <c r="S553" s="221"/>
      <c r="T553" s="222"/>
      <c r="U553" s="214">
        <f t="shared" ref="U553:U564" si="752">SUM(F553,M553,O553,R553,T553,S553)</f>
        <v>1785000</v>
      </c>
      <c r="V553" s="250"/>
      <c r="W553" s="224">
        <f>ROUNDUP(U553*1/12,-1)</f>
        <v>148750</v>
      </c>
      <c r="X553" s="225">
        <f t="shared" ref="X553:X564" si="753">ROUND(U553*4.5%,-1)</f>
        <v>80330</v>
      </c>
      <c r="Y553" s="225">
        <f t="shared" ref="Y553" si="754">ROUNDUP((U553-L553)*3.23%,-1)</f>
        <v>57660</v>
      </c>
      <c r="Z553" s="225">
        <f t="shared" ref="Z553" si="755">ROUNDUP(Y553*8.51%,-1)</f>
        <v>4910</v>
      </c>
      <c r="AA553" s="225">
        <f t="shared" ref="AA553:AA564" si="756">ROUND(U553*0.9%,-1)</f>
        <v>16070</v>
      </c>
      <c r="AB553" s="225">
        <f t="shared" ref="AB553:AB564" si="757">ROUND(U553*0.8%,-1)</f>
        <v>14280</v>
      </c>
      <c r="AC553" s="252">
        <f t="shared" ref="AC553:AC564" si="758">SUM(W553:AB553)</f>
        <v>322000</v>
      </c>
    </row>
    <row r="554" spans="1:29" s="204" customFormat="1" ht="16.5" hidden="1" customHeight="1">
      <c r="A554" s="319"/>
      <c r="B554" s="211"/>
      <c r="C554" s="212"/>
      <c r="D554" s="212"/>
      <c r="E554" s="219" t="s">
        <v>274</v>
      </c>
      <c r="F554" s="221">
        <f>F553</f>
        <v>1785000</v>
      </c>
      <c r="G554" s="221"/>
      <c r="H554" s="221"/>
      <c r="I554" s="222"/>
      <c r="J554" s="221"/>
      <c r="K554" s="221"/>
      <c r="L554" s="221"/>
      <c r="M554" s="221">
        <f>F554*60%</f>
        <v>1071000</v>
      </c>
      <c r="N554" s="221"/>
      <c r="O554" s="221"/>
      <c r="P554" s="221"/>
      <c r="Q554" s="221">
        <f t="shared" ref="Q554:Q564" si="759">ROUND((F553+T553)*1/209*1.5,-1)</f>
        <v>12810</v>
      </c>
      <c r="R554" s="221">
        <f>Q554*40</f>
        <v>512400</v>
      </c>
      <c r="S554" s="221"/>
      <c r="T554" s="222"/>
      <c r="U554" s="214">
        <f t="shared" si="752"/>
        <v>3368400</v>
      </c>
      <c r="V554" s="250"/>
      <c r="W554" s="224">
        <f>ROUNDUP((T554+U554)*1/12,-1)</f>
        <v>280700</v>
      </c>
      <c r="X554" s="225">
        <f t="shared" si="753"/>
        <v>151580</v>
      </c>
      <c r="Y554" s="225">
        <f t="shared" si="736"/>
        <v>108800</v>
      </c>
      <c r="Z554" s="225">
        <f t="shared" si="737"/>
        <v>9260</v>
      </c>
      <c r="AA554" s="225">
        <f t="shared" si="756"/>
        <v>30320</v>
      </c>
      <c r="AB554" s="225">
        <f t="shared" si="757"/>
        <v>26950</v>
      </c>
      <c r="AC554" s="252">
        <f t="shared" si="758"/>
        <v>607610</v>
      </c>
    </row>
    <row r="555" spans="1:29" s="204" customFormat="1" ht="16.5" hidden="1" customHeight="1">
      <c r="A555" s="319"/>
      <c r="B555" s="211"/>
      <c r="C555" s="212"/>
      <c r="D555" s="212"/>
      <c r="E555" s="219" t="s">
        <v>275</v>
      </c>
      <c r="F555" s="221">
        <f t="shared" ref="F555:F562" si="760">F554</f>
        <v>1785000</v>
      </c>
      <c r="G555" s="221"/>
      <c r="H555" s="221"/>
      <c r="I555" s="222"/>
      <c r="J555" s="221"/>
      <c r="K555" s="221"/>
      <c r="L555" s="221"/>
      <c r="M555" s="221"/>
      <c r="N555" s="221"/>
      <c r="O555" s="221"/>
      <c r="P555" s="221"/>
      <c r="Q555" s="221">
        <f t="shared" si="759"/>
        <v>12810</v>
      </c>
      <c r="R555" s="221">
        <f t="shared" ref="R555:R563" si="761">Q555*40</f>
        <v>512400</v>
      </c>
      <c r="S555" s="221"/>
      <c r="T555" s="222"/>
      <c r="U555" s="214">
        <f t="shared" si="752"/>
        <v>2297400</v>
      </c>
      <c r="V555" s="250"/>
      <c r="W555" s="224">
        <f t="shared" ref="W555:W564" si="762">ROUNDUP(U555*1/12,-1)</f>
        <v>191450</v>
      </c>
      <c r="X555" s="225">
        <f t="shared" si="753"/>
        <v>103380</v>
      </c>
      <c r="Y555" s="225">
        <f t="shared" si="736"/>
        <v>74210</v>
      </c>
      <c r="Z555" s="225">
        <f t="shared" si="737"/>
        <v>6320</v>
      </c>
      <c r="AA555" s="225">
        <f t="shared" si="756"/>
        <v>20680</v>
      </c>
      <c r="AB555" s="225">
        <f t="shared" si="757"/>
        <v>18380</v>
      </c>
      <c r="AC555" s="252">
        <f t="shared" si="758"/>
        <v>414420</v>
      </c>
    </row>
    <row r="556" spans="1:29" s="204" customFormat="1" ht="16.5" hidden="1" customHeight="1">
      <c r="A556" s="319"/>
      <c r="B556" s="211"/>
      <c r="C556" s="212"/>
      <c r="D556" s="212"/>
      <c r="E556" s="219" t="s">
        <v>276</v>
      </c>
      <c r="F556" s="221">
        <f t="shared" si="760"/>
        <v>1785000</v>
      </c>
      <c r="G556" s="221"/>
      <c r="H556" s="221"/>
      <c r="I556" s="222"/>
      <c r="J556" s="221"/>
      <c r="K556" s="221"/>
      <c r="L556" s="221"/>
      <c r="M556" s="221"/>
      <c r="N556" s="221"/>
      <c r="O556" s="221"/>
      <c r="P556" s="221"/>
      <c r="Q556" s="221">
        <f t="shared" si="759"/>
        <v>12810</v>
      </c>
      <c r="R556" s="221">
        <f t="shared" si="761"/>
        <v>512400</v>
      </c>
      <c r="S556" s="221"/>
      <c r="T556" s="222"/>
      <c r="U556" s="214">
        <f t="shared" si="752"/>
        <v>2297400</v>
      </c>
      <c r="V556" s="250"/>
      <c r="W556" s="224">
        <f t="shared" si="762"/>
        <v>191450</v>
      </c>
      <c r="X556" s="225">
        <f t="shared" si="753"/>
        <v>103380</v>
      </c>
      <c r="Y556" s="225">
        <f t="shared" si="736"/>
        <v>74210</v>
      </c>
      <c r="Z556" s="225">
        <f t="shared" si="737"/>
        <v>6320</v>
      </c>
      <c r="AA556" s="225">
        <f t="shared" si="756"/>
        <v>20680</v>
      </c>
      <c r="AB556" s="225">
        <f t="shared" si="757"/>
        <v>18380</v>
      </c>
      <c r="AC556" s="252">
        <f t="shared" si="758"/>
        <v>414420</v>
      </c>
    </row>
    <row r="557" spans="1:29" s="204" customFormat="1" ht="16.5" hidden="1" customHeight="1">
      <c r="A557" s="319"/>
      <c r="B557" s="211"/>
      <c r="C557" s="212"/>
      <c r="D557" s="212"/>
      <c r="E557" s="219" t="s">
        <v>393</v>
      </c>
      <c r="F557" s="221">
        <f t="shared" si="760"/>
        <v>1785000</v>
      </c>
      <c r="G557" s="221"/>
      <c r="H557" s="221"/>
      <c r="I557" s="222"/>
      <c r="J557" s="221"/>
      <c r="K557" s="221"/>
      <c r="L557" s="221"/>
      <c r="M557" s="221"/>
      <c r="N557" s="221"/>
      <c r="O557" s="221"/>
      <c r="P557" s="221"/>
      <c r="Q557" s="221">
        <f t="shared" si="759"/>
        <v>12810</v>
      </c>
      <c r="R557" s="221">
        <f t="shared" si="761"/>
        <v>512400</v>
      </c>
      <c r="S557" s="221"/>
      <c r="T557" s="222"/>
      <c r="U557" s="214">
        <f t="shared" si="752"/>
        <v>2297400</v>
      </c>
      <c r="V557" s="250"/>
      <c r="W557" s="224">
        <f t="shared" si="762"/>
        <v>191450</v>
      </c>
      <c r="X557" s="225">
        <f t="shared" si="753"/>
        <v>103380</v>
      </c>
      <c r="Y557" s="225">
        <f t="shared" si="736"/>
        <v>74210</v>
      </c>
      <c r="Z557" s="225">
        <f t="shared" si="737"/>
        <v>6320</v>
      </c>
      <c r="AA557" s="225">
        <f t="shared" si="756"/>
        <v>20680</v>
      </c>
      <c r="AB557" s="225">
        <f t="shared" si="757"/>
        <v>18380</v>
      </c>
      <c r="AC557" s="252">
        <f t="shared" si="758"/>
        <v>414420</v>
      </c>
    </row>
    <row r="558" spans="1:29" s="204" customFormat="1" ht="16.5" hidden="1" customHeight="1">
      <c r="A558" s="319"/>
      <c r="B558" s="211"/>
      <c r="C558" s="212"/>
      <c r="D558" s="310"/>
      <c r="E558" s="219" t="s">
        <v>394</v>
      </c>
      <c r="F558" s="221">
        <f t="shared" si="760"/>
        <v>1785000</v>
      </c>
      <c r="G558" s="221"/>
      <c r="H558" s="221"/>
      <c r="I558" s="222"/>
      <c r="J558" s="221"/>
      <c r="K558" s="221"/>
      <c r="L558" s="221"/>
      <c r="M558" s="221"/>
      <c r="N558" s="221"/>
      <c r="O558" s="221"/>
      <c r="P558" s="221"/>
      <c r="Q558" s="221">
        <f t="shared" si="759"/>
        <v>12810</v>
      </c>
      <c r="R558" s="221">
        <f t="shared" si="761"/>
        <v>512400</v>
      </c>
      <c r="S558" s="221"/>
      <c r="T558" s="222"/>
      <c r="U558" s="214">
        <f t="shared" si="752"/>
        <v>2297400</v>
      </c>
      <c r="V558" s="250"/>
      <c r="W558" s="224">
        <f t="shared" si="762"/>
        <v>191450</v>
      </c>
      <c r="X558" s="225">
        <f t="shared" si="753"/>
        <v>103380</v>
      </c>
      <c r="Y558" s="225">
        <f t="shared" si="736"/>
        <v>74210</v>
      </c>
      <c r="Z558" s="225">
        <f t="shared" si="737"/>
        <v>6320</v>
      </c>
      <c r="AA558" s="225">
        <f t="shared" si="756"/>
        <v>20680</v>
      </c>
      <c r="AB558" s="225">
        <f t="shared" si="757"/>
        <v>18380</v>
      </c>
      <c r="AC558" s="252">
        <f t="shared" si="758"/>
        <v>414420</v>
      </c>
    </row>
    <row r="559" spans="1:29" s="204" customFormat="1" ht="16.5" hidden="1" customHeight="1">
      <c r="A559" s="319"/>
      <c r="B559" s="211"/>
      <c r="C559" s="212"/>
      <c r="D559" s="212"/>
      <c r="E559" s="219" t="s">
        <v>279</v>
      </c>
      <c r="F559" s="221">
        <f t="shared" si="760"/>
        <v>1785000</v>
      </c>
      <c r="G559" s="221"/>
      <c r="H559" s="220"/>
      <c r="I559" s="222"/>
      <c r="J559" s="221"/>
      <c r="K559" s="221"/>
      <c r="L559" s="221"/>
      <c r="M559" s="221"/>
      <c r="N559" s="221"/>
      <c r="O559" s="221"/>
      <c r="P559" s="221"/>
      <c r="Q559" s="221">
        <f t="shared" si="759"/>
        <v>12810</v>
      </c>
      <c r="R559" s="221">
        <f t="shared" si="761"/>
        <v>512400</v>
      </c>
      <c r="S559" s="221"/>
      <c r="T559" s="222"/>
      <c r="U559" s="214">
        <f t="shared" si="752"/>
        <v>2297400</v>
      </c>
      <c r="V559" s="250"/>
      <c r="W559" s="224">
        <f t="shared" si="762"/>
        <v>191450</v>
      </c>
      <c r="X559" s="225">
        <f t="shared" si="753"/>
        <v>103380</v>
      </c>
      <c r="Y559" s="225">
        <f t="shared" si="736"/>
        <v>74210</v>
      </c>
      <c r="Z559" s="225">
        <f t="shared" si="737"/>
        <v>6320</v>
      </c>
      <c r="AA559" s="225">
        <f t="shared" si="756"/>
        <v>20680</v>
      </c>
      <c r="AB559" s="225">
        <f t="shared" si="757"/>
        <v>18380</v>
      </c>
      <c r="AC559" s="252">
        <f t="shared" si="758"/>
        <v>414420</v>
      </c>
    </row>
    <row r="560" spans="1:29" s="204" customFormat="1" ht="16.5" hidden="1" customHeight="1">
      <c r="A560" s="319"/>
      <c r="B560" s="211"/>
      <c r="C560" s="212"/>
      <c r="D560" s="212"/>
      <c r="E560" s="219" t="s">
        <v>280</v>
      </c>
      <c r="F560" s="221">
        <f t="shared" si="760"/>
        <v>1785000</v>
      </c>
      <c r="G560" s="221"/>
      <c r="H560" s="221"/>
      <c r="I560" s="222"/>
      <c r="J560" s="221"/>
      <c r="K560" s="221"/>
      <c r="L560" s="221"/>
      <c r="M560" s="221"/>
      <c r="N560" s="221"/>
      <c r="O560" s="221"/>
      <c r="P560" s="221"/>
      <c r="Q560" s="221">
        <f t="shared" si="759"/>
        <v>12810</v>
      </c>
      <c r="R560" s="221">
        <f t="shared" si="761"/>
        <v>512400</v>
      </c>
      <c r="S560" s="221"/>
      <c r="T560" s="222"/>
      <c r="U560" s="214">
        <f t="shared" si="752"/>
        <v>2297400</v>
      </c>
      <c r="V560" s="250"/>
      <c r="W560" s="224">
        <f t="shared" si="762"/>
        <v>191450</v>
      </c>
      <c r="X560" s="225">
        <f t="shared" si="753"/>
        <v>103380</v>
      </c>
      <c r="Y560" s="225">
        <f t="shared" si="736"/>
        <v>74210</v>
      </c>
      <c r="Z560" s="225">
        <f t="shared" si="737"/>
        <v>6320</v>
      </c>
      <c r="AA560" s="225">
        <f t="shared" si="756"/>
        <v>20680</v>
      </c>
      <c r="AB560" s="225">
        <f t="shared" si="757"/>
        <v>18380</v>
      </c>
      <c r="AC560" s="252">
        <f t="shared" si="758"/>
        <v>414420</v>
      </c>
    </row>
    <row r="561" spans="1:29" s="204" customFormat="1" ht="16.5" hidden="1" customHeight="1">
      <c r="A561" s="319"/>
      <c r="B561" s="211"/>
      <c r="C561" s="212"/>
      <c r="D561" s="212"/>
      <c r="E561" s="219" t="s">
        <v>54</v>
      </c>
      <c r="F561" s="221">
        <f t="shared" si="760"/>
        <v>1785000</v>
      </c>
      <c r="G561" s="221"/>
      <c r="H561" s="221"/>
      <c r="I561" s="222"/>
      <c r="J561" s="221"/>
      <c r="K561" s="221"/>
      <c r="L561" s="221"/>
      <c r="M561" s="221">
        <f t="shared" ref="M561" si="763">F561*60%</f>
        <v>1071000</v>
      </c>
      <c r="N561" s="221"/>
      <c r="O561" s="221"/>
      <c r="P561" s="221"/>
      <c r="Q561" s="221">
        <f t="shared" si="759"/>
        <v>12810</v>
      </c>
      <c r="R561" s="221">
        <f t="shared" si="761"/>
        <v>512400</v>
      </c>
      <c r="S561" s="221"/>
      <c r="T561" s="222"/>
      <c r="U561" s="214">
        <f t="shared" si="752"/>
        <v>3368400</v>
      </c>
      <c r="V561" s="250"/>
      <c r="W561" s="224">
        <f t="shared" si="762"/>
        <v>280700</v>
      </c>
      <c r="X561" s="225">
        <f t="shared" si="753"/>
        <v>151580</v>
      </c>
      <c r="Y561" s="225">
        <f t="shared" si="736"/>
        <v>108800</v>
      </c>
      <c r="Z561" s="225">
        <f t="shared" si="737"/>
        <v>9260</v>
      </c>
      <c r="AA561" s="225">
        <f t="shared" si="756"/>
        <v>30320</v>
      </c>
      <c r="AB561" s="225">
        <f t="shared" si="757"/>
        <v>26950</v>
      </c>
      <c r="AC561" s="252">
        <f t="shared" si="758"/>
        <v>607610</v>
      </c>
    </row>
    <row r="562" spans="1:29" s="204" customFormat="1" ht="16.5" hidden="1" customHeight="1">
      <c r="A562" s="319"/>
      <c r="B562" s="211"/>
      <c r="C562" s="212"/>
      <c r="D562" s="212"/>
      <c r="E562" s="219" t="s">
        <v>55</v>
      </c>
      <c r="F562" s="221">
        <f t="shared" si="760"/>
        <v>1785000</v>
      </c>
      <c r="G562" s="221"/>
      <c r="H562" s="221"/>
      <c r="I562" s="222"/>
      <c r="J562" s="221"/>
      <c r="K562" s="221"/>
      <c r="L562" s="221"/>
      <c r="M562" s="221"/>
      <c r="N562" s="221"/>
      <c r="O562" s="221"/>
      <c r="P562" s="221"/>
      <c r="Q562" s="221">
        <f t="shared" si="759"/>
        <v>12810</v>
      </c>
      <c r="R562" s="221">
        <f t="shared" si="761"/>
        <v>512400</v>
      </c>
      <c r="S562" s="221"/>
      <c r="T562" s="222"/>
      <c r="U562" s="214">
        <f t="shared" si="752"/>
        <v>2297400</v>
      </c>
      <c r="V562" s="250"/>
      <c r="W562" s="224">
        <f t="shared" si="762"/>
        <v>191450</v>
      </c>
      <c r="X562" s="225">
        <f t="shared" si="753"/>
        <v>103380</v>
      </c>
      <c r="Y562" s="225">
        <f t="shared" si="736"/>
        <v>74210</v>
      </c>
      <c r="Z562" s="225">
        <f t="shared" si="737"/>
        <v>6320</v>
      </c>
      <c r="AA562" s="225">
        <f t="shared" si="756"/>
        <v>20680</v>
      </c>
      <c r="AB562" s="225">
        <f t="shared" si="757"/>
        <v>18380</v>
      </c>
      <c r="AC562" s="252">
        <f t="shared" si="758"/>
        <v>414420</v>
      </c>
    </row>
    <row r="563" spans="1:29" s="204" customFormat="1" ht="16.5" hidden="1" customHeight="1">
      <c r="A563" s="319"/>
      <c r="B563" s="211"/>
      <c r="C563" s="310"/>
      <c r="D563" s="310"/>
      <c r="E563" s="311" t="s">
        <v>56</v>
      </c>
      <c r="F563" s="312">
        <v>1836000</v>
      </c>
      <c r="G563" s="221"/>
      <c r="H563" s="221"/>
      <c r="I563" s="222"/>
      <c r="J563" s="221"/>
      <c r="K563" s="221"/>
      <c r="L563" s="221"/>
      <c r="M563" s="221"/>
      <c r="N563" s="221"/>
      <c r="O563" s="221"/>
      <c r="P563" s="221"/>
      <c r="Q563" s="221">
        <f t="shared" si="759"/>
        <v>12810</v>
      </c>
      <c r="R563" s="221">
        <f t="shared" si="761"/>
        <v>512400</v>
      </c>
      <c r="S563" s="221"/>
      <c r="T563" s="222"/>
      <c r="U563" s="214">
        <f t="shared" si="752"/>
        <v>2348400</v>
      </c>
      <c r="V563" s="250"/>
      <c r="W563" s="224">
        <f t="shared" si="762"/>
        <v>195700</v>
      </c>
      <c r="X563" s="225">
        <f t="shared" si="753"/>
        <v>105680</v>
      </c>
      <c r="Y563" s="225">
        <f t="shared" si="736"/>
        <v>75860</v>
      </c>
      <c r="Z563" s="225">
        <f t="shared" si="737"/>
        <v>6460</v>
      </c>
      <c r="AA563" s="225">
        <f t="shared" si="756"/>
        <v>21140</v>
      </c>
      <c r="AB563" s="225">
        <f t="shared" si="757"/>
        <v>18790</v>
      </c>
      <c r="AC563" s="252">
        <f t="shared" si="758"/>
        <v>423630</v>
      </c>
    </row>
    <row r="564" spans="1:29" s="204" customFormat="1" ht="16.5" hidden="1" customHeight="1">
      <c r="A564" s="319"/>
      <c r="B564" s="211"/>
      <c r="C564" s="212"/>
      <c r="D564" s="212"/>
      <c r="E564" s="219" t="s">
        <v>281</v>
      </c>
      <c r="F564" s="221">
        <f t="shared" ref="F564" si="764">F563</f>
        <v>1836000</v>
      </c>
      <c r="G564" s="221"/>
      <c r="H564" s="221"/>
      <c r="I564" s="222"/>
      <c r="J564" s="221"/>
      <c r="K564" s="221"/>
      <c r="L564" s="221"/>
      <c r="M564" s="221"/>
      <c r="N564" s="221"/>
      <c r="O564" s="221"/>
      <c r="P564" s="221"/>
      <c r="Q564" s="221">
        <f t="shared" si="759"/>
        <v>13180</v>
      </c>
      <c r="R564" s="221">
        <f>Q564*40*2</f>
        <v>1054400</v>
      </c>
      <c r="S564" s="221"/>
      <c r="T564" s="222"/>
      <c r="U564" s="214">
        <f t="shared" si="752"/>
        <v>2890400</v>
      </c>
      <c r="V564" s="250"/>
      <c r="W564" s="224">
        <f t="shared" si="762"/>
        <v>240870</v>
      </c>
      <c r="X564" s="225">
        <f t="shared" si="753"/>
        <v>130070</v>
      </c>
      <c r="Y564" s="225">
        <f t="shared" si="736"/>
        <v>93360</v>
      </c>
      <c r="Z564" s="225">
        <f t="shared" si="737"/>
        <v>7950</v>
      </c>
      <c r="AA564" s="225">
        <f t="shared" si="756"/>
        <v>26010</v>
      </c>
      <c r="AB564" s="225">
        <f t="shared" si="757"/>
        <v>23120</v>
      </c>
      <c r="AC564" s="252">
        <f t="shared" si="758"/>
        <v>521380</v>
      </c>
    </row>
    <row r="565" spans="1:29" s="204" customFormat="1" ht="16.5" hidden="1" customHeight="1">
      <c r="A565" s="319">
        <v>44</v>
      </c>
      <c r="B565" s="211" t="s">
        <v>87</v>
      </c>
      <c r="C565" s="212">
        <v>1</v>
      </c>
      <c r="D565" s="212">
        <v>1</v>
      </c>
      <c r="E565" s="213" t="s">
        <v>86</v>
      </c>
      <c r="F565" s="214">
        <f t="shared" ref="F565:N565" si="765">SUM(F566:F577)</f>
        <v>17952000</v>
      </c>
      <c r="G565" s="214">
        <f t="shared" si="765"/>
        <v>0</v>
      </c>
      <c r="H565" s="214">
        <f t="shared" si="765"/>
        <v>0</v>
      </c>
      <c r="I565" s="214">
        <f t="shared" si="765"/>
        <v>0</v>
      </c>
      <c r="J565" s="214">
        <f t="shared" si="765"/>
        <v>0</v>
      </c>
      <c r="K565" s="214">
        <f t="shared" si="765"/>
        <v>0</v>
      </c>
      <c r="L565" s="214">
        <f t="shared" si="765"/>
        <v>0</v>
      </c>
      <c r="M565" s="214">
        <f t="shared" si="765"/>
        <v>1071000</v>
      </c>
      <c r="N565" s="214">
        <f t="shared" si="765"/>
        <v>0</v>
      </c>
      <c r="O565" s="214">
        <f>SUM(O566:O577)</f>
        <v>0</v>
      </c>
      <c r="P565" s="214">
        <f t="shared" ref="P565" si="766">SUM(P566:P577)</f>
        <v>0</v>
      </c>
      <c r="Q565" s="214"/>
      <c r="R565" s="214">
        <f t="shared" ref="R565" si="767">SUM(R566:R577)</f>
        <v>5153600</v>
      </c>
      <c r="S565" s="214">
        <f>SUM(S566:S577)</f>
        <v>0</v>
      </c>
      <c r="T565" s="214">
        <f t="shared" ref="T565:U565" si="768">SUM(T566:T577)</f>
        <v>0</v>
      </c>
      <c r="U565" s="214">
        <f t="shared" si="768"/>
        <v>24176600</v>
      </c>
      <c r="V565" s="250"/>
      <c r="W565" s="217">
        <f t="shared" ref="W565:AB565" si="769">SUM(W566:W577)</f>
        <v>2014720</v>
      </c>
      <c r="X565" s="214">
        <f t="shared" si="769"/>
        <v>1087940</v>
      </c>
      <c r="Y565" s="214">
        <f t="shared" si="769"/>
        <v>780940</v>
      </c>
      <c r="Z565" s="214">
        <f t="shared" si="769"/>
        <v>66500</v>
      </c>
      <c r="AA565" s="214">
        <f t="shared" si="769"/>
        <v>217620</v>
      </c>
      <c r="AB565" s="214">
        <f t="shared" si="769"/>
        <v>193420</v>
      </c>
      <c r="AC565" s="266">
        <f>SUM(AC566:AC577)</f>
        <v>4361140</v>
      </c>
    </row>
    <row r="566" spans="1:29" s="204" customFormat="1" ht="16.5" hidden="1" customHeight="1">
      <c r="A566" s="319"/>
      <c r="B566" s="211" t="s">
        <v>924</v>
      </c>
      <c r="C566" s="310">
        <v>1</v>
      </c>
      <c r="D566" s="310"/>
      <c r="E566" s="311" t="s">
        <v>389</v>
      </c>
      <c r="F566" s="312"/>
      <c r="G566" s="221"/>
      <c r="H566" s="220"/>
      <c r="I566" s="222"/>
      <c r="J566" s="221"/>
      <c r="K566" s="221"/>
      <c r="L566" s="221"/>
      <c r="M566" s="221" t="s">
        <v>60</v>
      </c>
      <c r="N566" s="221"/>
      <c r="O566" s="221"/>
      <c r="P566" s="221"/>
      <c r="Q566" s="221"/>
      <c r="R566" s="221"/>
      <c r="S566" s="221"/>
      <c r="T566" s="222"/>
      <c r="U566" s="214">
        <f t="shared" ref="U566:U577" si="770">SUM(F566,M566,O566,R566,T566,S566)</f>
        <v>0</v>
      </c>
      <c r="V566" s="250"/>
      <c r="W566" s="224">
        <f>ROUNDUP(U566*1/12,-1)</f>
        <v>0</v>
      </c>
      <c r="X566" s="225">
        <f t="shared" ref="X566:X577" si="771">ROUND(U566*4.5%,-1)</f>
        <v>0</v>
      </c>
      <c r="Y566" s="225">
        <f t="shared" ref="Y566" si="772">ROUNDUP((U566-L566)*3.23%,-1)</f>
        <v>0</v>
      </c>
      <c r="Z566" s="225">
        <f t="shared" ref="Z566" si="773">ROUNDUP(Y566*8.51%,-1)</f>
        <v>0</v>
      </c>
      <c r="AA566" s="225">
        <f t="shared" ref="AA566:AA577" si="774">ROUND(U566*0.9%,-1)</f>
        <v>0</v>
      </c>
      <c r="AB566" s="225">
        <f t="shared" ref="AB566:AB577" si="775">ROUND(U566*0.8%,-1)</f>
        <v>0</v>
      </c>
      <c r="AC566" s="252">
        <f t="shared" ref="AC566:AC577" si="776">SUM(W566:AB566)</f>
        <v>0</v>
      </c>
    </row>
    <row r="567" spans="1:29" s="204" customFormat="1" ht="16.5" hidden="1" customHeight="1">
      <c r="A567" s="319"/>
      <c r="B567" s="211"/>
      <c r="C567" s="212"/>
      <c r="D567" s="212"/>
      <c r="E567" s="219" t="s">
        <v>390</v>
      </c>
      <c r="F567" s="221"/>
      <c r="G567" s="221"/>
      <c r="H567" s="221"/>
      <c r="I567" s="222"/>
      <c r="J567" s="221"/>
      <c r="K567" s="221"/>
      <c r="L567" s="221"/>
      <c r="M567" s="221">
        <f>F567*60%</f>
        <v>0</v>
      </c>
      <c r="N567" s="221"/>
      <c r="O567" s="221"/>
      <c r="P567" s="221"/>
      <c r="Q567" s="221">
        <f t="shared" ref="Q567:Q577" si="777">ROUND((F566+T566)*1/209*1.5,-1)</f>
        <v>0</v>
      </c>
      <c r="R567" s="221">
        <f>Q567*40</f>
        <v>0</v>
      </c>
      <c r="S567" s="221"/>
      <c r="T567" s="222"/>
      <c r="U567" s="214">
        <f t="shared" si="770"/>
        <v>0</v>
      </c>
      <c r="V567" s="250"/>
      <c r="W567" s="224">
        <f>ROUNDUP((T567+U567)*1/12,-1)</f>
        <v>0</v>
      </c>
      <c r="X567" s="225">
        <f t="shared" si="771"/>
        <v>0</v>
      </c>
      <c r="Y567" s="225">
        <f t="shared" si="736"/>
        <v>0</v>
      </c>
      <c r="Z567" s="225">
        <f t="shared" si="737"/>
        <v>0</v>
      </c>
      <c r="AA567" s="225">
        <f t="shared" si="774"/>
        <v>0</v>
      </c>
      <c r="AB567" s="225">
        <f t="shared" si="775"/>
        <v>0</v>
      </c>
      <c r="AC567" s="252">
        <f t="shared" si="776"/>
        <v>0</v>
      </c>
    </row>
    <row r="568" spans="1:29" s="204" customFormat="1" ht="16.5" hidden="1" customHeight="1">
      <c r="A568" s="319"/>
      <c r="B568" s="211"/>
      <c r="C568" s="212"/>
      <c r="D568" s="212"/>
      <c r="E568" s="219" t="s">
        <v>391</v>
      </c>
      <c r="F568" s="221">
        <v>1785000</v>
      </c>
      <c r="G568" s="221"/>
      <c r="H568" s="221"/>
      <c r="I568" s="222"/>
      <c r="J568" s="221"/>
      <c r="K568" s="221"/>
      <c r="L568" s="221"/>
      <c r="M568" s="221"/>
      <c r="N568" s="221"/>
      <c r="O568" s="221"/>
      <c r="P568" s="221"/>
      <c r="Q568" s="221">
        <f t="shared" si="777"/>
        <v>0</v>
      </c>
      <c r="R568" s="221">
        <f t="shared" ref="R568:R576" si="778">Q568*40</f>
        <v>0</v>
      </c>
      <c r="S568" s="221"/>
      <c r="T568" s="222"/>
      <c r="U568" s="214">
        <f t="shared" si="770"/>
        <v>1785000</v>
      </c>
      <c r="V568" s="250"/>
      <c r="W568" s="224">
        <f t="shared" ref="W568:W577" si="779">ROUNDUP(U568*1/12,-1)</f>
        <v>148750</v>
      </c>
      <c r="X568" s="225">
        <f t="shared" si="771"/>
        <v>80330</v>
      </c>
      <c r="Y568" s="225">
        <f t="shared" si="736"/>
        <v>57660</v>
      </c>
      <c r="Z568" s="225">
        <f t="shared" si="737"/>
        <v>4910</v>
      </c>
      <c r="AA568" s="225">
        <f t="shared" si="774"/>
        <v>16070</v>
      </c>
      <c r="AB568" s="225">
        <f t="shared" si="775"/>
        <v>14280</v>
      </c>
      <c r="AC568" s="252">
        <f t="shared" si="776"/>
        <v>322000</v>
      </c>
    </row>
    <row r="569" spans="1:29" s="204" customFormat="1" ht="16.5" hidden="1" customHeight="1">
      <c r="A569" s="319"/>
      <c r="B569" s="212"/>
      <c r="C569" s="212"/>
      <c r="D569" s="212"/>
      <c r="E569" s="219" t="s">
        <v>392</v>
      </c>
      <c r="F569" s="221">
        <f t="shared" ref="F569:F575" si="780">F568</f>
        <v>1785000</v>
      </c>
      <c r="G569" s="221"/>
      <c r="H569" s="221"/>
      <c r="I569" s="222"/>
      <c r="J569" s="221"/>
      <c r="K569" s="221"/>
      <c r="L569" s="221"/>
      <c r="M569" s="221"/>
      <c r="N569" s="221"/>
      <c r="O569" s="221"/>
      <c r="P569" s="221"/>
      <c r="Q569" s="221">
        <f t="shared" si="777"/>
        <v>12810</v>
      </c>
      <c r="R569" s="221">
        <f t="shared" si="778"/>
        <v>512400</v>
      </c>
      <c r="S569" s="221"/>
      <c r="T569" s="222"/>
      <c r="U569" s="214">
        <f t="shared" si="770"/>
        <v>2297400</v>
      </c>
      <c r="V569" s="250"/>
      <c r="W569" s="224">
        <f t="shared" si="779"/>
        <v>191450</v>
      </c>
      <c r="X569" s="225">
        <f t="shared" si="771"/>
        <v>103380</v>
      </c>
      <c r="Y569" s="225">
        <f t="shared" si="736"/>
        <v>74210</v>
      </c>
      <c r="Z569" s="225">
        <f t="shared" si="737"/>
        <v>6320</v>
      </c>
      <c r="AA569" s="225">
        <f t="shared" si="774"/>
        <v>20680</v>
      </c>
      <c r="AB569" s="225">
        <f t="shared" si="775"/>
        <v>18380</v>
      </c>
      <c r="AC569" s="252">
        <f t="shared" si="776"/>
        <v>414420</v>
      </c>
    </row>
    <row r="570" spans="1:29" s="204" customFormat="1" ht="16.5" hidden="1" customHeight="1">
      <c r="A570" s="319"/>
      <c r="B570" s="211"/>
      <c r="C570" s="212"/>
      <c r="D570" s="212"/>
      <c r="E570" s="219" t="s">
        <v>393</v>
      </c>
      <c r="F570" s="221">
        <f t="shared" si="780"/>
        <v>1785000</v>
      </c>
      <c r="G570" s="221"/>
      <c r="H570" s="221"/>
      <c r="I570" s="222"/>
      <c r="J570" s="221"/>
      <c r="K570" s="221"/>
      <c r="L570" s="221"/>
      <c r="M570" s="221"/>
      <c r="N570" s="221"/>
      <c r="O570" s="221"/>
      <c r="P570" s="221"/>
      <c r="Q570" s="221">
        <f t="shared" si="777"/>
        <v>12810</v>
      </c>
      <c r="R570" s="221">
        <f t="shared" si="778"/>
        <v>512400</v>
      </c>
      <c r="S570" s="221"/>
      <c r="T570" s="222"/>
      <c r="U570" s="214">
        <f t="shared" si="770"/>
        <v>2297400</v>
      </c>
      <c r="V570" s="250"/>
      <c r="W570" s="224">
        <f t="shared" si="779"/>
        <v>191450</v>
      </c>
      <c r="X570" s="225">
        <f t="shared" si="771"/>
        <v>103380</v>
      </c>
      <c r="Y570" s="225">
        <f t="shared" si="736"/>
        <v>74210</v>
      </c>
      <c r="Z570" s="225">
        <f t="shared" si="737"/>
        <v>6320</v>
      </c>
      <c r="AA570" s="225">
        <f t="shared" si="774"/>
        <v>20680</v>
      </c>
      <c r="AB570" s="225">
        <f t="shared" si="775"/>
        <v>18380</v>
      </c>
      <c r="AC570" s="252">
        <f t="shared" si="776"/>
        <v>414420</v>
      </c>
    </row>
    <row r="571" spans="1:29" s="204" customFormat="1" ht="16.5" hidden="1" customHeight="1">
      <c r="A571" s="319"/>
      <c r="B571" s="211"/>
      <c r="C571" s="212"/>
      <c r="D571" s="212"/>
      <c r="E571" s="219" t="s">
        <v>394</v>
      </c>
      <c r="F571" s="221">
        <f t="shared" si="780"/>
        <v>1785000</v>
      </c>
      <c r="G571" s="221"/>
      <c r="H571" s="221"/>
      <c r="I571" s="222"/>
      <c r="J571" s="221"/>
      <c r="K571" s="221"/>
      <c r="L571" s="221"/>
      <c r="M571" s="221"/>
      <c r="N571" s="221"/>
      <c r="O571" s="221"/>
      <c r="P571" s="221"/>
      <c r="Q571" s="221">
        <f t="shared" si="777"/>
        <v>12810</v>
      </c>
      <c r="R571" s="221">
        <f t="shared" si="778"/>
        <v>512400</v>
      </c>
      <c r="S571" s="221"/>
      <c r="T571" s="222"/>
      <c r="U571" s="214">
        <f t="shared" si="770"/>
        <v>2297400</v>
      </c>
      <c r="V571" s="250"/>
      <c r="W571" s="224">
        <f t="shared" si="779"/>
        <v>191450</v>
      </c>
      <c r="X571" s="225">
        <f t="shared" si="771"/>
        <v>103380</v>
      </c>
      <c r="Y571" s="225">
        <f t="shared" si="736"/>
        <v>74210</v>
      </c>
      <c r="Z571" s="225">
        <f t="shared" si="737"/>
        <v>6320</v>
      </c>
      <c r="AA571" s="225">
        <f t="shared" si="774"/>
        <v>20680</v>
      </c>
      <c r="AB571" s="225">
        <f t="shared" si="775"/>
        <v>18380</v>
      </c>
      <c r="AC571" s="252">
        <f t="shared" si="776"/>
        <v>414420</v>
      </c>
    </row>
    <row r="572" spans="1:29" s="204" customFormat="1" ht="16.5" hidden="1" customHeight="1">
      <c r="A572" s="319"/>
      <c r="B572" s="211"/>
      <c r="C572" s="212"/>
      <c r="D572" s="212"/>
      <c r="E572" s="219" t="s">
        <v>279</v>
      </c>
      <c r="F572" s="221">
        <f t="shared" si="780"/>
        <v>1785000</v>
      </c>
      <c r="G572" s="221"/>
      <c r="H572" s="220"/>
      <c r="I572" s="222"/>
      <c r="J572" s="221"/>
      <c r="K572" s="221"/>
      <c r="L572" s="221"/>
      <c r="M572" s="221"/>
      <c r="N572" s="221"/>
      <c r="O572" s="221"/>
      <c r="P572" s="221"/>
      <c r="Q572" s="221">
        <f t="shared" si="777"/>
        <v>12810</v>
      </c>
      <c r="R572" s="221">
        <f t="shared" si="778"/>
        <v>512400</v>
      </c>
      <c r="S572" s="221"/>
      <c r="T572" s="222"/>
      <c r="U572" s="214">
        <f t="shared" si="770"/>
        <v>2297400</v>
      </c>
      <c r="V572" s="250"/>
      <c r="W572" s="224">
        <f t="shared" si="779"/>
        <v>191450</v>
      </c>
      <c r="X572" s="225">
        <f t="shared" si="771"/>
        <v>103380</v>
      </c>
      <c r="Y572" s="225">
        <f t="shared" si="736"/>
        <v>74210</v>
      </c>
      <c r="Z572" s="225">
        <f t="shared" si="737"/>
        <v>6320</v>
      </c>
      <c r="AA572" s="225">
        <f t="shared" si="774"/>
        <v>20680</v>
      </c>
      <c r="AB572" s="225">
        <f t="shared" si="775"/>
        <v>18380</v>
      </c>
      <c r="AC572" s="252">
        <f t="shared" si="776"/>
        <v>414420</v>
      </c>
    </row>
    <row r="573" spans="1:29" s="204" customFormat="1" ht="16.5" hidden="1" customHeight="1">
      <c r="A573" s="319"/>
      <c r="B573" s="211"/>
      <c r="C573" s="212"/>
      <c r="D573" s="212"/>
      <c r="E573" s="219" t="s">
        <v>280</v>
      </c>
      <c r="F573" s="221">
        <f t="shared" si="780"/>
        <v>1785000</v>
      </c>
      <c r="G573" s="221"/>
      <c r="H573" s="221"/>
      <c r="I573" s="222"/>
      <c r="J573" s="221"/>
      <c r="K573" s="221"/>
      <c r="L573" s="221"/>
      <c r="M573" s="221"/>
      <c r="N573" s="221"/>
      <c r="O573" s="221"/>
      <c r="P573" s="221"/>
      <c r="Q573" s="221">
        <f t="shared" si="777"/>
        <v>12810</v>
      </c>
      <c r="R573" s="221">
        <f t="shared" si="778"/>
        <v>512400</v>
      </c>
      <c r="S573" s="221"/>
      <c r="T573" s="222"/>
      <c r="U573" s="214">
        <f t="shared" si="770"/>
        <v>2297400</v>
      </c>
      <c r="V573" s="250"/>
      <c r="W573" s="224">
        <f t="shared" si="779"/>
        <v>191450</v>
      </c>
      <c r="X573" s="225">
        <f t="shared" si="771"/>
        <v>103380</v>
      </c>
      <c r="Y573" s="225">
        <f t="shared" si="736"/>
        <v>74210</v>
      </c>
      <c r="Z573" s="225">
        <f t="shared" si="737"/>
        <v>6320</v>
      </c>
      <c r="AA573" s="225">
        <f t="shared" si="774"/>
        <v>20680</v>
      </c>
      <c r="AB573" s="225">
        <f t="shared" si="775"/>
        <v>18380</v>
      </c>
      <c r="AC573" s="252">
        <f t="shared" si="776"/>
        <v>414420</v>
      </c>
    </row>
    <row r="574" spans="1:29" s="204" customFormat="1" ht="16.5" hidden="1" customHeight="1">
      <c r="A574" s="319"/>
      <c r="B574" s="211"/>
      <c r="C574" s="212"/>
      <c r="D574" s="212"/>
      <c r="E574" s="219" t="s">
        <v>54</v>
      </c>
      <c r="F574" s="221">
        <f t="shared" si="780"/>
        <v>1785000</v>
      </c>
      <c r="G574" s="221"/>
      <c r="H574" s="221"/>
      <c r="I574" s="222"/>
      <c r="J574" s="221"/>
      <c r="K574" s="221"/>
      <c r="L574" s="221"/>
      <c r="M574" s="221">
        <f>F574*60%</f>
        <v>1071000</v>
      </c>
      <c r="N574" s="221"/>
      <c r="O574" s="221"/>
      <c r="P574" s="221"/>
      <c r="Q574" s="221">
        <f t="shared" si="777"/>
        <v>12810</v>
      </c>
      <c r="R574" s="221">
        <f t="shared" si="778"/>
        <v>512400</v>
      </c>
      <c r="S574" s="221"/>
      <c r="T574" s="222"/>
      <c r="U574" s="214">
        <f t="shared" si="770"/>
        <v>3368400</v>
      </c>
      <c r="V574" s="250"/>
      <c r="W574" s="224">
        <f t="shared" si="779"/>
        <v>280700</v>
      </c>
      <c r="X574" s="225">
        <f t="shared" si="771"/>
        <v>151580</v>
      </c>
      <c r="Y574" s="225">
        <f t="shared" si="736"/>
        <v>108800</v>
      </c>
      <c r="Z574" s="225">
        <f t="shared" si="737"/>
        <v>9260</v>
      </c>
      <c r="AA574" s="225">
        <f t="shared" si="774"/>
        <v>30320</v>
      </c>
      <c r="AB574" s="225">
        <f t="shared" si="775"/>
        <v>26950</v>
      </c>
      <c r="AC574" s="252">
        <f t="shared" si="776"/>
        <v>607610</v>
      </c>
    </row>
    <row r="575" spans="1:29" s="204" customFormat="1" ht="16.5" hidden="1" customHeight="1">
      <c r="A575" s="319"/>
      <c r="B575" s="211"/>
      <c r="C575" s="212"/>
      <c r="D575" s="212"/>
      <c r="E575" s="219" t="s">
        <v>55</v>
      </c>
      <c r="F575" s="221">
        <f t="shared" si="780"/>
        <v>1785000</v>
      </c>
      <c r="G575" s="221"/>
      <c r="H575" s="221"/>
      <c r="I575" s="222"/>
      <c r="J575" s="221"/>
      <c r="K575" s="221"/>
      <c r="L575" s="221"/>
      <c r="M575" s="221"/>
      <c r="N575" s="221"/>
      <c r="O575" s="221"/>
      <c r="P575" s="221"/>
      <c r="Q575" s="221">
        <f t="shared" si="777"/>
        <v>12810</v>
      </c>
      <c r="R575" s="221">
        <f t="shared" si="778"/>
        <v>512400</v>
      </c>
      <c r="S575" s="221"/>
      <c r="T575" s="222"/>
      <c r="U575" s="214">
        <f t="shared" si="770"/>
        <v>2297400</v>
      </c>
      <c r="V575" s="250"/>
      <c r="W575" s="224">
        <f t="shared" si="779"/>
        <v>191450</v>
      </c>
      <c r="X575" s="225">
        <f t="shared" si="771"/>
        <v>103380</v>
      </c>
      <c r="Y575" s="225">
        <f t="shared" si="736"/>
        <v>74210</v>
      </c>
      <c r="Z575" s="225">
        <f t="shared" si="737"/>
        <v>6320</v>
      </c>
      <c r="AA575" s="225">
        <f t="shared" si="774"/>
        <v>20680</v>
      </c>
      <c r="AB575" s="225">
        <f t="shared" si="775"/>
        <v>18380</v>
      </c>
      <c r="AC575" s="252">
        <f t="shared" si="776"/>
        <v>414420</v>
      </c>
    </row>
    <row r="576" spans="1:29" s="204" customFormat="1" ht="16.5" hidden="1" customHeight="1">
      <c r="A576" s="319"/>
      <c r="B576" s="211"/>
      <c r="C576" s="212"/>
      <c r="D576" s="212"/>
      <c r="E576" s="219" t="s">
        <v>56</v>
      </c>
      <c r="F576" s="312">
        <v>1836000</v>
      </c>
      <c r="G576" s="221"/>
      <c r="H576" s="221"/>
      <c r="I576" s="222"/>
      <c r="J576" s="221"/>
      <c r="K576" s="221"/>
      <c r="L576" s="221"/>
      <c r="M576" s="221"/>
      <c r="N576" s="221"/>
      <c r="O576" s="221"/>
      <c r="P576" s="221"/>
      <c r="Q576" s="221">
        <f t="shared" si="777"/>
        <v>12810</v>
      </c>
      <c r="R576" s="221">
        <f t="shared" si="778"/>
        <v>512400</v>
      </c>
      <c r="S576" s="221"/>
      <c r="T576" s="222"/>
      <c r="U576" s="214">
        <f t="shared" si="770"/>
        <v>2348400</v>
      </c>
      <c r="V576" s="250"/>
      <c r="W576" s="224">
        <f t="shared" si="779"/>
        <v>195700</v>
      </c>
      <c r="X576" s="225">
        <f t="shared" si="771"/>
        <v>105680</v>
      </c>
      <c r="Y576" s="225">
        <f t="shared" si="736"/>
        <v>75860</v>
      </c>
      <c r="Z576" s="225">
        <f t="shared" si="737"/>
        <v>6460</v>
      </c>
      <c r="AA576" s="225">
        <f t="shared" si="774"/>
        <v>21140</v>
      </c>
      <c r="AB576" s="225">
        <f t="shared" si="775"/>
        <v>18790</v>
      </c>
      <c r="AC576" s="252">
        <f t="shared" si="776"/>
        <v>423630</v>
      </c>
    </row>
    <row r="577" spans="1:29" s="204" customFormat="1" ht="16.5" hidden="1" customHeight="1">
      <c r="A577" s="319"/>
      <c r="B577" s="211"/>
      <c r="C577" s="212"/>
      <c r="D577" s="212"/>
      <c r="E577" s="219" t="s">
        <v>395</v>
      </c>
      <c r="F577" s="221">
        <f t="shared" ref="F577" si="781">F576</f>
        <v>1836000</v>
      </c>
      <c r="G577" s="221"/>
      <c r="H577" s="221"/>
      <c r="I577" s="222"/>
      <c r="J577" s="221"/>
      <c r="K577" s="221"/>
      <c r="L577" s="221"/>
      <c r="M577" s="221"/>
      <c r="N577" s="221"/>
      <c r="O577" s="221"/>
      <c r="P577" s="221"/>
      <c r="Q577" s="221">
        <f t="shared" si="777"/>
        <v>13180</v>
      </c>
      <c r="R577" s="221">
        <f>Q577*40*2</f>
        <v>1054400</v>
      </c>
      <c r="S577" s="221"/>
      <c r="T577" s="222"/>
      <c r="U577" s="214">
        <f t="shared" si="770"/>
        <v>2890400</v>
      </c>
      <c r="V577" s="250"/>
      <c r="W577" s="224">
        <f t="shared" si="779"/>
        <v>240870</v>
      </c>
      <c r="X577" s="225">
        <f t="shared" si="771"/>
        <v>130070</v>
      </c>
      <c r="Y577" s="225">
        <f t="shared" si="736"/>
        <v>93360</v>
      </c>
      <c r="Z577" s="225">
        <f t="shared" si="737"/>
        <v>7950</v>
      </c>
      <c r="AA577" s="225">
        <f t="shared" si="774"/>
        <v>26010</v>
      </c>
      <c r="AB577" s="225">
        <f t="shared" si="775"/>
        <v>23120</v>
      </c>
      <c r="AC577" s="252">
        <f t="shared" si="776"/>
        <v>521380</v>
      </c>
    </row>
    <row r="578" spans="1:29" s="204" customFormat="1" ht="16.5" customHeight="1">
      <c r="A578" s="319">
        <v>45</v>
      </c>
      <c r="B578" s="211" t="s">
        <v>830</v>
      </c>
      <c r="C578" s="212" t="s">
        <v>609</v>
      </c>
      <c r="D578" s="212">
        <v>1</v>
      </c>
      <c r="E578" s="213" t="s">
        <v>86</v>
      </c>
      <c r="F578" s="214">
        <f t="shared" ref="F578:N578" si="782">SUM(F579:F590)</f>
        <v>26220000</v>
      </c>
      <c r="G578" s="214">
        <f t="shared" si="782"/>
        <v>0</v>
      </c>
      <c r="H578" s="214">
        <f t="shared" si="782"/>
        <v>0</v>
      </c>
      <c r="I578" s="214">
        <f t="shared" si="782"/>
        <v>0</v>
      </c>
      <c r="J578" s="214">
        <f t="shared" si="782"/>
        <v>0</v>
      </c>
      <c r="K578" s="214">
        <f t="shared" si="782"/>
        <v>0</v>
      </c>
      <c r="L578" s="214">
        <f t="shared" si="782"/>
        <v>0</v>
      </c>
      <c r="M578" s="214">
        <f t="shared" si="782"/>
        <v>2631000</v>
      </c>
      <c r="N578" s="214">
        <f t="shared" si="782"/>
        <v>0</v>
      </c>
      <c r="O578" s="214">
        <f>SUM(O579:O590)</f>
        <v>480000</v>
      </c>
      <c r="P578" s="214">
        <f t="shared" ref="P578" si="783">SUM(P579:P590)</f>
        <v>0</v>
      </c>
      <c r="Q578" s="214"/>
      <c r="R578" s="214">
        <f t="shared" ref="R578" si="784">SUM(R579:R590)</f>
        <v>3763200</v>
      </c>
      <c r="S578" s="214">
        <f>SUM(S579:S590)</f>
        <v>861300</v>
      </c>
      <c r="T578" s="214">
        <f t="shared" ref="T578" si="785">SUM(T579:T590)</f>
        <v>0</v>
      </c>
      <c r="U578" s="214">
        <f>SUM(U579:U590)</f>
        <v>33955500</v>
      </c>
      <c r="V578" s="250"/>
      <c r="W578" s="217">
        <f t="shared" ref="W578:AB578" si="786">SUM(W579:W590)</f>
        <v>2829700</v>
      </c>
      <c r="X578" s="214">
        <f t="shared" si="786"/>
        <v>1528020</v>
      </c>
      <c r="Y578" s="214">
        <f t="shared" si="786"/>
        <v>1096820</v>
      </c>
      <c r="Z578" s="214">
        <f t="shared" si="786"/>
        <v>93410</v>
      </c>
      <c r="AA578" s="214">
        <f t="shared" si="786"/>
        <v>305570</v>
      </c>
      <c r="AB578" s="214">
        <f t="shared" si="786"/>
        <v>271620</v>
      </c>
      <c r="AC578" s="266">
        <f>SUM(AC579:AC590)</f>
        <v>6125140</v>
      </c>
    </row>
    <row r="579" spans="1:29" s="204" customFormat="1" ht="16.5" hidden="1" customHeight="1">
      <c r="A579" s="319"/>
      <c r="B579" s="211" t="s">
        <v>448</v>
      </c>
      <c r="C579" s="310">
        <v>11</v>
      </c>
      <c r="D579" s="310"/>
      <c r="E579" s="311" t="s">
        <v>273</v>
      </c>
      <c r="F579" s="312">
        <v>2170000</v>
      </c>
      <c r="G579" s="221"/>
      <c r="H579" s="220"/>
      <c r="I579" s="222"/>
      <c r="J579" s="221"/>
      <c r="K579" s="221"/>
      <c r="L579" s="221"/>
      <c r="M579" s="221" t="s">
        <v>60</v>
      </c>
      <c r="N579" s="221"/>
      <c r="O579" s="221">
        <v>40000</v>
      </c>
      <c r="P579" s="221"/>
      <c r="Q579" s="221"/>
      <c r="R579" s="221"/>
      <c r="S579" s="221"/>
      <c r="T579" s="222"/>
      <c r="U579" s="214">
        <f t="shared" ref="U579:U590" si="787">SUM(F579,M579,O579,R579,T579,S579)</f>
        <v>2210000</v>
      </c>
      <c r="V579" s="250"/>
      <c r="W579" s="224">
        <f>ROUNDUP(U579*1/12,-1)</f>
        <v>184170</v>
      </c>
      <c r="X579" s="225">
        <f t="shared" ref="X579:X590" si="788">ROUND(U579*4.5%,-1)</f>
        <v>99450</v>
      </c>
      <c r="Y579" s="225">
        <f t="shared" ref="Y579" si="789">ROUNDUP((U579-L579)*3.23%,-1)</f>
        <v>71390</v>
      </c>
      <c r="Z579" s="225">
        <f t="shared" ref="Z579" si="790">ROUNDUP(Y579*8.51%,-1)</f>
        <v>6080</v>
      </c>
      <c r="AA579" s="225">
        <f t="shared" ref="AA579:AA590" si="791">ROUND(U579*0.9%,-1)</f>
        <v>19890</v>
      </c>
      <c r="AB579" s="225">
        <f t="shared" ref="AB579:AB590" si="792">ROUND(U579*0.8%,-1)</f>
        <v>17680</v>
      </c>
      <c r="AC579" s="252">
        <f t="shared" ref="AC579:AC590" si="793">SUM(W579:AB579)</f>
        <v>398660</v>
      </c>
    </row>
    <row r="580" spans="1:29" s="204" customFormat="1" ht="16.5" hidden="1" customHeight="1">
      <c r="A580" s="319"/>
      <c r="B580" s="211"/>
      <c r="C580" s="212"/>
      <c r="D580" s="212"/>
      <c r="E580" s="219" t="s">
        <v>274</v>
      </c>
      <c r="F580" s="221">
        <f>F579</f>
        <v>2170000</v>
      </c>
      <c r="G580" s="221"/>
      <c r="H580" s="221"/>
      <c r="I580" s="222"/>
      <c r="J580" s="221"/>
      <c r="K580" s="221"/>
      <c r="L580" s="221"/>
      <c r="M580" s="221">
        <f>F580*60%</f>
        <v>1302000</v>
      </c>
      <c r="N580" s="221"/>
      <c r="O580" s="221">
        <f t="shared" ref="O580:O590" si="794">O579</f>
        <v>40000</v>
      </c>
      <c r="P580" s="221"/>
      <c r="Q580" s="221">
        <f t="shared" ref="Q580:Q590" si="795">ROUND((F579+T579)*1/209*1.5,-1)</f>
        <v>15570</v>
      </c>
      <c r="R580" s="221">
        <f>Q580*20</f>
        <v>311400</v>
      </c>
      <c r="S580" s="221">
        <f>Q580*5</f>
        <v>77850</v>
      </c>
      <c r="T580" s="222"/>
      <c r="U580" s="214">
        <f t="shared" si="787"/>
        <v>3901250</v>
      </c>
      <c r="V580" s="250"/>
      <c r="W580" s="224">
        <f>ROUNDUP((T580+U580)*1/12,-1)</f>
        <v>325110</v>
      </c>
      <c r="X580" s="225">
        <f t="shared" si="788"/>
        <v>175560</v>
      </c>
      <c r="Y580" s="225">
        <f t="shared" si="736"/>
        <v>126020</v>
      </c>
      <c r="Z580" s="225">
        <f t="shared" si="737"/>
        <v>10730</v>
      </c>
      <c r="AA580" s="225">
        <f t="shared" si="791"/>
        <v>35110</v>
      </c>
      <c r="AB580" s="225">
        <f t="shared" si="792"/>
        <v>31210</v>
      </c>
      <c r="AC580" s="252">
        <f t="shared" si="793"/>
        <v>703740</v>
      </c>
    </row>
    <row r="581" spans="1:29" s="204" customFormat="1" ht="16.5" hidden="1" customHeight="1">
      <c r="A581" s="319"/>
      <c r="B581" s="211"/>
      <c r="C581" s="212"/>
      <c r="D581" s="212"/>
      <c r="E581" s="219" t="s">
        <v>275</v>
      </c>
      <c r="F581" s="221">
        <f>F579</f>
        <v>2170000</v>
      </c>
      <c r="G581" s="221"/>
      <c r="H581" s="221"/>
      <c r="I581" s="222"/>
      <c r="J581" s="221"/>
      <c r="K581" s="221"/>
      <c r="L581" s="221"/>
      <c r="M581" s="221"/>
      <c r="N581" s="221"/>
      <c r="O581" s="221">
        <f t="shared" si="794"/>
        <v>40000</v>
      </c>
      <c r="P581" s="221"/>
      <c r="Q581" s="221">
        <f t="shared" si="795"/>
        <v>15570</v>
      </c>
      <c r="R581" s="221">
        <f t="shared" ref="R581:R589" si="796">Q581*20</f>
        <v>311400</v>
      </c>
      <c r="S581" s="221">
        <f t="shared" ref="S581:S590" si="797">Q581*5</f>
        <v>77850</v>
      </c>
      <c r="T581" s="222"/>
      <c r="U581" s="214">
        <f t="shared" si="787"/>
        <v>2599250</v>
      </c>
      <c r="V581" s="250"/>
      <c r="W581" s="224">
        <f t="shared" ref="W581:W590" si="798">ROUNDUP(U581*1/12,-1)</f>
        <v>216610</v>
      </c>
      <c r="X581" s="225">
        <f t="shared" si="788"/>
        <v>116970</v>
      </c>
      <c r="Y581" s="225">
        <f t="shared" si="736"/>
        <v>83960</v>
      </c>
      <c r="Z581" s="225">
        <f t="shared" si="737"/>
        <v>7150</v>
      </c>
      <c r="AA581" s="225">
        <f t="shared" si="791"/>
        <v>23390</v>
      </c>
      <c r="AB581" s="225">
        <f t="shared" si="792"/>
        <v>20790</v>
      </c>
      <c r="AC581" s="252">
        <f t="shared" si="793"/>
        <v>468870</v>
      </c>
    </row>
    <row r="582" spans="1:29" s="204" customFormat="1" ht="16.5" hidden="1" customHeight="1">
      <c r="A582" s="319"/>
      <c r="B582" s="211"/>
      <c r="C582" s="212"/>
      <c r="D582" s="212"/>
      <c r="E582" s="219" t="s">
        <v>276</v>
      </c>
      <c r="F582" s="221">
        <f>F579</f>
        <v>2170000</v>
      </c>
      <c r="G582" s="221"/>
      <c r="H582" s="221"/>
      <c r="I582" s="222"/>
      <c r="J582" s="221"/>
      <c r="K582" s="221"/>
      <c r="L582" s="221"/>
      <c r="M582" s="221"/>
      <c r="N582" s="221"/>
      <c r="O582" s="221">
        <f t="shared" si="794"/>
        <v>40000</v>
      </c>
      <c r="P582" s="221"/>
      <c r="Q582" s="221">
        <f t="shared" si="795"/>
        <v>15570</v>
      </c>
      <c r="R582" s="221">
        <f t="shared" si="796"/>
        <v>311400</v>
      </c>
      <c r="S582" s="221">
        <f t="shared" si="797"/>
        <v>77850</v>
      </c>
      <c r="T582" s="222"/>
      <c r="U582" s="214">
        <f t="shared" si="787"/>
        <v>2599250</v>
      </c>
      <c r="V582" s="250"/>
      <c r="W582" s="224">
        <f t="shared" si="798"/>
        <v>216610</v>
      </c>
      <c r="X582" s="225">
        <f t="shared" si="788"/>
        <v>116970</v>
      </c>
      <c r="Y582" s="225">
        <f t="shared" si="736"/>
        <v>83960</v>
      </c>
      <c r="Z582" s="225">
        <f t="shared" si="737"/>
        <v>7150</v>
      </c>
      <c r="AA582" s="225">
        <f t="shared" si="791"/>
        <v>23390</v>
      </c>
      <c r="AB582" s="225">
        <f t="shared" si="792"/>
        <v>20790</v>
      </c>
      <c r="AC582" s="252">
        <f t="shared" si="793"/>
        <v>468870</v>
      </c>
    </row>
    <row r="583" spans="1:29" s="204" customFormat="1" ht="16.5" hidden="1" customHeight="1">
      <c r="A583" s="319"/>
      <c r="B583" s="211"/>
      <c r="C583" s="212"/>
      <c r="D583" s="212"/>
      <c r="E583" s="219" t="s">
        <v>277</v>
      </c>
      <c r="F583" s="221">
        <f>F579</f>
        <v>2170000</v>
      </c>
      <c r="G583" s="221"/>
      <c r="H583" s="221"/>
      <c r="I583" s="222"/>
      <c r="J583" s="221"/>
      <c r="K583" s="221"/>
      <c r="L583" s="221"/>
      <c r="M583" s="221"/>
      <c r="N583" s="221"/>
      <c r="O583" s="221">
        <f t="shared" si="794"/>
        <v>40000</v>
      </c>
      <c r="P583" s="221"/>
      <c r="Q583" s="221">
        <f t="shared" si="795"/>
        <v>15570</v>
      </c>
      <c r="R583" s="221">
        <f t="shared" si="796"/>
        <v>311400</v>
      </c>
      <c r="S583" s="221">
        <f t="shared" si="797"/>
        <v>77850</v>
      </c>
      <c r="T583" s="222"/>
      <c r="U583" s="214">
        <f t="shared" si="787"/>
        <v>2599250</v>
      </c>
      <c r="V583" s="250"/>
      <c r="W583" s="224">
        <f t="shared" si="798"/>
        <v>216610</v>
      </c>
      <c r="X583" s="225">
        <f t="shared" si="788"/>
        <v>116970</v>
      </c>
      <c r="Y583" s="225">
        <f t="shared" si="736"/>
        <v>83960</v>
      </c>
      <c r="Z583" s="225">
        <f t="shared" si="737"/>
        <v>7150</v>
      </c>
      <c r="AA583" s="225">
        <f t="shared" si="791"/>
        <v>23390</v>
      </c>
      <c r="AB583" s="225">
        <f t="shared" si="792"/>
        <v>20790</v>
      </c>
      <c r="AC583" s="252">
        <f t="shared" si="793"/>
        <v>468870</v>
      </c>
    </row>
    <row r="584" spans="1:29" s="204" customFormat="1" ht="16.5" hidden="1" customHeight="1">
      <c r="A584" s="319"/>
      <c r="B584" s="211"/>
      <c r="C584" s="212"/>
      <c r="D584" s="212"/>
      <c r="E584" s="219" t="s">
        <v>278</v>
      </c>
      <c r="F584" s="221">
        <f>F579</f>
        <v>2170000</v>
      </c>
      <c r="G584" s="221"/>
      <c r="H584" s="221"/>
      <c r="I584" s="222"/>
      <c r="J584" s="221"/>
      <c r="K584" s="221"/>
      <c r="L584" s="221"/>
      <c r="M584" s="221"/>
      <c r="N584" s="221"/>
      <c r="O584" s="221">
        <f t="shared" si="794"/>
        <v>40000</v>
      </c>
      <c r="P584" s="221"/>
      <c r="Q584" s="221">
        <f t="shared" si="795"/>
        <v>15570</v>
      </c>
      <c r="R584" s="221">
        <f t="shared" si="796"/>
        <v>311400</v>
      </c>
      <c r="S584" s="221">
        <f t="shared" si="797"/>
        <v>77850</v>
      </c>
      <c r="T584" s="222"/>
      <c r="U584" s="214">
        <f t="shared" si="787"/>
        <v>2599250</v>
      </c>
      <c r="V584" s="250"/>
      <c r="W584" s="224">
        <f t="shared" si="798"/>
        <v>216610</v>
      </c>
      <c r="X584" s="225">
        <f t="shared" si="788"/>
        <v>116970</v>
      </c>
      <c r="Y584" s="225">
        <f t="shared" si="736"/>
        <v>83960</v>
      </c>
      <c r="Z584" s="225">
        <f t="shared" si="737"/>
        <v>7150</v>
      </c>
      <c r="AA584" s="225">
        <f t="shared" si="791"/>
        <v>23390</v>
      </c>
      <c r="AB584" s="225">
        <f t="shared" si="792"/>
        <v>20790</v>
      </c>
      <c r="AC584" s="252">
        <f t="shared" si="793"/>
        <v>468870</v>
      </c>
    </row>
    <row r="585" spans="1:29" s="204" customFormat="1" ht="16.5" hidden="1" customHeight="1">
      <c r="A585" s="319"/>
      <c r="B585" s="211"/>
      <c r="C585" s="212"/>
      <c r="D585" s="212"/>
      <c r="E585" s="219" t="s">
        <v>279</v>
      </c>
      <c r="F585" s="225">
        <f>F584</f>
        <v>2170000</v>
      </c>
      <c r="G585" s="221"/>
      <c r="H585" s="220"/>
      <c r="I585" s="222"/>
      <c r="J585" s="221"/>
      <c r="K585" s="221"/>
      <c r="L585" s="221"/>
      <c r="M585" s="221"/>
      <c r="N585" s="221"/>
      <c r="O585" s="221">
        <f t="shared" si="794"/>
        <v>40000</v>
      </c>
      <c r="P585" s="221"/>
      <c r="Q585" s="221">
        <f t="shared" si="795"/>
        <v>15570</v>
      </c>
      <c r="R585" s="221">
        <f t="shared" si="796"/>
        <v>311400</v>
      </c>
      <c r="S585" s="221">
        <f t="shared" si="797"/>
        <v>77850</v>
      </c>
      <c r="T585" s="222"/>
      <c r="U585" s="214">
        <f t="shared" si="787"/>
        <v>2599250</v>
      </c>
      <c r="V585" s="250"/>
      <c r="W585" s="224">
        <f t="shared" si="798"/>
        <v>216610</v>
      </c>
      <c r="X585" s="225">
        <f t="shared" si="788"/>
        <v>116970</v>
      </c>
      <c r="Y585" s="225">
        <f t="shared" si="736"/>
        <v>83960</v>
      </c>
      <c r="Z585" s="225">
        <f t="shared" si="737"/>
        <v>7150</v>
      </c>
      <c r="AA585" s="225">
        <f t="shared" si="791"/>
        <v>23390</v>
      </c>
      <c r="AB585" s="225">
        <f t="shared" si="792"/>
        <v>20790</v>
      </c>
      <c r="AC585" s="252">
        <f t="shared" si="793"/>
        <v>468870</v>
      </c>
    </row>
    <row r="586" spans="1:29" s="204" customFormat="1" ht="16.5" hidden="1" customHeight="1">
      <c r="A586" s="319"/>
      <c r="B586" s="211"/>
      <c r="C586" s="212"/>
      <c r="D586" s="212"/>
      <c r="E586" s="219" t="s">
        <v>280</v>
      </c>
      <c r="F586" s="221">
        <f>F585</f>
        <v>2170000</v>
      </c>
      <c r="G586" s="221"/>
      <c r="H586" s="221"/>
      <c r="I586" s="222"/>
      <c r="J586" s="221"/>
      <c r="K586" s="221"/>
      <c r="L586" s="221"/>
      <c r="M586" s="221"/>
      <c r="N586" s="221"/>
      <c r="O586" s="221">
        <f t="shared" si="794"/>
        <v>40000</v>
      </c>
      <c r="P586" s="221"/>
      <c r="Q586" s="221">
        <f t="shared" si="795"/>
        <v>15570</v>
      </c>
      <c r="R586" s="221">
        <f t="shared" si="796"/>
        <v>311400</v>
      </c>
      <c r="S586" s="221">
        <f t="shared" si="797"/>
        <v>77850</v>
      </c>
      <c r="T586" s="222"/>
      <c r="U586" s="214">
        <f t="shared" si="787"/>
        <v>2599250</v>
      </c>
      <c r="V586" s="250"/>
      <c r="W586" s="224">
        <f t="shared" si="798"/>
        <v>216610</v>
      </c>
      <c r="X586" s="225">
        <f t="shared" si="788"/>
        <v>116970</v>
      </c>
      <c r="Y586" s="225">
        <f t="shared" si="736"/>
        <v>83960</v>
      </c>
      <c r="Z586" s="225">
        <f t="shared" si="737"/>
        <v>7150</v>
      </c>
      <c r="AA586" s="225">
        <f t="shared" si="791"/>
        <v>23390</v>
      </c>
      <c r="AB586" s="225">
        <f t="shared" si="792"/>
        <v>20790</v>
      </c>
      <c r="AC586" s="252">
        <f t="shared" si="793"/>
        <v>468870</v>
      </c>
    </row>
    <row r="587" spans="1:29" s="204" customFormat="1" ht="16.5" hidden="1" customHeight="1">
      <c r="A587" s="319"/>
      <c r="B587" s="211"/>
      <c r="C587" s="310">
        <f>C579+1</f>
        <v>12</v>
      </c>
      <c r="D587" s="310"/>
      <c r="E587" s="311" t="s">
        <v>54</v>
      </c>
      <c r="F587" s="312">
        <v>2215000</v>
      </c>
      <c r="G587" s="221"/>
      <c r="H587" s="221"/>
      <c r="I587" s="222"/>
      <c r="J587" s="221"/>
      <c r="K587" s="221"/>
      <c r="L587" s="221"/>
      <c r="M587" s="221">
        <f t="shared" ref="M587" si="799">F587*60%</f>
        <v>1329000</v>
      </c>
      <c r="N587" s="221"/>
      <c r="O587" s="221">
        <f t="shared" si="794"/>
        <v>40000</v>
      </c>
      <c r="P587" s="221"/>
      <c r="Q587" s="221">
        <f t="shared" si="795"/>
        <v>15570</v>
      </c>
      <c r="R587" s="221">
        <f t="shared" si="796"/>
        <v>311400</v>
      </c>
      <c r="S587" s="221">
        <f t="shared" si="797"/>
        <v>77850</v>
      </c>
      <c r="T587" s="222"/>
      <c r="U587" s="214">
        <f t="shared" si="787"/>
        <v>3973250</v>
      </c>
      <c r="V587" s="250"/>
      <c r="W587" s="224">
        <f t="shared" si="798"/>
        <v>331110</v>
      </c>
      <c r="X587" s="225">
        <f t="shared" si="788"/>
        <v>178800</v>
      </c>
      <c r="Y587" s="225">
        <f t="shared" si="736"/>
        <v>128340</v>
      </c>
      <c r="Z587" s="225">
        <f t="shared" si="737"/>
        <v>10930</v>
      </c>
      <c r="AA587" s="225">
        <f t="shared" si="791"/>
        <v>35760</v>
      </c>
      <c r="AB587" s="225">
        <f t="shared" si="792"/>
        <v>31790</v>
      </c>
      <c r="AC587" s="252">
        <f t="shared" si="793"/>
        <v>716730</v>
      </c>
    </row>
    <row r="588" spans="1:29" s="204" customFormat="1" ht="16.5" hidden="1" customHeight="1">
      <c r="A588" s="319"/>
      <c r="B588" s="211"/>
      <c r="C588" s="212"/>
      <c r="D588" s="212"/>
      <c r="E588" s="219" t="s">
        <v>55</v>
      </c>
      <c r="F588" s="221">
        <f>F587</f>
        <v>2215000</v>
      </c>
      <c r="G588" s="221"/>
      <c r="H588" s="221"/>
      <c r="I588" s="222"/>
      <c r="J588" s="221"/>
      <c r="K588" s="221"/>
      <c r="L588" s="221"/>
      <c r="M588" s="221"/>
      <c r="N588" s="221"/>
      <c r="O588" s="221">
        <f t="shared" si="794"/>
        <v>40000</v>
      </c>
      <c r="P588" s="221"/>
      <c r="Q588" s="221">
        <f t="shared" si="795"/>
        <v>15900</v>
      </c>
      <c r="R588" s="221">
        <f t="shared" si="796"/>
        <v>318000</v>
      </c>
      <c r="S588" s="221">
        <f t="shared" si="797"/>
        <v>79500</v>
      </c>
      <c r="T588" s="222"/>
      <c r="U588" s="214">
        <f t="shared" si="787"/>
        <v>2652500</v>
      </c>
      <c r="V588" s="250"/>
      <c r="W588" s="224">
        <f t="shared" si="798"/>
        <v>221050</v>
      </c>
      <c r="X588" s="225">
        <f t="shared" si="788"/>
        <v>119360</v>
      </c>
      <c r="Y588" s="225">
        <f t="shared" si="736"/>
        <v>85680</v>
      </c>
      <c r="Z588" s="225">
        <f t="shared" si="737"/>
        <v>7300</v>
      </c>
      <c r="AA588" s="225">
        <f t="shared" si="791"/>
        <v>23870</v>
      </c>
      <c r="AB588" s="225">
        <f t="shared" si="792"/>
        <v>21220</v>
      </c>
      <c r="AC588" s="252">
        <f t="shared" si="793"/>
        <v>478480</v>
      </c>
    </row>
    <row r="589" spans="1:29" s="204" customFormat="1" ht="16.5" hidden="1" customHeight="1">
      <c r="A589" s="319"/>
      <c r="B589" s="211"/>
      <c r="C589" s="212"/>
      <c r="D589" s="212"/>
      <c r="E589" s="219" t="s">
        <v>56</v>
      </c>
      <c r="F589" s="221">
        <f>F588</f>
        <v>2215000</v>
      </c>
      <c r="G589" s="221"/>
      <c r="H589" s="221"/>
      <c r="I589" s="222"/>
      <c r="J589" s="221"/>
      <c r="K589" s="221"/>
      <c r="L589" s="221"/>
      <c r="M589" s="221"/>
      <c r="N589" s="221"/>
      <c r="O589" s="221">
        <f t="shared" si="794"/>
        <v>40000</v>
      </c>
      <c r="P589" s="221"/>
      <c r="Q589" s="221">
        <f t="shared" si="795"/>
        <v>15900</v>
      </c>
      <c r="R589" s="221">
        <f t="shared" si="796"/>
        <v>318000</v>
      </c>
      <c r="S589" s="221">
        <f t="shared" si="797"/>
        <v>79500</v>
      </c>
      <c r="T589" s="222"/>
      <c r="U589" s="214">
        <f t="shared" si="787"/>
        <v>2652500</v>
      </c>
      <c r="V589" s="250"/>
      <c r="W589" s="224">
        <f t="shared" si="798"/>
        <v>221050</v>
      </c>
      <c r="X589" s="225">
        <f t="shared" si="788"/>
        <v>119360</v>
      </c>
      <c r="Y589" s="225">
        <f t="shared" si="736"/>
        <v>85680</v>
      </c>
      <c r="Z589" s="225">
        <f t="shared" si="737"/>
        <v>7300</v>
      </c>
      <c r="AA589" s="225">
        <f t="shared" si="791"/>
        <v>23870</v>
      </c>
      <c r="AB589" s="225">
        <f t="shared" si="792"/>
        <v>21220</v>
      </c>
      <c r="AC589" s="252">
        <f t="shared" si="793"/>
        <v>478480</v>
      </c>
    </row>
    <row r="590" spans="1:29" s="204" customFormat="1" ht="16.5" hidden="1" customHeight="1">
      <c r="A590" s="319"/>
      <c r="B590" s="211"/>
      <c r="C590" s="212"/>
      <c r="D590" s="212"/>
      <c r="E590" s="219" t="s">
        <v>281</v>
      </c>
      <c r="F590" s="221">
        <f>F589</f>
        <v>2215000</v>
      </c>
      <c r="G590" s="221"/>
      <c r="H590" s="221"/>
      <c r="I590" s="222"/>
      <c r="J590" s="221"/>
      <c r="K590" s="221"/>
      <c r="L590" s="221"/>
      <c r="M590" s="221"/>
      <c r="N590" s="221"/>
      <c r="O590" s="221">
        <f t="shared" si="794"/>
        <v>40000</v>
      </c>
      <c r="P590" s="221"/>
      <c r="Q590" s="221">
        <f t="shared" si="795"/>
        <v>15900</v>
      </c>
      <c r="R590" s="221">
        <f>Q590*20*2</f>
        <v>636000</v>
      </c>
      <c r="S590" s="221">
        <f t="shared" si="797"/>
        <v>79500</v>
      </c>
      <c r="T590" s="222"/>
      <c r="U590" s="214">
        <f t="shared" si="787"/>
        <v>2970500</v>
      </c>
      <c r="V590" s="250"/>
      <c r="W590" s="224">
        <f t="shared" si="798"/>
        <v>247550</v>
      </c>
      <c r="X590" s="225">
        <f t="shared" si="788"/>
        <v>133670</v>
      </c>
      <c r="Y590" s="225">
        <f t="shared" si="736"/>
        <v>95950</v>
      </c>
      <c r="Z590" s="225">
        <f t="shared" si="737"/>
        <v>8170</v>
      </c>
      <c r="AA590" s="225">
        <f t="shared" si="791"/>
        <v>26730</v>
      </c>
      <c r="AB590" s="225">
        <f t="shared" si="792"/>
        <v>23760</v>
      </c>
      <c r="AC590" s="252">
        <f t="shared" si="793"/>
        <v>535830</v>
      </c>
    </row>
    <row r="591" spans="1:29" s="204" customFormat="1" ht="16.5" customHeight="1">
      <c r="A591" s="319">
        <v>46</v>
      </c>
      <c r="B591" s="211" t="s">
        <v>447</v>
      </c>
      <c r="C591" s="212">
        <v>9</v>
      </c>
      <c r="D591" s="212">
        <v>1</v>
      </c>
      <c r="E591" s="213" t="s">
        <v>86</v>
      </c>
      <c r="F591" s="214">
        <f t="shared" ref="F591:N591" si="800">SUM(F592:F603)</f>
        <v>25068000</v>
      </c>
      <c r="G591" s="214">
        <f t="shared" si="800"/>
        <v>0</v>
      </c>
      <c r="H591" s="214">
        <f t="shared" si="800"/>
        <v>0</v>
      </c>
      <c r="I591" s="214">
        <f t="shared" si="800"/>
        <v>0</v>
      </c>
      <c r="J591" s="214">
        <f t="shared" si="800"/>
        <v>0</v>
      </c>
      <c r="K591" s="214">
        <f t="shared" si="800"/>
        <v>0</v>
      </c>
      <c r="L591" s="214">
        <f t="shared" si="800"/>
        <v>0</v>
      </c>
      <c r="M591" s="214">
        <f t="shared" si="800"/>
        <v>2506800</v>
      </c>
      <c r="N591" s="214">
        <f t="shared" si="800"/>
        <v>0</v>
      </c>
      <c r="O591" s="214">
        <f>SUM(O592:O603)</f>
        <v>480000</v>
      </c>
      <c r="P591" s="214">
        <f t="shared" ref="P591" si="801">SUM(P592:P603)</f>
        <v>0</v>
      </c>
      <c r="Q591" s="214"/>
      <c r="R591" s="214">
        <f t="shared" ref="R591" si="802">SUM(R592:R603)</f>
        <v>7195200</v>
      </c>
      <c r="S591" s="214">
        <f>SUM(S592:S603)</f>
        <v>0</v>
      </c>
      <c r="T591" s="214">
        <f t="shared" ref="T591:U591" si="803">SUM(T592:T603)</f>
        <v>0</v>
      </c>
      <c r="U591" s="214">
        <f t="shared" si="803"/>
        <v>35250000</v>
      </c>
      <c r="V591" s="250"/>
      <c r="W591" s="217">
        <f t="shared" ref="W591:AB591" si="804">SUM(W592:W603)</f>
        <v>2937570</v>
      </c>
      <c r="X591" s="214">
        <f t="shared" si="804"/>
        <v>1586280</v>
      </c>
      <c r="Y591" s="214">
        <f t="shared" si="804"/>
        <v>1138640</v>
      </c>
      <c r="Z591" s="214">
        <f t="shared" si="804"/>
        <v>96990</v>
      </c>
      <c r="AA591" s="214">
        <f t="shared" si="804"/>
        <v>317270</v>
      </c>
      <c r="AB591" s="214">
        <f t="shared" si="804"/>
        <v>282020</v>
      </c>
      <c r="AC591" s="266">
        <f>SUM(AC592:AC603)</f>
        <v>6358770</v>
      </c>
    </row>
    <row r="592" spans="1:29" s="204" customFormat="1" ht="16.5" hidden="1" customHeight="1">
      <c r="A592" s="319"/>
      <c r="B592" s="211" t="s">
        <v>473</v>
      </c>
      <c r="C592" s="310">
        <v>9</v>
      </c>
      <c r="D592" s="310"/>
      <c r="E592" s="311" t="s">
        <v>273</v>
      </c>
      <c r="F592" s="312">
        <v>2089000</v>
      </c>
      <c r="G592" s="221"/>
      <c r="H592" s="220"/>
      <c r="I592" s="222"/>
      <c r="J592" s="221"/>
      <c r="K592" s="221"/>
      <c r="L592" s="221"/>
      <c r="M592" s="221" t="s">
        <v>60</v>
      </c>
      <c r="N592" s="221"/>
      <c r="O592" s="221">
        <v>40000</v>
      </c>
      <c r="P592" s="221"/>
      <c r="Q592" s="221"/>
      <c r="R592" s="221"/>
      <c r="S592" s="221"/>
      <c r="T592" s="222"/>
      <c r="U592" s="214">
        <f t="shared" ref="U592:U603" si="805">SUM(F592,M592,O592,R592,T592,S592)</f>
        <v>2129000</v>
      </c>
      <c r="V592" s="250"/>
      <c r="W592" s="224">
        <f>ROUNDUP(U592*1/12,-1)</f>
        <v>177420</v>
      </c>
      <c r="X592" s="225">
        <f t="shared" ref="X592:X603" si="806">ROUND(U592*4.5%,-1)</f>
        <v>95810</v>
      </c>
      <c r="Y592" s="225">
        <f t="shared" ref="Y592" si="807">ROUNDUP((U592-L592)*3.23%,-1)</f>
        <v>68770</v>
      </c>
      <c r="Z592" s="225">
        <f t="shared" ref="Z592" si="808">ROUNDUP(Y592*8.51%,-1)</f>
        <v>5860</v>
      </c>
      <c r="AA592" s="225">
        <f t="shared" ref="AA592:AA603" si="809">ROUND(U592*0.9%,-1)</f>
        <v>19160</v>
      </c>
      <c r="AB592" s="225">
        <f t="shared" ref="AB592:AB603" si="810">ROUND(U592*0.8%,-1)</f>
        <v>17030</v>
      </c>
      <c r="AC592" s="252">
        <f t="shared" ref="AC592:AC603" si="811">SUM(W592:AB592)</f>
        <v>384050</v>
      </c>
    </row>
    <row r="593" spans="1:29" s="204" customFormat="1" ht="16.5" hidden="1" customHeight="1">
      <c r="A593" s="319"/>
      <c r="B593" s="211"/>
      <c r="C593" s="212"/>
      <c r="D593" s="212"/>
      <c r="E593" s="219" t="s">
        <v>274</v>
      </c>
      <c r="F593" s="221">
        <f>F592</f>
        <v>2089000</v>
      </c>
      <c r="G593" s="221"/>
      <c r="H593" s="221"/>
      <c r="I593" s="222"/>
      <c r="J593" s="221"/>
      <c r="K593" s="221"/>
      <c r="L593" s="221"/>
      <c r="M593" s="221">
        <f>F593*60%</f>
        <v>1253400</v>
      </c>
      <c r="N593" s="221"/>
      <c r="O593" s="221">
        <f t="shared" ref="O593:O603" si="812">O592</f>
        <v>40000</v>
      </c>
      <c r="P593" s="221"/>
      <c r="Q593" s="221">
        <f t="shared" ref="Q593:Q603" si="813">ROUND((F592+T592)*1/209*1.5,-1)</f>
        <v>14990</v>
      </c>
      <c r="R593" s="221">
        <f>Q593*40</f>
        <v>599600</v>
      </c>
      <c r="S593" s="221"/>
      <c r="T593" s="222"/>
      <c r="U593" s="214">
        <f t="shared" si="805"/>
        <v>3982000</v>
      </c>
      <c r="V593" s="250"/>
      <c r="W593" s="224">
        <f>ROUNDUP((T593+U593)*1/12,-1)</f>
        <v>331840</v>
      </c>
      <c r="X593" s="225">
        <f t="shared" si="806"/>
        <v>179190</v>
      </c>
      <c r="Y593" s="225">
        <f t="shared" si="736"/>
        <v>128620</v>
      </c>
      <c r="Z593" s="225">
        <f t="shared" si="737"/>
        <v>10950</v>
      </c>
      <c r="AA593" s="225">
        <f t="shared" si="809"/>
        <v>35840</v>
      </c>
      <c r="AB593" s="225">
        <f t="shared" si="810"/>
        <v>31860</v>
      </c>
      <c r="AC593" s="252">
        <f t="shared" si="811"/>
        <v>718300</v>
      </c>
    </row>
    <row r="594" spans="1:29" s="204" customFormat="1" ht="16.5" hidden="1" customHeight="1">
      <c r="A594" s="319"/>
      <c r="B594" s="211"/>
      <c r="C594" s="212"/>
      <c r="D594" s="212"/>
      <c r="E594" s="219" t="s">
        <v>275</v>
      </c>
      <c r="F594" s="221">
        <f>F593</f>
        <v>2089000</v>
      </c>
      <c r="G594" s="221"/>
      <c r="H594" s="221"/>
      <c r="I594" s="222"/>
      <c r="J594" s="221"/>
      <c r="K594" s="221"/>
      <c r="L594" s="221"/>
      <c r="M594" s="221"/>
      <c r="N594" s="221"/>
      <c r="O594" s="221">
        <f t="shared" si="812"/>
        <v>40000</v>
      </c>
      <c r="P594" s="221"/>
      <c r="Q594" s="221">
        <f t="shared" si="813"/>
        <v>14990</v>
      </c>
      <c r="R594" s="221">
        <f t="shared" ref="R594:R602" si="814">Q594*40</f>
        <v>599600</v>
      </c>
      <c r="S594" s="221"/>
      <c r="T594" s="222"/>
      <c r="U594" s="214">
        <f t="shared" si="805"/>
        <v>2728600</v>
      </c>
      <c r="V594" s="250"/>
      <c r="W594" s="224">
        <f t="shared" ref="W594:W603" si="815">ROUNDUP(U594*1/12,-1)</f>
        <v>227390</v>
      </c>
      <c r="X594" s="225">
        <f t="shared" si="806"/>
        <v>122790</v>
      </c>
      <c r="Y594" s="225">
        <f t="shared" si="736"/>
        <v>88140</v>
      </c>
      <c r="Z594" s="225">
        <f t="shared" si="737"/>
        <v>7510</v>
      </c>
      <c r="AA594" s="225">
        <f t="shared" si="809"/>
        <v>24560</v>
      </c>
      <c r="AB594" s="225">
        <f t="shared" si="810"/>
        <v>21830</v>
      </c>
      <c r="AC594" s="252">
        <f t="shared" si="811"/>
        <v>492220</v>
      </c>
    </row>
    <row r="595" spans="1:29" s="204" customFormat="1" ht="16.5" hidden="1" customHeight="1">
      <c r="A595" s="319"/>
      <c r="B595" s="211"/>
      <c r="C595" s="212"/>
      <c r="D595" s="212"/>
      <c r="E595" s="219" t="s">
        <v>276</v>
      </c>
      <c r="F595" s="221">
        <f>F594</f>
        <v>2089000</v>
      </c>
      <c r="G595" s="221"/>
      <c r="H595" s="221"/>
      <c r="I595" s="222"/>
      <c r="J595" s="221"/>
      <c r="K595" s="221"/>
      <c r="L595" s="221"/>
      <c r="M595" s="221"/>
      <c r="N595" s="221"/>
      <c r="O595" s="221">
        <f t="shared" si="812"/>
        <v>40000</v>
      </c>
      <c r="P595" s="221"/>
      <c r="Q595" s="221">
        <f t="shared" si="813"/>
        <v>14990</v>
      </c>
      <c r="R595" s="221">
        <f t="shared" si="814"/>
        <v>599600</v>
      </c>
      <c r="S595" s="221"/>
      <c r="T595" s="222"/>
      <c r="U595" s="214">
        <f t="shared" si="805"/>
        <v>2728600</v>
      </c>
      <c r="V595" s="250"/>
      <c r="W595" s="224">
        <f t="shared" si="815"/>
        <v>227390</v>
      </c>
      <c r="X595" s="225">
        <f t="shared" si="806"/>
        <v>122790</v>
      </c>
      <c r="Y595" s="225">
        <f t="shared" si="736"/>
        <v>88140</v>
      </c>
      <c r="Z595" s="225">
        <f t="shared" si="737"/>
        <v>7510</v>
      </c>
      <c r="AA595" s="225">
        <f t="shared" si="809"/>
        <v>24560</v>
      </c>
      <c r="AB595" s="225">
        <f t="shared" si="810"/>
        <v>21830</v>
      </c>
      <c r="AC595" s="252">
        <f t="shared" si="811"/>
        <v>492220</v>
      </c>
    </row>
    <row r="596" spans="1:29" s="204" customFormat="1" ht="16.5" hidden="1" customHeight="1">
      <c r="A596" s="319"/>
      <c r="B596" s="211"/>
      <c r="C596" s="212"/>
      <c r="D596" s="212"/>
      <c r="E596" s="219" t="s">
        <v>277</v>
      </c>
      <c r="F596" s="221">
        <f>F595</f>
        <v>2089000</v>
      </c>
      <c r="G596" s="221"/>
      <c r="H596" s="221"/>
      <c r="I596" s="222"/>
      <c r="J596" s="221"/>
      <c r="K596" s="221"/>
      <c r="L596" s="221"/>
      <c r="M596" s="221"/>
      <c r="N596" s="221"/>
      <c r="O596" s="221">
        <f t="shared" si="812"/>
        <v>40000</v>
      </c>
      <c r="P596" s="221"/>
      <c r="Q596" s="221">
        <f t="shared" si="813"/>
        <v>14990</v>
      </c>
      <c r="R596" s="221">
        <f t="shared" si="814"/>
        <v>599600</v>
      </c>
      <c r="S596" s="221"/>
      <c r="T596" s="222"/>
      <c r="U596" s="214">
        <f t="shared" si="805"/>
        <v>2728600</v>
      </c>
      <c r="V596" s="250"/>
      <c r="W596" s="224">
        <f t="shared" si="815"/>
        <v>227390</v>
      </c>
      <c r="X596" s="225">
        <f t="shared" si="806"/>
        <v>122790</v>
      </c>
      <c r="Y596" s="225">
        <f t="shared" si="736"/>
        <v>88140</v>
      </c>
      <c r="Z596" s="225">
        <f t="shared" si="737"/>
        <v>7510</v>
      </c>
      <c r="AA596" s="225">
        <f t="shared" si="809"/>
        <v>24560</v>
      </c>
      <c r="AB596" s="225">
        <f t="shared" si="810"/>
        <v>21830</v>
      </c>
      <c r="AC596" s="252">
        <f t="shared" si="811"/>
        <v>492220</v>
      </c>
    </row>
    <row r="597" spans="1:29" s="204" customFormat="1" ht="16.5" hidden="1" customHeight="1">
      <c r="A597" s="319"/>
      <c r="B597" s="211"/>
      <c r="C597" s="212"/>
      <c r="D597" s="212"/>
      <c r="E597" s="219" t="s">
        <v>278</v>
      </c>
      <c r="F597" s="221">
        <f t="shared" ref="F597:F603" si="816">F596</f>
        <v>2089000</v>
      </c>
      <c r="G597" s="221"/>
      <c r="H597" s="221"/>
      <c r="I597" s="222"/>
      <c r="J597" s="221"/>
      <c r="K597" s="221"/>
      <c r="L597" s="221"/>
      <c r="M597" s="221"/>
      <c r="N597" s="221"/>
      <c r="O597" s="221">
        <f t="shared" si="812"/>
        <v>40000</v>
      </c>
      <c r="P597" s="221"/>
      <c r="Q597" s="221">
        <f t="shared" si="813"/>
        <v>14990</v>
      </c>
      <c r="R597" s="221">
        <f t="shared" si="814"/>
        <v>599600</v>
      </c>
      <c r="S597" s="221"/>
      <c r="T597" s="222"/>
      <c r="U597" s="214">
        <f t="shared" si="805"/>
        <v>2728600</v>
      </c>
      <c r="V597" s="250"/>
      <c r="W597" s="224">
        <f t="shared" si="815"/>
        <v>227390</v>
      </c>
      <c r="X597" s="225">
        <f t="shared" si="806"/>
        <v>122790</v>
      </c>
      <c r="Y597" s="225">
        <f t="shared" si="736"/>
        <v>88140</v>
      </c>
      <c r="Z597" s="225">
        <f t="shared" si="737"/>
        <v>7510</v>
      </c>
      <c r="AA597" s="225">
        <f t="shared" si="809"/>
        <v>24560</v>
      </c>
      <c r="AB597" s="225">
        <f t="shared" si="810"/>
        <v>21830</v>
      </c>
      <c r="AC597" s="252">
        <f t="shared" si="811"/>
        <v>492220</v>
      </c>
    </row>
    <row r="598" spans="1:29" s="204" customFormat="1" ht="16.5" hidden="1" customHeight="1">
      <c r="A598" s="319"/>
      <c r="B598" s="211"/>
      <c r="C598" s="212"/>
      <c r="D598" s="212"/>
      <c r="E598" s="219" t="s">
        <v>279</v>
      </c>
      <c r="F598" s="221">
        <f t="shared" si="816"/>
        <v>2089000</v>
      </c>
      <c r="G598" s="221"/>
      <c r="H598" s="221"/>
      <c r="I598" s="222"/>
      <c r="J598" s="221"/>
      <c r="K598" s="221"/>
      <c r="L598" s="221"/>
      <c r="M598" s="221"/>
      <c r="N598" s="221"/>
      <c r="O598" s="221">
        <f t="shared" si="812"/>
        <v>40000</v>
      </c>
      <c r="P598" s="221"/>
      <c r="Q598" s="221">
        <f t="shared" si="813"/>
        <v>14990</v>
      </c>
      <c r="R598" s="221">
        <f t="shared" si="814"/>
        <v>599600</v>
      </c>
      <c r="S598" s="221"/>
      <c r="T598" s="222"/>
      <c r="U598" s="214">
        <f t="shared" si="805"/>
        <v>2728600</v>
      </c>
      <c r="V598" s="250"/>
      <c r="W598" s="224">
        <f t="shared" si="815"/>
        <v>227390</v>
      </c>
      <c r="X598" s="225">
        <f t="shared" si="806"/>
        <v>122790</v>
      </c>
      <c r="Y598" s="225">
        <f t="shared" si="736"/>
        <v>88140</v>
      </c>
      <c r="Z598" s="225">
        <f t="shared" si="737"/>
        <v>7510</v>
      </c>
      <c r="AA598" s="225">
        <f t="shared" si="809"/>
        <v>24560</v>
      </c>
      <c r="AB598" s="225">
        <f t="shared" si="810"/>
        <v>21830</v>
      </c>
      <c r="AC598" s="252">
        <f t="shared" si="811"/>
        <v>492220</v>
      </c>
    </row>
    <row r="599" spans="1:29" s="204" customFormat="1" ht="16.5" hidden="1" customHeight="1">
      <c r="A599" s="319"/>
      <c r="B599" s="211"/>
      <c r="C599" s="212"/>
      <c r="D599" s="212"/>
      <c r="E599" s="219" t="s">
        <v>280</v>
      </c>
      <c r="F599" s="221">
        <f t="shared" si="816"/>
        <v>2089000</v>
      </c>
      <c r="G599" s="221"/>
      <c r="H599" s="221"/>
      <c r="I599" s="222"/>
      <c r="J599" s="221"/>
      <c r="K599" s="221"/>
      <c r="L599" s="221"/>
      <c r="M599" s="221"/>
      <c r="N599" s="221"/>
      <c r="O599" s="221">
        <f t="shared" si="812"/>
        <v>40000</v>
      </c>
      <c r="P599" s="221"/>
      <c r="Q599" s="221">
        <f t="shared" si="813"/>
        <v>14990</v>
      </c>
      <c r="R599" s="221">
        <f t="shared" si="814"/>
        <v>599600</v>
      </c>
      <c r="S599" s="221"/>
      <c r="T599" s="222"/>
      <c r="U599" s="214">
        <f t="shared" si="805"/>
        <v>2728600</v>
      </c>
      <c r="V599" s="250"/>
      <c r="W599" s="224">
        <f t="shared" si="815"/>
        <v>227390</v>
      </c>
      <c r="X599" s="225">
        <f t="shared" si="806"/>
        <v>122790</v>
      </c>
      <c r="Y599" s="225">
        <f t="shared" si="736"/>
        <v>88140</v>
      </c>
      <c r="Z599" s="225">
        <f t="shared" si="737"/>
        <v>7510</v>
      </c>
      <c r="AA599" s="225">
        <f t="shared" si="809"/>
        <v>24560</v>
      </c>
      <c r="AB599" s="225">
        <f t="shared" si="810"/>
        <v>21830</v>
      </c>
      <c r="AC599" s="252">
        <f t="shared" si="811"/>
        <v>492220</v>
      </c>
    </row>
    <row r="600" spans="1:29" s="204" customFormat="1" ht="16.5" hidden="1" customHeight="1">
      <c r="A600" s="319"/>
      <c r="B600" s="211"/>
      <c r="C600" s="212"/>
      <c r="D600" s="212"/>
      <c r="E600" s="219" t="s">
        <v>54</v>
      </c>
      <c r="F600" s="221">
        <f t="shared" si="816"/>
        <v>2089000</v>
      </c>
      <c r="G600" s="221"/>
      <c r="H600" s="221"/>
      <c r="I600" s="222"/>
      <c r="J600" s="221"/>
      <c r="K600" s="221"/>
      <c r="L600" s="221"/>
      <c r="M600" s="221">
        <f t="shared" ref="M600" si="817">F600*60%</f>
        <v>1253400</v>
      </c>
      <c r="N600" s="221"/>
      <c r="O600" s="221">
        <f t="shared" si="812"/>
        <v>40000</v>
      </c>
      <c r="P600" s="221"/>
      <c r="Q600" s="221">
        <f t="shared" si="813"/>
        <v>14990</v>
      </c>
      <c r="R600" s="221">
        <f t="shared" si="814"/>
        <v>599600</v>
      </c>
      <c r="S600" s="221"/>
      <c r="T600" s="222"/>
      <c r="U600" s="214">
        <f t="shared" si="805"/>
        <v>3982000</v>
      </c>
      <c r="V600" s="250"/>
      <c r="W600" s="224">
        <f t="shared" si="815"/>
        <v>331840</v>
      </c>
      <c r="X600" s="225">
        <f t="shared" si="806"/>
        <v>179190</v>
      </c>
      <c r="Y600" s="225">
        <f t="shared" si="736"/>
        <v>128620</v>
      </c>
      <c r="Z600" s="225">
        <f t="shared" si="737"/>
        <v>10950</v>
      </c>
      <c r="AA600" s="225">
        <f t="shared" si="809"/>
        <v>35840</v>
      </c>
      <c r="AB600" s="225">
        <f t="shared" si="810"/>
        <v>31860</v>
      </c>
      <c r="AC600" s="252">
        <f t="shared" si="811"/>
        <v>718300</v>
      </c>
    </row>
    <row r="601" spans="1:29" s="204" customFormat="1" ht="16.5" hidden="1" customHeight="1">
      <c r="A601" s="319"/>
      <c r="B601" s="211"/>
      <c r="C601" s="212"/>
      <c r="D601" s="212"/>
      <c r="E601" s="219" t="s">
        <v>55</v>
      </c>
      <c r="F601" s="221">
        <f t="shared" si="816"/>
        <v>2089000</v>
      </c>
      <c r="G601" s="221"/>
      <c r="H601" s="221"/>
      <c r="I601" s="222"/>
      <c r="J601" s="221"/>
      <c r="K601" s="221"/>
      <c r="L601" s="221"/>
      <c r="M601" s="221"/>
      <c r="N601" s="221"/>
      <c r="O601" s="221">
        <f t="shared" si="812"/>
        <v>40000</v>
      </c>
      <c r="P601" s="221"/>
      <c r="Q601" s="221">
        <f t="shared" si="813"/>
        <v>14990</v>
      </c>
      <c r="R601" s="221">
        <f t="shared" si="814"/>
        <v>599600</v>
      </c>
      <c r="S601" s="221"/>
      <c r="T601" s="222"/>
      <c r="U601" s="214">
        <f t="shared" si="805"/>
        <v>2728600</v>
      </c>
      <c r="V601" s="250"/>
      <c r="W601" s="224">
        <f t="shared" si="815"/>
        <v>227390</v>
      </c>
      <c r="X601" s="225">
        <f t="shared" si="806"/>
        <v>122790</v>
      </c>
      <c r="Y601" s="225">
        <f t="shared" si="736"/>
        <v>88140</v>
      </c>
      <c r="Z601" s="225">
        <f t="shared" si="737"/>
        <v>7510</v>
      </c>
      <c r="AA601" s="225">
        <f t="shared" si="809"/>
        <v>24560</v>
      </c>
      <c r="AB601" s="225">
        <f t="shared" si="810"/>
        <v>21830</v>
      </c>
      <c r="AC601" s="252">
        <f t="shared" si="811"/>
        <v>492220</v>
      </c>
    </row>
    <row r="602" spans="1:29" s="204" customFormat="1" ht="16.5" hidden="1" customHeight="1">
      <c r="A602" s="319"/>
      <c r="B602" s="211"/>
      <c r="C602" s="212"/>
      <c r="D602" s="212"/>
      <c r="E602" s="219" t="s">
        <v>56</v>
      </c>
      <c r="F602" s="221">
        <f t="shared" si="816"/>
        <v>2089000</v>
      </c>
      <c r="G602" s="221"/>
      <c r="H602" s="221"/>
      <c r="I602" s="222"/>
      <c r="J602" s="221"/>
      <c r="K602" s="221"/>
      <c r="L602" s="221"/>
      <c r="M602" s="221"/>
      <c r="N602" s="221"/>
      <c r="O602" s="221">
        <f t="shared" si="812"/>
        <v>40000</v>
      </c>
      <c r="P602" s="221"/>
      <c r="Q602" s="221">
        <f t="shared" si="813"/>
        <v>14990</v>
      </c>
      <c r="R602" s="221">
        <f t="shared" si="814"/>
        <v>599600</v>
      </c>
      <c r="S602" s="221"/>
      <c r="T602" s="222"/>
      <c r="U602" s="214">
        <f t="shared" si="805"/>
        <v>2728600</v>
      </c>
      <c r="V602" s="250"/>
      <c r="W602" s="224">
        <f t="shared" si="815"/>
        <v>227390</v>
      </c>
      <c r="X602" s="225">
        <f t="shared" si="806"/>
        <v>122790</v>
      </c>
      <c r="Y602" s="225">
        <f t="shared" si="736"/>
        <v>88140</v>
      </c>
      <c r="Z602" s="225">
        <f t="shared" si="737"/>
        <v>7510</v>
      </c>
      <c r="AA602" s="225">
        <f t="shared" si="809"/>
        <v>24560</v>
      </c>
      <c r="AB602" s="225">
        <f t="shared" si="810"/>
        <v>21830</v>
      </c>
      <c r="AC602" s="252">
        <f t="shared" si="811"/>
        <v>492220</v>
      </c>
    </row>
    <row r="603" spans="1:29" s="204" customFormat="1" ht="16.5" hidden="1" customHeight="1">
      <c r="A603" s="319"/>
      <c r="B603" s="211"/>
      <c r="C603" s="212"/>
      <c r="D603" s="212"/>
      <c r="E603" s="219" t="s">
        <v>281</v>
      </c>
      <c r="F603" s="221">
        <f t="shared" si="816"/>
        <v>2089000</v>
      </c>
      <c r="G603" s="221"/>
      <c r="H603" s="221"/>
      <c r="I603" s="222"/>
      <c r="J603" s="221"/>
      <c r="K603" s="221"/>
      <c r="L603" s="221"/>
      <c r="M603" s="221"/>
      <c r="N603" s="221"/>
      <c r="O603" s="221">
        <f t="shared" si="812"/>
        <v>40000</v>
      </c>
      <c r="P603" s="221"/>
      <c r="Q603" s="221">
        <f t="shared" si="813"/>
        <v>14990</v>
      </c>
      <c r="R603" s="221">
        <f>Q603*40*2</f>
        <v>1199200</v>
      </c>
      <c r="S603" s="221"/>
      <c r="T603" s="222"/>
      <c r="U603" s="214">
        <f t="shared" si="805"/>
        <v>3328200</v>
      </c>
      <c r="V603" s="250"/>
      <c r="W603" s="224">
        <f t="shared" si="815"/>
        <v>277350</v>
      </c>
      <c r="X603" s="225">
        <f t="shared" si="806"/>
        <v>149770</v>
      </c>
      <c r="Y603" s="225">
        <f t="shared" si="736"/>
        <v>107510</v>
      </c>
      <c r="Z603" s="225">
        <f t="shared" si="737"/>
        <v>9150</v>
      </c>
      <c r="AA603" s="225">
        <f t="shared" si="809"/>
        <v>29950</v>
      </c>
      <c r="AB603" s="225">
        <f t="shared" si="810"/>
        <v>26630</v>
      </c>
      <c r="AC603" s="252">
        <f t="shared" si="811"/>
        <v>600360</v>
      </c>
    </row>
    <row r="604" spans="1:29" s="204" customFormat="1" ht="16.5" hidden="1" customHeight="1">
      <c r="A604" s="319">
        <v>47</v>
      </c>
      <c r="B604" s="211" t="s">
        <v>447</v>
      </c>
      <c r="C604" s="212" t="s">
        <v>821</v>
      </c>
      <c r="D604" s="212">
        <v>1</v>
      </c>
      <c r="E604" s="213" t="s">
        <v>86</v>
      </c>
      <c r="F604" s="214">
        <f t="shared" ref="F604:N604" si="818">SUM(F605:F616)</f>
        <v>24028000</v>
      </c>
      <c r="G604" s="214">
        <f t="shared" si="818"/>
        <v>0</v>
      </c>
      <c r="H604" s="214">
        <f t="shared" si="818"/>
        <v>0</v>
      </c>
      <c r="I604" s="214">
        <f t="shared" si="818"/>
        <v>0</v>
      </c>
      <c r="J604" s="214">
        <f t="shared" si="818"/>
        <v>0</v>
      </c>
      <c r="K604" s="214">
        <f t="shared" si="818"/>
        <v>0</v>
      </c>
      <c r="L604" s="214">
        <f t="shared" si="818"/>
        <v>0</v>
      </c>
      <c r="M604" s="214">
        <f t="shared" si="818"/>
        <v>2386800</v>
      </c>
      <c r="N604" s="214">
        <f t="shared" si="818"/>
        <v>0</v>
      </c>
      <c r="O604" s="214">
        <f>SUM(O605:O616)</f>
        <v>1200000</v>
      </c>
      <c r="P604" s="214">
        <f t="shared" ref="P604" si="819">SUM(P605:P616)</f>
        <v>0</v>
      </c>
      <c r="Q604" s="214"/>
      <c r="R604" s="214">
        <f t="shared" ref="R604" si="820">SUM(R605:R616)</f>
        <v>6898400</v>
      </c>
      <c r="S604" s="214">
        <f>SUM(S605:S616)</f>
        <v>0</v>
      </c>
      <c r="T604" s="214">
        <f t="shared" ref="T604:U604" si="821">SUM(T605:T616)</f>
        <v>0</v>
      </c>
      <c r="U604" s="214">
        <f t="shared" si="821"/>
        <v>34513200</v>
      </c>
      <c r="V604" s="250"/>
      <c r="W604" s="217">
        <f t="shared" ref="W604:AB604" si="822">SUM(W605:W616)</f>
        <v>2876140</v>
      </c>
      <c r="X604" s="214">
        <f t="shared" si="822"/>
        <v>1553090</v>
      </c>
      <c r="Y604" s="214">
        <f t="shared" si="822"/>
        <v>1114860</v>
      </c>
      <c r="Z604" s="214">
        <f t="shared" si="822"/>
        <v>94940</v>
      </c>
      <c r="AA604" s="214">
        <f t="shared" si="822"/>
        <v>310600</v>
      </c>
      <c r="AB604" s="214">
        <f t="shared" si="822"/>
        <v>276120</v>
      </c>
      <c r="AC604" s="266">
        <f>SUM(AC605:AC616)</f>
        <v>6225750</v>
      </c>
    </row>
    <row r="605" spans="1:29" s="204" customFormat="1" ht="16.5" hidden="1" customHeight="1">
      <c r="A605" s="319"/>
      <c r="B605" s="211" t="s">
        <v>831</v>
      </c>
      <c r="C605" s="310">
        <v>6</v>
      </c>
      <c r="D605" s="310"/>
      <c r="E605" s="311" t="s">
        <v>273</v>
      </c>
      <c r="F605" s="312">
        <v>1969000</v>
      </c>
      <c r="G605" s="221"/>
      <c r="H605" s="220"/>
      <c r="I605" s="222"/>
      <c r="J605" s="221"/>
      <c r="K605" s="221"/>
      <c r="L605" s="221"/>
      <c r="M605" s="221" t="s">
        <v>60</v>
      </c>
      <c r="N605" s="221"/>
      <c r="O605" s="221">
        <v>100000</v>
      </c>
      <c r="P605" s="221"/>
      <c r="Q605" s="221"/>
      <c r="R605" s="221"/>
      <c r="S605" s="221"/>
      <c r="T605" s="222"/>
      <c r="U605" s="214">
        <f t="shared" ref="U605:U616" si="823">SUM(F605,M605,O605,R605,T605,S605)</f>
        <v>2069000</v>
      </c>
      <c r="V605" s="250"/>
      <c r="W605" s="224">
        <f>ROUNDUP(U605*1/12,-1)</f>
        <v>172420</v>
      </c>
      <c r="X605" s="225">
        <f t="shared" ref="X605:X616" si="824">ROUND(U605*4.5%,-1)</f>
        <v>93110</v>
      </c>
      <c r="Y605" s="225">
        <f t="shared" ref="Y605:Y629" si="825">ROUNDUP((U605-L605)*3.23%,-1)</f>
        <v>66830</v>
      </c>
      <c r="Z605" s="225">
        <f t="shared" ref="Z605:Z629" si="826">ROUNDUP(Y605*8.51%,-1)</f>
        <v>5690</v>
      </c>
      <c r="AA605" s="225">
        <f t="shared" ref="AA605:AA616" si="827">ROUND(U605*0.9%,-1)</f>
        <v>18620</v>
      </c>
      <c r="AB605" s="225">
        <f t="shared" ref="AB605:AB616" si="828">ROUND(U605*0.8%,-1)</f>
        <v>16550</v>
      </c>
      <c r="AC605" s="252">
        <f t="shared" ref="AC605:AC616" si="829">SUM(W605:AB605)</f>
        <v>373220</v>
      </c>
    </row>
    <row r="606" spans="1:29" s="204" customFormat="1" ht="16.5" hidden="1" customHeight="1">
      <c r="A606" s="319"/>
      <c r="B606" s="211"/>
      <c r="C606" s="212"/>
      <c r="D606" s="212"/>
      <c r="E606" s="219" t="s">
        <v>274</v>
      </c>
      <c r="F606" s="221">
        <f>F605</f>
        <v>1969000</v>
      </c>
      <c r="G606" s="221"/>
      <c r="H606" s="221"/>
      <c r="I606" s="222"/>
      <c r="J606" s="221"/>
      <c r="K606" s="221"/>
      <c r="L606" s="221"/>
      <c r="M606" s="221">
        <f>F606*60%</f>
        <v>1181400</v>
      </c>
      <c r="N606" s="221"/>
      <c r="O606" s="221">
        <f t="shared" ref="O606:O616" si="830">O605</f>
        <v>100000</v>
      </c>
      <c r="P606" s="221"/>
      <c r="Q606" s="221">
        <f t="shared" ref="Q606:Q616" si="831">ROUND((F605+T605)*1/209*1.5,-1)</f>
        <v>14130</v>
      </c>
      <c r="R606" s="221">
        <f>Q606*40</f>
        <v>565200</v>
      </c>
      <c r="S606" s="221"/>
      <c r="T606" s="222"/>
      <c r="U606" s="214">
        <f t="shared" si="823"/>
        <v>3815600</v>
      </c>
      <c r="V606" s="250"/>
      <c r="W606" s="224">
        <f>ROUNDUP((T606+U606)*1/12,-1)</f>
        <v>317970</v>
      </c>
      <c r="X606" s="225">
        <f t="shared" si="824"/>
        <v>171700</v>
      </c>
      <c r="Y606" s="225">
        <f t="shared" si="825"/>
        <v>123250</v>
      </c>
      <c r="Z606" s="225">
        <f t="shared" si="826"/>
        <v>10490</v>
      </c>
      <c r="AA606" s="225">
        <f t="shared" si="827"/>
        <v>34340</v>
      </c>
      <c r="AB606" s="225">
        <f t="shared" si="828"/>
        <v>30520</v>
      </c>
      <c r="AC606" s="252">
        <f t="shared" si="829"/>
        <v>688270</v>
      </c>
    </row>
    <row r="607" spans="1:29" s="204" customFormat="1" ht="16.5" hidden="1" customHeight="1">
      <c r="A607" s="319"/>
      <c r="B607" s="211"/>
      <c r="C607" s="310">
        <f>C605+1</f>
        <v>7</v>
      </c>
      <c r="D607" s="310"/>
      <c r="E607" s="311" t="s">
        <v>275</v>
      </c>
      <c r="F607" s="312">
        <v>2009000</v>
      </c>
      <c r="G607" s="221"/>
      <c r="H607" s="221"/>
      <c r="I607" s="222"/>
      <c r="J607" s="221"/>
      <c r="K607" s="221"/>
      <c r="L607" s="221"/>
      <c r="M607" s="221"/>
      <c r="N607" s="221"/>
      <c r="O607" s="221">
        <f t="shared" si="830"/>
        <v>100000</v>
      </c>
      <c r="P607" s="221"/>
      <c r="Q607" s="221">
        <f t="shared" si="831"/>
        <v>14130</v>
      </c>
      <c r="R607" s="221">
        <f t="shared" ref="R607:R615" si="832">Q607*40</f>
        <v>565200</v>
      </c>
      <c r="S607" s="221"/>
      <c r="T607" s="222"/>
      <c r="U607" s="214">
        <f t="shared" si="823"/>
        <v>2674200</v>
      </c>
      <c r="V607" s="250"/>
      <c r="W607" s="224">
        <f t="shared" ref="W607:W616" si="833">ROUNDUP(U607*1/12,-1)</f>
        <v>222850</v>
      </c>
      <c r="X607" s="225">
        <f t="shared" si="824"/>
        <v>120340</v>
      </c>
      <c r="Y607" s="225">
        <f t="shared" si="825"/>
        <v>86380</v>
      </c>
      <c r="Z607" s="225">
        <f t="shared" si="826"/>
        <v>7360</v>
      </c>
      <c r="AA607" s="225">
        <f t="shared" si="827"/>
        <v>24070</v>
      </c>
      <c r="AB607" s="225">
        <f t="shared" si="828"/>
        <v>21390</v>
      </c>
      <c r="AC607" s="252">
        <f t="shared" si="829"/>
        <v>482390</v>
      </c>
    </row>
    <row r="608" spans="1:29" s="204" customFormat="1" ht="16.5" hidden="1" customHeight="1">
      <c r="A608" s="319"/>
      <c r="B608" s="211"/>
      <c r="C608" s="212"/>
      <c r="D608" s="212"/>
      <c r="E608" s="219" t="s">
        <v>276</v>
      </c>
      <c r="F608" s="221">
        <f>F607</f>
        <v>2009000</v>
      </c>
      <c r="G608" s="221"/>
      <c r="H608" s="221"/>
      <c r="I608" s="222"/>
      <c r="J608" s="221"/>
      <c r="K608" s="221"/>
      <c r="L608" s="221"/>
      <c r="M608" s="221"/>
      <c r="N608" s="221"/>
      <c r="O608" s="221">
        <f t="shared" si="830"/>
        <v>100000</v>
      </c>
      <c r="P608" s="221"/>
      <c r="Q608" s="221">
        <f t="shared" si="831"/>
        <v>14420</v>
      </c>
      <c r="R608" s="221">
        <f t="shared" si="832"/>
        <v>576800</v>
      </c>
      <c r="S608" s="221"/>
      <c r="T608" s="222"/>
      <c r="U608" s="214">
        <f t="shared" si="823"/>
        <v>2685800</v>
      </c>
      <c r="V608" s="250"/>
      <c r="W608" s="224">
        <f t="shared" si="833"/>
        <v>223820</v>
      </c>
      <c r="X608" s="225">
        <f t="shared" si="824"/>
        <v>120860</v>
      </c>
      <c r="Y608" s="225">
        <f t="shared" si="825"/>
        <v>86760</v>
      </c>
      <c r="Z608" s="225">
        <f t="shared" si="826"/>
        <v>7390</v>
      </c>
      <c r="AA608" s="225">
        <f t="shared" si="827"/>
        <v>24170</v>
      </c>
      <c r="AB608" s="225">
        <f t="shared" si="828"/>
        <v>21490</v>
      </c>
      <c r="AC608" s="252">
        <f t="shared" si="829"/>
        <v>484490</v>
      </c>
    </row>
    <row r="609" spans="1:29" s="204" customFormat="1" ht="16.5" hidden="1" customHeight="1">
      <c r="A609" s="319"/>
      <c r="B609" s="211"/>
      <c r="C609" s="212"/>
      <c r="D609" s="212"/>
      <c r="E609" s="219" t="s">
        <v>277</v>
      </c>
      <c r="F609" s="221">
        <f>F608</f>
        <v>2009000</v>
      </c>
      <c r="G609" s="221"/>
      <c r="H609" s="221"/>
      <c r="I609" s="222"/>
      <c r="J609" s="221"/>
      <c r="K609" s="221"/>
      <c r="L609" s="221"/>
      <c r="M609" s="221"/>
      <c r="N609" s="221"/>
      <c r="O609" s="221">
        <f t="shared" si="830"/>
        <v>100000</v>
      </c>
      <c r="P609" s="221"/>
      <c r="Q609" s="221">
        <f t="shared" si="831"/>
        <v>14420</v>
      </c>
      <c r="R609" s="221">
        <f t="shared" si="832"/>
        <v>576800</v>
      </c>
      <c r="S609" s="221"/>
      <c r="T609" s="222"/>
      <c r="U609" s="214">
        <f t="shared" si="823"/>
        <v>2685800</v>
      </c>
      <c r="V609" s="250"/>
      <c r="W609" s="224">
        <f t="shared" si="833"/>
        <v>223820</v>
      </c>
      <c r="X609" s="225">
        <f t="shared" si="824"/>
        <v>120860</v>
      </c>
      <c r="Y609" s="225">
        <f t="shared" si="825"/>
        <v>86760</v>
      </c>
      <c r="Z609" s="225">
        <f t="shared" si="826"/>
        <v>7390</v>
      </c>
      <c r="AA609" s="225">
        <f t="shared" si="827"/>
        <v>24170</v>
      </c>
      <c r="AB609" s="225">
        <f t="shared" si="828"/>
        <v>21490</v>
      </c>
      <c r="AC609" s="252">
        <f t="shared" si="829"/>
        <v>484490</v>
      </c>
    </row>
    <row r="610" spans="1:29" s="204" customFormat="1" ht="16.5" hidden="1" customHeight="1">
      <c r="A610" s="319"/>
      <c r="B610" s="211"/>
      <c r="C610" s="212"/>
      <c r="D610" s="212"/>
      <c r="E610" s="219" t="s">
        <v>278</v>
      </c>
      <c r="F610" s="221">
        <f t="shared" ref="F610:F616" si="834">F609</f>
        <v>2009000</v>
      </c>
      <c r="G610" s="221"/>
      <c r="H610" s="221"/>
      <c r="I610" s="222"/>
      <c r="J610" s="221"/>
      <c r="K610" s="221"/>
      <c r="L610" s="221"/>
      <c r="M610" s="221"/>
      <c r="N610" s="221"/>
      <c r="O610" s="221">
        <f t="shared" si="830"/>
        <v>100000</v>
      </c>
      <c r="P610" s="221"/>
      <c r="Q610" s="221">
        <f t="shared" si="831"/>
        <v>14420</v>
      </c>
      <c r="R610" s="221">
        <f t="shared" si="832"/>
        <v>576800</v>
      </c>
      <c r="S610" s="221"/>
      <c r="T610" s="222"/>
      <c r="U610" s="214">
        <f t="shared" si="823"/>
        <v>2685800</v>
      </c>
      <c r="V610" s="250"/>
      <c r="W610" s="224">
        <f t="shared" si="833"/>
        <v>223820</v>
      </c>
      <c r="X610" s="225">
        <f t="shared" si="824"/>
        <v>120860</v>
      </c>
      <c r="Y610" s="225">
        <f t="shared" si="825"/>
        <v>86760</v>
      </c>
      <c r="Z610" s="225">
        <f t="shared" si="826"/>
        <v>7390</v>
      </c>
      <c r="AA610" s="225">
        <f t="shared" si="827"/>
        <v>24170</v>
      </c>
      <c r="AB610" s="225">
        <f t="shared" si="828"/>
        <v>21490</v>
      </c>
      <c r="AC610" s="252">
        <f t="shared" si="829"/>
        <v>484490</v>
      </c>
    </row>
    <row r="611" spans="1:29" s="204" customFormat="1" ht="16.5" hidden="1" customHeight="1">
      <c r="A611" s="319"/>
      <c r="B611" s="211"/>
      <c r="C611" s="212"/>
      <c r="D611" s="212"/>
      <c r="E611" s="219" t="s">
        <v>279</v>
      </c>
      <c r="F611" s="221">
        <f t="shared" si="834"/>
        <v>2009000</v>
      </c>
      <c r="G611" s="221"/>
      <c r="H611" s="221"/>
      <c r="I611" s="222"/>
      <c r="J611" s="221"/>
      <c r="K611" s="221"/>
      <c r="L611" s="221"/>
      <c r="M611" s="221"/>
      <c r="N611" s="221"/>
      <c r="O611" s="221">
        <f t="shared" si="830"/>
        <v>100000</v>
      </c>
      <c r="P611" s="221"/>
      <c r="Q611" s="221">
        <f t="shared" si="831"/>
        <v>14420</v>
      </c>
      <c r="R611" s="221">
        <f t="shared" si="832"/>
        <v>576800</v>
      </c>
      <c r="S611" s="221"/>
      <c r="T611" s="222"/>
      <c r="U611" s="214">
        <f t="shared" si="823"/>
        <v>2685800</v>
      </c>
      <c r="V611" s="250"/>
      <c r="W611" s="224">
        <f t="shared" si="833"/>
        <v>223820</v>
      </c>
      <c r="X611" s="225">
        <f t="shared" si="824"/>
        <v>120860</v>
      </c>
      <c r="Y611" s="225">
        <f t="shared" si="825"/>
        <v>86760</v>
      </c>
      <c r="Z611" s="225">
        <f t="shared" si="826"/>
        <v>7390</v>
      </c>
      <c r="AA611" s="225">
        <f t="shared" si="827"/>
        <v>24170</v>
      </c>
      <c r="AB611" s="225">
        <f t="shared" si="828"/>
        <v>21490</v>
      </c>
      <c r="AC611" s="252">
        <f t="shared" si="829"/>
        <v>484490</v>
      </c>
    </row>
    <row r="612" spans="1:29" s="204" customFormat="1" ht="16.5" hidden="1" customHeight="1">
      <c r="A612" s="319"/>
      <c r="B612" s="211"/>
      <c r="C612" s="212"/>
      <c r="D612" s="212"/>
      <c r="E612" s="219" t="s">
        <v>280</v>
      </c>
      <c r="F612" s="221">
        <f t="shared" si="834"/>
        <v>2009000</v>
      </c>
      <c r="G612" s="221"/>
      <c r="H612" s="221"/>
      <c r="I612" s="222"/>
      <c r="J612" s="221"/>
      <c r="K612" s="221"/>
      <c r="L612" s="221"/>
      <c r="M612" s="221"/>
      <c r="N612" s="221"/>
      <c r="O612" s="221">
        <f t="shared" si="830"/>
        <v>100000</v>
      </c>
      <c r="P612" s="221"/>
      <c r="Q612" s="221">
        <f t="shared" si="831"/>
        <v>14420</v>
      </c>
      <c r="R612" s="221">
        <f t="shared" si="832"/>
        <v>576800</v>
      </c>
      <c r="S612" s="221"/>
      <c r="T612" s="222"/>
      <c r="U612" s="214">
        <f t="shared" si="823"/>
        <v>2685800</v>
      </c>
      <c r="V612" s="250"/>
      <c r="W612" s="224">
        <f t="shared" si="833"/>
        <v>223820</v>
      </c>
      <c r="X612" s="225">
        <f t="shared" si="824"/>
        <v>120860</v>
      </c>
      <c r="Y612" s="225">
        <f t="shared" si="825"/>
        <v>86760</v>
      </c>
      <c r="Z612" s="225">
        <f t="shared" si="826"/>
        <v>7390</v>
      </c>
      <c r="AA612" s="225">
        <f t="shared" si="827"/>
        <v>24170</v>
      </c>
      <c r="AB612" s="225">
        <f t="shared" si="828"/>
        <v>21490</v>
      </c>
      <c r="AC612" s="252">
        <f t="shared" si="829"/>
        <v>484490</v>
      </c>
    </row>
    <row r="613" spans="1:29" s="204" customFormat="1" ht="16.5" hidden="1" customHeight="1">
      <c r="A613" s="319"/>
      <c r="B613" s="211"/>
      <c r="C613" s="212"/>
      <c r="D613" s="212"/>
      <c r="E613" s="219" t="s">
        <v>54</v>
      </c>
      <c r="F613" s="221">
        <f t="shared" si="834"/>
        <v>2009000</v>
      </c>
      <c r="G613" s="221"/>
      <c r="H613" s="221"/>
      <c r="I613" s="222"/>
      <c r="J613" s="221"/>
      <c r="K613" s="221"/>
      <c r="L613" s="221"/>
      <c r="M613" s="221">
        <f t="shared" ref="M613" si="835">F613*60%</f>
        <v>1205400</v>
      </c>
      <c r="N613" s="221"/>
      <c r="O613" s="221">
        <f t="shared" si="830"/>
        <v>100000</v>
      </c>
      <c r="P613" s="221"/>
      <c r="Q613" s="221">
        <f t="shared" si="831"/>
        <v>14420</v>
      </c>
      <c r="R613" s="221">
        <f t="shared" si="832"/>
        <v>576800</v>
      </c>
      <c r="S613" s="221"/>
      <c r="T613" s="222"/>
      <c r="U613" s="214">
        <f t="shared" si="823"/>
        <v>3891200</v>
      </c>
      <c r="V613" s="250"/>
      <c r="W613" s="224">
        <f t="shared" si="833"/>
        <v>324270</v>
      </c>
      <c r="X613" s="225">
        <f t="shared" si="824"/>
        <v>175100</v>
      </c>
      <c r="Y613" s="225">
        <f t="shared" si="825"/>
        <v>125690</v>
      </c>
      <c r="Z613" s="225">
        <f t="shared" si="826"/>
        <v>10700</v>
      </c>
      <c r="AA613" s="225">
        <f t="shared" si="827"/>
        <v>35020</v>
      </c>
      <c r="AB613" s="225">
        <f t="shared" si="828"/>
        <v>31130</v>
      </c>
      <c r="AC613" s="252">
        <f t="shared" si="829"/>
        <v>701910</v>
      </c>
    </row>
    <row r="614" spans="1:29" s="204" customFormat="1" ht="16.5" hidden="1" customHeight="1">
      <c r="A614" s="319"/>
      <c r="B614" s="211"/>
      <c r="C614" s="212"/>
      <c r="D614" s="212"/>
      <c r="E614" s="219" t="s">
        <v>55</v>
      </c>
      <c r="F614" s="221">
        <f t="shared" si="834"/>
        <v>2009000</v>
      </c>
      <c r="G614" s="221"/>
      <c r="H614" s="221"/>
      <c r="I614" s="222"/>
      <c r="J614" s="221"/>
      <c r="K614" s="221"/>
      <c r="L614" s="221"/>
      <c r="M614" s="221"/>
      <c r="N614" s="221"/>
      <c r="O614" s="221">
        <f t="shared" si="830"/>
        <v>100000</v>
      </c>
      <c r="P614" s="221"/>
      <c r="Q614" s="221">
        <f t="shared" si="831"/>
        <v>14420</v>
      </c>
      <c r="R614" s="221">
        <f t="shared" si="832"/>
        <v>576800</v>
      </c>
      <c r="S614" s="221"/>
      <c r="T614" s="222"/>
      <c r="U614" s="214">
        <f t="shared" si="823"/>
        <v>2685800</v>
      </c>
      <c r="V614" s="250"/>
      <c r="W614" s="224">
        <f t="shared" si="833"/>
        <v>223820</v>
      </c>
      <c r="X614" s="225">
        <f t="shared" si="824"/>
        <v>120860</v>
      </c>
      <c r="Y614" s="225">
        <f t="shared" si="825"/>
        <v>86760</v>
      </c>
      <c r="Z614" s="225">
        <f t="shared" si="826"/>
        <v>7390</v>
      </c>
      <c r="AA614" s="225">
        <f t="shared" si="827"/>
        <v>24170</v>
      </c>
      <c r="AB614" s="225">
        <f t="shared" si="828"/>
        <v>21490</v>
      </c>
      <c r="AC614" s="252">
        <f t="shared" si="829"/>
        <v>484490</v>
      </c>
    </row>
    <row r="615" spans="1:29" s="204" customFormat="1" ht="16.5" hidden="1" customHeight="1">
      <c r="A615" s="319"/>
      <c r="B615" s="211"/>
      <c r="C615" s="212"/>
      <c r="D615" s="212"/>
      <c r="E615" s="219" t="s">
        <v>56</v>
      </c>
      <c r="F615" s="221">
        <f t="shared" si="834"/>
        <v>2009000</v>
      </c>
      <c r="G615" s="221"/>
      <c r="H615" s="221"/>
      <c r="I615" s="222"/>
      <c r="J615" s="221"/>
      <c r="K615" s="221"/>
      <c r="L615" s="221"/>
      <c r="M615" s="221"/>
      <c r="N615" s="221"/>
      <c r="O615" s="221">
        <f t="shared" si="830"/>
        <v>100000</v>
      </c>
      <c r="P615" s="221"/>
      <c r="Q615" s="221">
        <f t="shared" si="831"/>
        <v>14420</v>
      </c>
      <c r="R615" s="221">
        <f t="shared" si="832"/>
        <v>576800</v>
      </c>
      <c r="S615" s="221"/>
      <c r="T615" s="222"/>
      <c r="U615" s="214">
        <f t="shared" si="823"/>
        <v>2685800</v>
      </c>
      <c r="V615" s="250"/>
      <c r="W615" s="224">
        <f t="shared" si="833"/>
        <v>223820</v>
      </c>
      <c r="X615" s="225">
        <f t="shared" si="824"/>
        <v>120860</v>
      </c>
      <c r="Y615" s="225">
        <f t="shared" si="825"/>
        <v>86760</v>
      </c>
      <c r="Z615" s="225">
        <f t="shared" si="826"/>
        <v>7390</v>
      </c>
      <c r="AA615" s="225">
        <f t="shared" si="827"/>
        <v>24170</v>
      </c>
      <c r="AB615" s="225">
        <f t="shared" si="828"/>
        <v>21490</v>
      </c>
      <c r="AC615" s="252">
        <f t="shared" si="829"/>
        <v>484490</v>
      </c>
    </row>
    <row r="616" spans="1:29" s="204" customFormat="1" ht="16.5" hidden="1" customHeight="1">
      <c r="A616" s="319"/>
      <c r="B616" s="211"/>
      <c r="C616" s="212"/>
      <c r="D616" s="212"/>
      <c r="E616" s="219" t="s">
        <v>281</v>
      </c>
      <c r="F616" s="221">
        <f t="shared" si="834"/>
        <v>2009000</v>
      </c>
      <c r="G616" s="221"/>
      <c r="H616" s="221"/>
      <c r="I616" s="222"/>
      <c r="J616" s="221"/>
      <c r="K616" s="221"/>
      <c r="L616" s="221"/>
      <c r="M616" s="221"/>
      <c r="N616" s="221"/>
      <c r="O616" s="221">
        <f t="shared" si="830"/>
        <v>100000</v>
      </c>
      <c r="P616" s="221"/>
      <c r="Q616" s="221">
        <f t="shared" si="831"/>
        <v>14420</v>
      </c>
      <c r="R616" s="221">
        <f>Q616*40*2</f>
        <v>1153600</v>
      </c>
      <c r="S616" s="221"/>
      <c r="T616" s="222"/>
      <c r="U616" s="214">
        <f t="shared" si="823"/>
        <v>3262600</v>
      </c>
      <c r="V616" s="250"/>
      <c r="W616" s="224">
        <f t="shared" si="833"/>
        <v>271890</v>
      </c>
      <c r="X616" s="225">
        <f t="shared" si="824"/>
        <v>146820</v>
      </c>
      <c r="Y616" s="225">
        <f t="shared" si="825"/>
        <v>105390</v>
      </c>
      <c r="Z616" s="225">
        <f t="shared" si="826"/>
        <v>8970</v>
      </c>
      <c r="AA616" s="225">
        <f t="shared" si="827"/>
        <v>29360</v>
      </c>
      <c r="AB616" s="225">
        <f t="shared" si="828"/>
        <v>26100</v>
      </c>
      <c r="AC616" s="252">
        <f t="shared" si="829"/>
        <v>588530</v>
      </c>
    </row>
    <row r="617" spans="1:29" s="204" customFormat="1" ht="16.5" hidden="1" customHeight="1">
      <c r="A617" s="319">
        <v>48</v>
      </c>
      <c r="B617" s="211" t="s">
        <v>447</v>
      </c>
      <c r="C617" s="212">
        <v>4.5</v>
      </c>
      <c r="D617" s="212">
        <v>1</v>
      </c>
      <c r="E617" s="213" t="s">
        <v>86</v>
      </c>
      <c r="F617" s="214">
        <f t="shared" ref="F617:N617" si="836">SUM(F618:F629)</f>
        <v>22776000</v>
      </c>
      <c r="G617" s="214">
        <f t="shared" si="836"/>
        <v>0</v>
      </c>
      <c r="H617" s="214">
        <f t="shared" si="836"/>
        <v>0</v>
      </c>
      <c r="I617" s="214">
        <f t="shared" si="836"/>
        <v>0</v>
      </c>
      <c r="J617" s="214">
        <f t="shared" si="836"/>
        <v>0</v>
      </c>
      <c r="K617" s="214">
        <f t="shared" si="836"/>
        <v>0</v>
      </c>
      <c r="L617" s="214">
        <f t="shared" si="836"/>
        <v>0</v>
      </c>
      <c r="M617" s="214">
        <f t="shared" si="836"/>
        <v>2286600</v>
      </c>
      <c r="N617" s="214">
        <f t="shared" si="836"/>
        <v>0</v>
      </c>
      <c r="O617" s="214">
        <f>SUM(O618:O629)</f>
        <v>480000</v>
      </c>
      <c r="P617" s="214">
        <f t="shared" ref="P617" si="837">SUM(P618:P629)</f>
        <v>0</v>
      </c>
      <c r="Q617" s="214"/>
      <c r="R617" s="214">
        <f t="shared" ref="R617" si="838">SUM(R618:R629)</f>
        <v>6537600</v>
      </c>
      <c r="S617" s="214">
        <f>SUM(S618:S629)</f>
        <v>0</v>
      </c>
      <c r="T617" s="214">
        <f t="shared" ref="T617:U617" si="839">SUM(T618:T629)</f>
        <v>0</v>
      </c>
      <c r="U617" s="214">
        <f t="shared" si="839"/>
        <v>32080200</v>
      </c>
      <c r="V617" s="250"/>
      <c r="W617" s="217">
        <f t="shared" ref="W617:AB617" si="840">SUM(W618:W629)</f>
        <v>2673420</v>
      </c>
      <c r="X617" s="214">
        <f t="shared" si="840"/>
        <v>1443580</v>
      </c>
      <c r="Y617" s="214">
        <f t="shared" si="840"/>
        <v>1036230</v>
      </c>
      <c r="Z617" s="214">
        <f t="shared" si="840"/>
        <v>88270</v>
      </c>
      <c r="AA617" s="214">
        <f t="shared" si="840"/>
        <v>288720</v>
      </c>
      <c r="AB617" s="214">
        <f t="shared" si="840"/>
        <v>256650</v>
      </c>
      <c r="AC617" s="266">
        <f>SUM(AC618:AC629)</f>
        <v>5786870</v>
      </c>
    </row>
    <row r="618" spans="1:29" s="204" customFormat="1" ht="16.5" hidden="1" customHeight="1">
      <c r="A618" s="319"/>
      <c r="B618" s="211" t="s">
        <v>833</v>
      </c>
      <c r="C618" s="310">
        <v>4</v>
      </c>
      <c r="D618" s="310"/>
      <c r="E618" s="311" t="s">
        <v>273</v>
      </c>
      <c r="F618" s="312">
        <v>1883000</v>
      </c>
      <c r="G618" s="221"/>
      <c r="H618" s="220"/>
      <c r="I618" s="222"/>
      <c r="J618" s="221"/>
      <c r="K618" s="221"/>
      <c r="L618" s="221"/>
      <c r="M618" s="221" t="s">
        <v>60</v>
      </c>
      <c r="N618" s="221"/>
      <c r="O618" s="221">
        <v>40000</v>
      </c>
      <c r="P618" s="221"/>
      <c r="Q618" s="221"/>
      <c r="R618" s="221"/>
      <c r="S618" s="221"/>
      <c r="T618" s="222"/>
      <c r="U618" s="214">
        <f t="shared" ref="U618:U629" si="841">SUM(F618,M618,O618,R618,T618,S618)</f>
        <v>1923000</v>
      </c>
      <c r="V618" s="250"/>
      <c r="W618" s="224">
        <f>ROUNDUP(U618*1/12,-1)</f>
        <v>160250</v>
      </c>
      <c r="X618" s="225">
        <f t="shared" ref="X618:X629" si="842">ROUND(U618*4.5%,-1)</f>
        <v>86540</v>
      </c>
      <c r="Y618" s="225">
        <f t="shared" ref="Y618" si="843">ROUNDUP((U618-L618)*3.23%,-1)</f>
        <v>62120</v>
      </c>
      <c r="Z618" s="225">
        <f t="shared" ref="Z618" si="844">ROUNDUP(Y618*8.51%,-1)</f>
        <v>5290</v>
      </c>
      <c r="AA618" s="225">
        <f t="shared" ref="AA618:AA629" si="845">ROUND(U618*0.9%,-1)</f>
        <v>17310</v>
      </c>
      <c r="AB618" s="225">
        <f t="shared" ref="AB618:AB629" si="846">ROUND(U618*0.8%,-1)</f>
        <v>15380</v>
      </c>
      <c r="AC618" s="252">
        <f t="shared" ref="AC618:AC629" si="847">SUM(W618:AB618)</f>
        <v>346890</v>
      </c>
    </row>
    <row r="619" spans="1:29" s="204" customFormat="1" ht="16.5" hidden="1" customHeight="1">
      <c r="A619" s="319"/>
      <c r="B619" s="211"/>
      <c r="C619" s="212"/>
      <c r="D619" s="212"/>
      <c r="E619" s="219" t="s">
        <v>274</v>
      </c>
      <c r="F619" s="221">
        <f>F618</f>
        <v>1883000</v>
      </c>
      <c r="G619" s="221"/>
      <c r="H619" s="221"/>
      <c r="I619" s="222"/>
      <c r="J619" s="221"/>
      <c r="K619" s="221"/>
      <c r="L619" s="221"/>
      <c r="M619" s="221">
        <f>F619*60%</f>
        <v>1129800</v>
      </c>
      <c r="N619" s="221"/>
      <c r="O619" s="221">
        <f t="shared" ref="O619:O629" si="848">O618</f>
        <v>40000</v>
      </c>
      <c r="P619" s="221"/>
      <c r="Q619" s="221">
        <f t="shared" ref="Q619:Q629" si="849">ROUND((F618+T618)*1/209*1.5,-1)</f>
        <v>13510</v>
      </c>
      <c r="R619" s="221">
        <f>Q619*40</f>
        <v>540400</v>
      </c>
      <c r="S619" s="221"/>
      <c r="T619" s="222"/>
      <c r="U619" s="214">
        <f t="shared" si="841"/>
        <v>3593200</v>
      </c>
      <c r="V619" s="250"/>
      <c r="W619" s="224">
        <f>ROUNDUP((T619+U619)*1/12,-1)</f>
        <v>299440</v>
      </c>
      <c r="X619" s="225">
        <f t="shared" si="842"/>
        <v>161690</v>
      </c>
      <c r="Y619" s="225">
        <f t="shared" si="825"/>
        <v>116070</v>
      </c>
      <c r="Z619" s="225">
        <f t="shared" si="826"/>
        <v>9880</v>
      </c>
      <c r="AA619" s="225">
        <f t="shared" si="845"/>
        <v>32340</v>
      </c>
      <c r="AB619" s="225">
        <f t="shared" si="846"/>
        <v>28750</v>
      </c>
      <c r="AC619" s="252">
        <f t="shared" si="847"/>
        <v>648170</v>
      </c>
    </row>
    <row r="620" spans="1:29" s="204" customFormat="1" ht="16.5" hidden="1" customHeight="1">
      <c r="A620" s="319"/>
      <c r="B620" s="211"/>
      <c r="C620" s="212"/>
      <c r="D620" s="212"/>
      <c r="E620" s="219" t="s">
        <v>275</v>
      </c>
      <c r="F620" s="221">
        <f>F619</f>
        <v>1883000</v>
      </c>
      <c r="G620" s="221"/>
      <c r="H620" s="221"/>
      <c r="I620" s="222"/>
      <c r="J620" s="221"/>
      <c r="K620" s="221"/>
      <c r="L620" s="221"/>
      <c r="M620" s="221"/>
      <c r="N620" s="221"/>
      <c r="O620" s="221">
        <f t="shared" si="848"/>
        <v>40000</v>
      </c>
      <c r="P620" s="221"/>
      <c r="Q620" s="221">
        <f t="shared" si="849"/>
        <v>13510</v>
      </c>
      <c r="R620" s="221">
        <f t="shared" ref="R620:R628" si="850">Q620*40</f>
        <v>540400</v>
      </c>
      <c r="S620" s="221"/>
      <c r="T620" s="222"/>
      <c r="U620" s="214">
        <f t="shared" si="841"/>
        <v>2463400</v>
      </c>
      <c r="V620" s="250"/>
      <c r="W620" s="224">
        <f t="shared" ref="W620:W629" si="851">ROUNDUP(U620*1/12,-1)</f>
        <v>205290</v>
      </c>
      <c r="X620" s="225">
        <f t="shared" si="842"/>
        <v>110850</v>
      </c>
      <c r="Y620" s="225">
        <f t="shared" si="825"/>
        <v>79570</v>
      </c>
      <c r="Z620" s="225">
        <f t="shared" si="826"/>
        <v>6780</v>
      </c>
      <c r="AA620" s="225">
        <f t="shared" si="845"/>
        <v>22170</v>
      </c>
      <c r="AB620" s="225">
        <f t="shared" si="846"/>
        <v>19710</v>
      </c>
      <c r="AC620" s="252">
        <f t="shared" si="847"/>
        <v>444370</v>
      </c>
    </row>
    <row r="621" spans="1:29" s="204" customFormat="1" ht="16.5" hidden="1" customHeight="1">
      <c r="A621" s="319"/>
      <c r="B621" s="211"/>
      <c r="C621" s="212"/>
      <c r="D621" s="212"/>
      <c r="E621" s="219" t="s">
        <v>276</v>
      </c>
      <c r="F621" s="221">
        <f>F620</f>
        <v>1883000</v>
      </c>
      <c r="G621" s="221"/>
      <c r="H621" s="221"/>
      <c r="I621" s="222"/>
      <c r="J621" s="221"/>
      <c r="K621" s="221"/>
      <c r="L621" s="221"/>
      <c r="M621" s="221"/>
      <c r="N621" s="221"/>
      <c r="O621" s="221">
        <f t="shared" si="848"/>
        <v>40000</v>
      </c>
      <c r="P621" s="221"/>
      <c r="Q621" s="221">
        <f t="shared" si="849"/>
        <v>13510</v>
      </c>
      <c r="R621" s="221">
        <f t="shared" si="850"/>
        <v>540400</v>
      </c>
      <c r="S621" s="221"/>
      <c r="T621" s="222"/>
      <c r="U621" s="214">
        <f t="shared" si="841"/>
        <v>2463400</v>
      </c>
      <c r="V621" s="250"/>
      <c r="W621" s="224">
        <f t="shared" si="851"/>
        <v>205290</v>
      </c>
      <c r="X621" s="225">
        <f t="shared" si="842"/>
        <v>110850</v>
      </c>
      <c r="Y621" s="225">
        <f t="shared" si="825"/>
        <v>79570</v>
      </c>
      <c r="Z621" s="225">
        <f t="shared" si="826"/>
        <v>6780</v>
      </c>
      <c r="AA621" s="225">
        <f t="shared" si="845"/>
        <v>22170</v>
      </c>
      <c r="AB621" s="225">
        <f t="shared" si="846"/>
        <v>19710</v>
      </c>
      <c r="AC621" s="252">
        <f t="shared" si="847"/>
        <v>444370</v>
      </c>
    </row>
    <row r="622" spans="1:29" s="204" customFormat="1" ht="16.5" hidden="1" customHeight="1">
      <c r="A622" s="319"/>
      <c r="B622" s="211"/>
      <c r="C622" s="212"/>
      <c r="D622" s="212"/>
      <c r="E622" s="219" t="s">
        <v>277</v>
      </c>
      <c r="F622" s="221">
        <f>F621</f>
        <v>1883000</v>
      </c>
      <c r="G622" s="221"/>
      <c r="H622" s="221"/>
      <c r="I622" s="222"/>
      <c r="J622" s="221"/>
      <c r="K622" s="221"/>
      <c r="L622" s="221"/>
      <c r="M622" s="221"/>
      <c r="N622" s="221"/>
      <c r="O622" s="221">
        <f t="shared" si="848"/>
        <v>40000</v>
      </c>
      <c r="P622" s="221"/>
      <c r="Q622" s="221">
        <f t="shared" si="849"/>
        <v>13510</v>
      </c>
      <c r="R622" s="221">
        <f t="shared" si="850"/>
        <v>540400</v>
      </c>
      <c r="S622" s="221"/>
      <c r="T622" s="222"/>
      <c r="U622" s="214">
        <f t="shared" si="841"/>
        <v>2463400</v>
      </c>
      <c r="V622" s="250"/>
      <c r="W622" s="224">
        <f t="shared" si="851"/>
        <v>205290</v>
      </c>
      <c r="X622" s="225">
        <f t="shared" si="842"/>
        <v>110850</v>
      </c>
      <c r="Y622" s="225">
        <f t="shared" si="825"/>
        <v>79570</v>
      </c>
      <c r="Z622" s="225">
        <f t="shared" si="826"/>
        <v>6780</v>
      </c>
      <c r="AA622" s="225">
        <f t="shared" si="845"/>
        <v>22170</v>
      </c>
      <c r="AB622" s="225">
        <f t="shared" si="846"/>
        <v>19710</v>
      </c>
      <c r="AC622" s="252">
        <f t="shared" si="847"/>
        <v>444370</v>
      </c>
    </row>
    <row r="623" spans="1:29" s="204" customFormat="1" ht="16.5" hidden="1" customHeight="1">
      <c r="A623" s="319"/>
      <c r="B623" s="211"/>
      <c r="C623" s="212"/>
      <c r="D623" s="212"/>
      <c r="E623" s="219" t="s">
        <v>278</v>
      </c>
      <c r="F623" s="221">
        <f t="shared" ref="F623:F629" si="852">F622</f>
        <v>1883000</v>
      </c>
      <c r="G623" s="221"/>
      <c r="H623" s="221"/>
      <c r="I623" s="222"/>
      <c r="J623" s="221"/>
      <c r="K623" s="221"/>
      <c r="L623" s="221"/>
      <c r="M623" s="221"/>
      <c r="N623" s="221"/>
      <c r="O623" s="221">
        <f t="shared" si="848"/>
        <v>40000</v>
      </c>
      <c r="P623" s="221"/>
      <c r="Q623" s="221">
        <f t="shared" si="849"/>
        <v>13510</v>
      </c>
      <c r="R623" s="221">
        <f t="shared" si="850"/>
        <v>540400</v>
      </c>
      <c r="S623" s="221"/>
      <c r="T623" s="222"/>
      <c r="U623" s="214">
        <f t="shared" si="841"/>
        <v>2463400</v>
      </c>
      <c r="V623" s="250"/>
      <c r="W623" s="224">
        <f t="shared" si="851"/>
        <v>205290</v>
      </c>
      <c r="X623" s="225">
        <f t="shared" si="842"/>
        <v>110850</v>
      </c>
      <c r="Y623" s="225">
        <f t="shared" si="825"/>
        <v>79570</v>
      </c>
      <c r="Z623" s="225">
        <f t="shared" si="826"/>
        <v>6780</v>
      </c>
      <c r="AA623" s="225">
        <f t="shared" si="845"/>
        <v>22170</v>
      </c>
      <c r="AB623" s="225">
        <f t="shared" si="846"/>
        <v>19710</v>
      </c>
      <c r="AC623" s="252">
        <f t="shared" si="847"/>
        <v>444370</v>
      </c>
    </row>
    <row r="624" spans="1:29" s="204" customFormat="1" ht="16.5" hidden="1" customHeight="1">
      <c r="A624" s="319"/>
      <c r="B624" s="211"/>
      <c r="C624" s="212"/>
      <c r="D624" s="212"/>
      <c r="E624" s="219" t="s">
        <v>279</v>
      </c>
      <c r="F624" s="221">
        <f t="shared" si="852"/>
        <v>1883000</v>
      </c>
      <c r="G624" s="221"/>
      <c r="H624" s="221"/>
      <c r="I624" s="222"/>
      <c r="J624" s="221"/>
      <c r="K624" s="221"/>
      <c r="L624" s="221"/>
      <c r="M624" s="221"/>
      <c r="N624" s="221"/>
      <c r="O624" s="221">
        <f t="shared" si="848"/>
        <v>40000</v>
      </c>
      <c r="P624" s="221"/>
      <c r="Q624" s="221">
        <f t="shared" si="849"/>
        <v>13510</v>
      </c>
      <c r="R624" s="221">
        <f t="shared" si="850"/>
        <v>540400</v>
      </c>
      <c r="S624" s="221"/>
      <c r="T624" s="222"/>
      <c r="U624" s="214">
        <f t="shared" si="841"/>
        <v>2463400</v>
      </c>
      <c r="V624" s="250"/>
      <c r="W624" s="224">
        <f t="shared" si="851"/>
        <v>205290</v>
      </c>
      <c r="X624" s="225">
        <f t="shared" si="842"/>
        <v>110850</v>
      </c>
      <c r="Y624" s="225">
        <f t="shared" si="825"/>
        <v>79570</v>
      </c>
      <c r="Z624" s="225">
        <f t="shared" si="826"/>
        <v>6780</v>
      </c>
      <c r="AA624" s="225">
        <f t="shared" si="845"/>
        <v>22170</v>
      </c>
      <c r="AB624" s="225">
        <f t="shared" si="846"/>
        <v>19710</v>
      </c>
      <c r="AC624" s="252">
        <f t="shared" si="847"/>
        <v>444370</v>
      </c>
    </row>
    <row r="625" spans="1:29" s="204" customFormat="1" ht="16.5" hidden="1" customHeight="1">
      <c r="A625" s="319"/>
      <c r="B625" s="211"/>
      <c r="C625" s="212"/>
      <c r="D625" s="212"/>
      <c r="E625" s="219" t="s">
        <v>280</v>
      </c>
      <c r="F625" s="222">
        <f>F624</f>
        <v>1883000</v>
      </c>
      <c r="G625" s="221"/>
      <c r="H625" s="221"/>
      <c r="I625" s="222"/>
      <c r="J625" s="221"/>
      <c r="K625" s="221"/>
      <c r="L625" s="221"/>
      <c r="M625" s="221"/>
      <c r="N625" s="221"/>
      <c r="O625" s="221">
        <f t="shared" si="848"/>
        <v>40000</v>
      </c>
      <c r="P625" s="221"/>
      <c r="Q625" s="221">
        <f t="shared" si="849"/>
        <v>13510</v>
      </c>
      <c r="R625" s="221">
        <f t="shared" si="850"/>
        <v>540400</v>
      </c>
      <c r="S625" s="221"/>
      <c r="T625" s="222"/>
      <c r="U625" s="214">
        <f t="shared" si="841"/>
        <v>2463400</v>
      </c>
      <c r="V625" s="250"/>
      <c r="W625" s="224">
        <f t="shared" si="851"/>
        <v>205290</v>
      </c>
      <c r="X625" s="225">
        <f t="shared" si="842"/>
        <v>110850</v>
      </c>
      <c r="Y625" s="225">
        <f t="shared" si="825"/>
        <v>79570</v>
      </c>
      <c r="Z625" s="225">
        <f t="shared" si="826"/>
        <v>6780</v>
      </c>
      <c r="AA625" s="225">
        <f t="shared" si="845"/>
        <v>22170</v>
      </c>
      <c r="AB625" s="225">
        <f t="shared" si="846"/>
        <v>19710</v>
      </c>
      <c r="AC625" s="252">
        <f t="shared" si="847"/>
        <v>444370</v>
      </c>
    </row>
    <row r="626" spans="1:29" s="204" customFormat="1" ht="16.5" hidden="1" customHeight="1">
      <c r="A626" s="319"/>
      <c r="B626" s="211"/>
      <c r="C626" s="310">
        <f>C618+1</f>
        <v>5</v>
      </c>
      <c r="D626" s="212"/>
      <c r="E626" s="311" t="s">
        <v>54</v>
      </c>
      <c r="F626" s="312">
        <v>1928000</v>
      </c>
      <c r="G626" s="221"/>
      <c r="H626" s="221"/>
      <c r="I626" s="222"/>
      <c r="J626" s="221"/>
      <c r="K626" s="221"/>
      <c r="L626" s="221"/>
      <c r="M626" s="221">
        <f t="shared" ref="M626" si="853">F626*60%</f>
        <v>1156800</v>
      </c>
      <c r="N626" s="221"/>
      <c r="O626" s="221">
        <f t="shared" si="848"/>
        <v>40000</v>
      </c>
      <c r="P626" s="221"/>
      <c r="Q626" s="221">
        <f t="shared" si="849"/>
        <v>13510</v>
      </c>
      <c r="R626" s="221">
        <f t="shared" si="850"/>
        <v>540400</v>
      </c>
      <c r="S626" s="221"/>
      <c r="T626" s="222"/>
      <c r="U626" s="214">
        <f t="shared" si="841"/>
        <v>3665200</v>
      </c>
      <c r="V626" s="250"/>
      <c r="W626" s="224">
        <f t="shared" si="851"/>
        <v>305440</v>
      </c>
      <c r="X626" s="225">
        <f t="shared" si="842"/>
        <v>164930</v>
      </c>
      <c r="Y626" s="225">
        <f t="shared" si="825"/>
        <v>118390</v>
      </c>
      <c r="Z626" s="225">
        <f t="shared" si="826"/>
        <v>10080</v>
      </c>
      <c r="AA626" s="225">
        <f t="shared" si="845"/>
        <v>32990</v>
      </c>
      <c r="AB626" s="225">
        <f t="shared" si="846"/>
        <v>29320</v>
      </c>
      <c r="AC626" s="252">
        <f t="shared" si="847"/>
        <v>661150</v>
      </c>
    </row>
    <row r="627" spans="1:29" s="204" customFormat="1" ht="16.5" hidden="1" customHeight="1">
      <c r="A627" s="319"/>
      <c r="B627" s="211"/>
      <c r="C627" s="212"/>
      <c r="D627" s="212"/>
      <c r="E627" s="219" t="s">
        <v>55</v>
      </c>
      <c r="F627" s="221">
        <f t="shared" si="852"/>
        <v>1928000</v>
      </c>
      <c r="G627" s="221"/>
      <c r="H627" s="221"/>
      <c r="I627" s="222"/>
      <c r="J627" s="221"/>
      <c r="K627" s="221"/>
      <c r="L627" s="221"/>
      <c r="M627" s="221"/>
      <c r="N627" s="221"/>
      <c r="O627" s="221">
        <f t="shared" si="848"/>
        <v>40000</v>
      </c>
      <c r="P627" s="221"/>
      <c r="Q627" s="221">
        <f t="shared" si="849"/>
        <v>13840</v>
      </c>
      <c r="R627" s="221">
        <f t="shared" si="850"/>
        <v>553600</v>
      </c>
      <c r="S627" s="221"/>
      <c r="T627" s="222"/>
      <c r="U627" s="214">
        <f t="shared" si="841"/>
        <v>2521600</v>
      </c>
      <c r="V627" s="250"/>
      <c r="W627" s="224">
        <f t="shared" si="851"/>
        <v>210140</v>
      </c>
      <c r="X627" s="225">
        <f t="shared" si="842"/>
        <v>113470</v>
      </c>
      <c r="Y627" s="225">
        <f t="shared" si="825"/>
        <v>81450</v>
      </c>
      <c r="Z627" s="225">
        <f t="shared" si="826"/>
        <v>6940</v>
      </c>
      <c r="AA627" s="225">
        <f t="shared" si="845"/>
        <v>22690</v>
      </c>
      <c r="AB627" s="225">
        <f t="shared" si="846"/>
        <v>20170</v>
      </c>
      <c r="AC627" s="252">
        <f t="shared" si="847"/>
        <v>454860</v>
      </c>
    </row>
    <row r="628" spans="1:29" s="204" customFormat="1" ht="16.5" hidden="1" customHeight="1">
      <c r="A628" s="319"/>
      <c r="B628" s="211"/>
      <c r="C628" s="212"/>
      <c r="D628" s="212"/>
      <c r="E628" s="219" t="s">
        <v>56</v>
      </c>
      <c r="F628" s="221">
        <f t="shared" si="852"/>
        <v>1928000</v>
      </c>
      <c r="G628" s="221"/>
      <c r="H628" s="221"/>
      <c r="I628" s="222"/>
      <c r="J628" s="221"/>
      <c r="K628" s="221"/>
      <c r="L628" s="221"/>
      <c r="M628" s="221"/>
      <c r="N628" s="221"/>
      <c r="O628" s="221">
        <f t="shared" si="848"/>
        <v>40000</v>
      </c>
      <c r="P628" s="221"/>
      <c r="Q628" s="221">
        <f t="shared" si="849"/>
        <v>13840</v>
      </c>
      <c r="R628" s="221">
        <f t="shared" si="850"/>
        <v>553600</v>
      </c>
      <c r="S628" s="221"/>
      <c r="T628" s="222"/>
      <c r="U628" s="214">
        <f t="shared" si="841"/>
        <v>2521600</v>
      </c>
      <c r="V628" s="250"/>
      <c r="W628" s="224">
        <f t="shared" si="851"/>
        <v>210140</v>
      </c>
      <c r="X628" s="225">
        <f t="shared" si="842"/>
        <v>113470</v>
      </c>
      <c r="Y628" s="225">
        <f t="shared" si="825"/>
        <v>81450</v>
      </c>
      <c r="Z628" s="225">
        <f t="shared" si="826"/>
        <v>6940</v>
      </c>
      <c r="AA628" s="225">
        <f t="shared" si="845"/>
        <v>22690</v>
      </c>
      <c r="AB628" s="225">
        <f t="shared" si="846"/>
        <v>20170</v>
      </c>
      <c r="AC628" s="252">
        <f t="shared" si="847"/>
        <v>454860</v>
      </c>
    </row>
    <row r="629" spans="1:29" s="204" customFormat="1" ht="16.5" hidden="1" customHeight="1">
      <c r="A629" s="319"/>
      <c r="B629" s="211"/>
      <c r="C629" s="212"/>
      <c r="D629" s="212"/>
      <c r="E629" s="219" t="s">
        <v>281</v>
      </c>
      <c r="F629" s="221">
        <f t="shared" si="852"/>
        <v>1928000</v>
      </c>
      <c r="G629" s="221"/>
      <c r="H629" s="221"/>
      <c r="I629" s="222"/>
      <c r="J629" s="221"/>
      <c r="K629" s="221"/>
      <c r="L629" s="221"/>
      <c r="M629" s="221"/>
      <c r="N629" s="221"/>
      <c r="O629" s="221">
        <f t="shared" si="848"/>
        <v>40000</v>
      </c>
      <c r="P629" s="221"/>
      <c r="Q629" s="221">
        <f t="shared" si="849"/>
        <v>13840</v>
      </c>
      <c r="R629" s="221">
        <f>Q629*40*2</f>
        <v>1107200</v>
      </c>
      <c r="S629" s="221"/>
      <c r="T629" s="222"/>
      <c r="U629" s="214">
        <f t="shared" si="841"/>
        <v>3075200</v>
      </c>
      <c r="V629" s="250"/>
      <c r="W629" s="224">
        <f t="shared" si="851"/>
        <v>256270</v>
      </c>
      <c r="X629" s="225">
        <f t="shared" si="842"/>
        <v>138380</v>
      </c>
      <c r="Y629" s="225">
        <f t="shared" si="825"/>
        <v>99330</v>
      </c>
      <c r="Z629" s="225">
        <f t="shared" si="826"/>
        <v>8460</v>
      </c>
      <c r="AA629" s="225">
        <f t="shared" si="845"/>
        <v>27680</v>
      </c>
      <c r="AB629" s="225">
        <f t="shared" si="846"/>
        <v>24600</v>
      </c>
      <c r="AC629" s="252">
        <f t="shared" si="847"/>
        <v>554720</v>
      </c>
    </row>
    <row r="630" spans="1:29" s="204" customFormat="1" ht="16.5" customHeight="1">
      <c r="A630" s="911">
        <v>49</v>
      </c>
      <c r="B630" s="254" t="s">
        <v>838</v>
      </c>
      <c r="C630" s="255">
        <v>1</v>
      </c>
      <c r="D630" s="255">
        <v>1</v>
      </c>
      <c r="E630" s="291" t="s">
        <v>86</v>
      </c>
      <c r="F630" s="259">
        <f>SUM(F631:F642)</f>
        <v>30432000</v>
      </c>
      <c r="G630" s="259">
        <f t="shared" ref="G630:L630" si="854">SUM(G631:G642)</f>
        <v>0</v>
      </c>
      <c r="H630" s="259">
        <f t="shared" si="854"/>
        <v>0</v>
      </c>
      <c r="I630" s="259">
        <f t="shared" si="854"/>
        <v>0</v>
      </c>
      <c r="J630" s="259">
        <f t="shared" si="854"/>
        <v>0</v>
      </c>
      <c r="K630" s="259">
        <f t="shared" si="854"/>
        <v>0</v>
      </c>
      <c r="L630" s="259">
        <f t="shared" si="854"/>
        <v>0</v>
      </c>
      <c r="M630" s="259">
        <f>SUM(M631:M642)</f>
        <v>0</v>
      </c>
      <c r="N630" s="259">
        <f>SUM(N631:N642)</f>
        <v>0</v>
      </c>
      <c r="O630" s="259">
        <f>SUM(O631:O642)</f>
        <v>0</v>
      </c>
      <c r="P630" s="259"/>
      <c r="Q630" s="259"/>
      <c r="R630" s="259">
        <f>SUM(R631:R642)</f>
        <v>0</v>
      </c>
      <c r="S630" s="259">
        <f>SUM(S631:S642)</f>
        <v>0</v>
      </c>
      <c r="T630" s="259">
        <f t="shared" ref="T630:U630" si="855">SUM(T631:T642)</f>
        <v>0</v>
      </c>
      <c r="U630" s="259">
        <f t="shared" si="855"/>
        <v>30432000</v>
      </c>
      <c r="V630" s="260"/>
      <c r="W630" s="217">
        <f t="shared" ref="W630:AB630" si="856">SUM(W631:W642)</f>
        <v>0</v>
      </c>
      <c r="X630" s="214">
        <f t="shared" si="856"/>
        <v>0</v>
      </c>
      <c r="Y630" s="214">
        <f t="shared" si="856"/>
        <v>0</v>
      </c>
      <c r="Z630" s="214">
        <f t="shared" si="856"/>
        <v>0</v>
      </c>
      <c r="AA630" s="214">
        <f t="shared" si="856"/>
        <v>0</v>
      </c>
      <c r="AB630" s="214">
        <f t="shared" si="856"/>
        <v>0</v>
      </c>
      <c r="AC630" s="266">
        <f>SUM(AC631:AC642)</f>
        <v>0</v>
      </c>
    </row>
    <row r="631" spans="1:29" s="204" customFormat="1" ht="16.5" hidden="1" customHeight="1">
      <c r="A631" s="910"/>
      <c r="B631" s="239" t="s">
        <v>839</v>
      </c>
      <c r="C631" s="325">
        <v>1</v>
      </c>
      <c r="D631" s="325"/>
      <c r="E631" s="326" t="s">
        <v>273</v>
      </c>
      <c r="F631" s="294">
        <v>2536000</v>
      </c>
      <c r="G631" s="242"/>
      <c r="H631" s="294"/>
      <c r="I631" s="294"/>
      <c r="J631" s="242"/>
      <c r="K631" s="242"/>
      <c r="L631" s="242"/>
      <c r="M631" s="242"/>
      <c r="N631" s="242"/>
      <c r="O631" s="242"/>
      <c r="P631" s="242"/>
      <c r="Q631" s="242"/>
      <c r="R631" s="242"/>
      <c r="S631" s="242"/>
      <c r="T631" s="243"/>
      <c r="U631" s="244">
        <f t="shared" ref="U631:U642" si="857">SUM(F631,M631,O631,R631,T631,S631)</f>
        <v>2536000</v>
      </c>
      <c r="V631" s="245"/>
      <c r="W631" s="224"/>
      <c r="X631" s="225"/>
      <c r="Y631" s="225"/>
      <c r="Z631" s="225"/>
      <c r="AA631" s="225"/>
      <c r="AB631" s="225"/>
      <c r="AC631" s="252">
        <f t="shared" ref="AC631" si="858">SUM(W631:AB631)</f>
        <v>0</v>
      </c>
    </row>
    <row r="632" spans="1:29" s="204" customFormat="1" ht="16.5" hidden="1" customHeight="1">
      <c r="A632" s="319"/>
      <c r="B632" s="211"/>
      <c r="C632" s="212"/>
      <c r="D632" s="212"/>
      <c r="E632" s="219" t="s">
        <v>274</v>
      </c>
      <c r="F632" s="221">
        <f>F631</f>
        <v>2536000</v>
      </c>
      <c r="G632" s="221"/>
      <c r="H632" s="221"/>
      <c r="I632" s="221"/>
      <c r="J632" s="221"/>
      <c r="K632" s="221"/>
      <c r="L632" s="221"/>
      <c r="M632" s="221"/>
      <c r="N632" s="221"/>
      <c r="O632" s="221"/>
      <c r="P632" s="221"/>
      <c r="Q632" s="221"/>
      <c r="R632" s="221"/>
      <c r="S632" s="221"/>
      <c r="T632" s="222"/>
      <c r="U632" s="214">
        <f t="shared" si="857"/>
        <v>2536000</v>
      </c>
      <c r="V632" s="250"/>
      <c r="W632" s="224"/>
      <c r="X632" s="225"/>
      <c r="Y632" s="225"/>
      <c r="Z632" s="225"/>
      <c r="AA632" s="225"/>
      <c r="AB632" s="225"/>
      <c r="AC632" s="252"/>
    </row>
    <row r="633" spans="1:29" s="204" customFormat="1" ht="16.5" hidden="1" customHeight="1">
      <c r="A633" s="319"/>
      <c r="B633" s="211"/>
      <c r="C633" s="212"/>
      <c r="D633" s="212"/>
      <c r="E633" s="219" t="s">
        <v>275</v>
      </c>
      <c r="F633" s="221">
        <f>F632</f>
        <v>2536000</v>
      </c>
      <c r="G633" s="221"/>
      <c r="H633" s="221"/>
      <c r="I633" s="221"/>
      <c r="J633" s="221"/>
      <c r="K633" s="221"/>
      <c r="L633" s="221"/>
      <c r="M633" s="221"/>
      <c r="N633" s="221"/>
      <c r="O633" s="221"/>
      <c r="P633" s="221"/>
      <c r="Q633" s="221"/>
      <c r="R633" s="221"/>
      <c r="S633" s="221"/>
      <c r="T633" s="222"/>
      <c r="U633" s="214">
        <f t="shared" si="857"/>
        <v>2536000</v>
      </c>
      <c r="V633" s="250"/>
      <c r="W633" s="224"/>
      <c r="X633" s="225"/>
      <c r="Y633" s="225"/>
      <c r="Z633" s="225"/>
      <c r="AA633" s="225"/>
      <c r="AB633" s="225"/>
      <c r="AC633" s="252"/>
    </row>
    <row r="634" spans="1:29" s="204" customFormat="1" ht="16.5" hidden="1" customHeight="1">
      <c r="A634" s="319"/>
      <c r="B634" s="211"/>
      <c r="C634" s="212"/>
      <c r="D634" s="212"/>
      <c r="E634" s="219" t="s">
        <v>276</v>
      </c>
      <c r="F634" s="221">
        <f>F633</f>
        <v>2536000</v>
      </c>
      <c r="G634" s="221"/>
      <c r="H634" s="221"/>
      <c r="I634" s="221"/>
      <c r="J634" s="221"/>
      <c r="K634" s="221"/>
      <c r="L634" s="221"/>
      <c r="M634" s="221"/>
      <c r="N634" s="221"/>
      <c r="O634" s="221"/>
      <c r="P634" s="221"/>
      <c r="Q634" s="221"/>
      <c r="R634" s="221"/>
      <c r="S634" s="221"/>
      <c r="T634" s="222"/>
      <c r="U634" s="214">
        <f t="shared" si="857"/>
        <v>2536000</v>
      </c>
      <c r="V634" s="250"/>
      <c r="W634" s="224"/>
      <c r="X634" s="225"/>
      <c r="Y634" s="225"/>
      <c r="Z634" s="225"/>
      <c r="AA634" s="225"/>
      <c r="AB634" s="225"/>
      <c r="AC634" s="252"/>
    </row>
    <row r="635" spans="1:29" s="204" customFormat="1" ht="16.5" hidden="1" customHeight="1">
      <c r="A635" s="319"/>
      <c r="B635" s="211"/>
      <c r="C635" s="212"/>
      <c r="D635" s="212"/>
      <c r="E635" s="219" t="s">
        <v>277</v>
      </c>
      <c r="F635" s="221">
        <f>F634</f>
        <v>2536000</v>
      </c>
      <c r="G635" s="221"/>
      <c r="H635" s="221"/>
      <c r="I635" s="221"/>
      <c r="J635" s="221"/>
      <c r="K635" s="221"/>
      <c r="L635" s="221"/>
      <c r="M635" s="221"/>
      <c r="N635" s="221"/>
      <c r="O635" s="221"/>
      <c r="P635" s="221"/>
      <c r="Q635" s="221"/>
      <c r="R635" s="221"/>
      <c r="S635" s="221"/>
      <c r="T635" s="222"/>
      <c r="U635" s="214">
        <f t="shared" si="857"/>
        <v>2536000</v>
      </c>
      <c r="V635" s="250"/>
      <c r="W635" s="224"/>
      <c r="X635" s="225"/>
      <c r="Y635" s="225"/>
      <c r="Z635" s="225"/>
      <c r="AA635" s="225"/>
      <c r="AB635" s="225"/>
      <c r="AC635" s="252"/>
    </row>
    <row r="636" spans="1:29" s="204" customFormat="1" ht="16.5" hidden="1" customHeight="1">
      <c r="A636" s="319"/>
      <c r="B636" s="211"/>
      <c r="C636" s="212"/>
      <c r="D636" s="212"/>
      <c r="E636" s="219" t="s">
        <v>278</v>
      </c>
      <c r="F636" s="221">
        <f t="shared" ref="F636:F642" si="859">F635</f>
        <v>2536000</v>
      </c>
      <c r="G636" s="221"/>
      <c r="H636" s="221"/>
      <c r="I636" s="221"/>
      <c r="J636" s="221"/>
      <c r="K636" s="221"/>
      <c r="L636" s="221"/>
      <c r="M636" s="221"/>
      <c r="N636" s="221"/>
      <c r="O636" s="221"/>
      <c r="P636" s="221"/>
      <c r="Q636" s="221"/>
      <c r="R636" s="221"/>
      <c r="S636" s="221"/>
      <c r="T636" s="222"/>
      <c r="U636" s="214">
        <f t="shared" si="857"/>
        <v>2536000</v>
      </c>
      <c r="V636" s="250"/>
      <c r="W636" s="224"/>
      <c r="X636" s="225"/>
      <c r="Y636" s="225"/>
      <c r="Z636" s="225"/>
      <c r="AA636" s="225"/>
      <c r="AB636" s="225"/>
      <c r="AC636" s="252"/>
    </row>
    <row r="637" spans="1:29" s="204" customFormat="1" ht="16.5" hidden="1" customHeight="1">
      <c r="A637" s="319"/>
      <c r="B637" s="211"/>
      <c r="C637" s="212"/>
      <c r="D637" s="212"/>
      <c r="E637" s="219" t="s">
        <v>279</v>
      </c>
      <c r="F637" s="221">
        <f t="shared" si="859"/>
        <v>2536000</v>
      </c>
      <c r="G637" s="221"/>
      <c r="H637" s="220"/>
      <c r="I637" s="222"/>
      <c r="J637" s="221"/>
      <c r="K637" s="221"/>
      <c r="L637" s="221"/>
      <c r="M637" s="221"/>
      <c r="N637" s="221"/>
      <c r="O637" s="221"/>
      <c r="P637" s="221"/>
      <c r="Q637" s="221"/>
      <c r="R637" s="221"/>
      <c r="S637" s="221"/>
      <c r="T637" s="222"/>
      <c r="U637" s="214">
        <f t="shared" si="857"/>
        <v>2536000</v>
      </c>
      <c r="V637" s="250"/>
      <c r="W637" s="224"/>
      <c r="X637" s="225"/>
      <c r="Y637" s="225"/>
      <c r="Z637" s="225"/>
      <c r="AA637" s="225"/>
      <c r="AB637" s="225"/>
      <c r="AC637" s="252"/>
    </row>
    <row r="638" spans="1:29" s="204" customFormat="1" ht="16.5" hidden="1" customHeight="1">
      <c r="A638" s="319"/>
      <c r="B638" s="211"/>
      <c r="C638" s="212"/>
      <c r="D638" s="212"/>
      <c r="E638" s="219" t="s">
        <v>280</v>
      </c>
      <c r="F638" s="221">
        <f t="shared" si="859"/>
        <v>2536000</v>
      </c>
      <c r="G638" s="221"/>
      <c r="H638" s="221"/>
      <c r="I638" s="221"/>
      <c r="J638" s="221"/>
      <c r="K638" s="221"/>
      <c r="L638" s="221"/>
      <c r="M638" s="221"/>
      <c r="N638" s="221"/>
      <c r="O638" s="221"/>
      <c r="P638" s="221"/>
      <c r="Q638" s="221"/>
      <c r="R638" s="221"/>
      <c r="S638" s="221"/>
      <c r="T638" s="222"/>
      <c r="U638" s="214">
        <f t="shared" si="857"/>
        <v>2536000</v>
      </c>
      <c r="V638" s="250"/>
      <c r="W638" s="224"/>
      <c r="X638" s="225"/>
      <c r="Y638" s="225"/>
      <c r="Z638" s="225"/>
      <c r="AA638" s="225"/>
      <c r="AB638" s="225"/>
      <c r="AC638" s="252"/>
    </row>
    <row r="639" spans="1:29" s="204" customFormat="1" ht="16.5" hidden="1" customHeight="1">
      <c r="A639" s="319"/>
      <c r="B639" s="211"/>
      <c r="C639" s="212"/>
      <c r="D639" s="212"/>
      <c r="E639" s="219" t="s">
        <v>54</v>
      </c>
      <c r="F639" s="221">
        <f t="shared" si="859"/>
        <v>2536000</v>
      </c>
      <c r="G639" s="221"/>
      <c r="H639" s="221"/>
      <c r="I639" s="221"/>
      <c r="J639" s="221"/>
      <c r="K639" s="221"/>
      <c r="L639" s="221"/>
      <c r="M639" s="221"/>
      <c r="N639" s="221"/>
      <c r="O639" s="221"/>
      <c r="P639" s="221"/>
      <c r="Q639" s="221"/>
      <c r="R639" s="221"/>
      <c r="S639" s="221"/>
      <c r="T639" s="222"/>
      <c r="U639" s="214">
        <f t="shared" si="857"/>
        <v>2536000</v>
      </c>
      <c r="V639" s="250"/>
      <c r="W639" s="224"/>
      <c r="X639" s="225"/>
      <c r="Y639" s="225"/>
      <c r="Z639" s="225"/>
      <c r="AA639" s="225"/>
      <c r="AB639" s="225"/>
      <c r="AC639" s="252"/>
    </row>
    <row r="640" spans="1:29" s="204" customFormat="1" ht="16.5" hidden="1" customHeight="1">
      <c r="A640" s="319"/>
      <c r="B640" s="211"/>
      <c r="C640" s="212"/>
      <c r="D640" s="212"/>
      <c r="E640" s="219" t="s">
        <v>55</v>
      </c>
      <c r="F640" s="221">
        <f t="shared" si="859"/>
        <v>2536000</v>
      </c>
      <c r="G640" s="221"/>
      <c r="H640" s="221"/>
      <c r="I640" s="221"/>
      <c r="J640" s="221"/>
      <c r="K640" s="221"/>
      <c r="L640" s="221"/>
      <c r="M640" s="221"/>
      <c r="N640" s="221"/>
      <c r="O640" s="221"/>
      <c r="P640" s="221"/>
      <c r="Q640" s="221"/>
      <c r="R640" s="221"/>
      <c r="S640" s="221"/>
      <c r="T640" s="222"/>
      <c r="U640" s="214">
        <f t="shared" si="857"/>
        <v>2536000</v>
      </c>
      <c r="V640" s="250"/>
      <c r="W640" s="224"/>
      <c r="X640" s="225"/>
      <c r="Y640" s="225"/>
      <c r="Z640" s="225"/>
      <c r="AA640" s="225"/>
      <c r="AB640" s="225"/>
      <c r="AC640" s="252"/>
    </row>
    <row r="641" spans="1:29" s="204" customFormat="1" ht="16.5" hidden="1" customHeight="1">
      <c r="A641" s="319"/>
      <c r="B641" s="211"/>
      <c r="C641" s="212"/>
      <c r="D641" s="212"/>
      <c r="E641" s="219" t="s">
        <v>56</v>
      </c>
      <c r="F641" s="221">
        <f t="shared" si="859"/>
        <v>2536000</v>
      </c>
      <c r="G641" s="221"/>
      <c r="H641" s="221"/>
      <c r="I641" s="221"/>
      <c r="J641" s="221"/>
      <c r="K641" s="221"/>
      <c r="L641" s="221"/>
      <c r="M641" s="221"/>
      <c r="N641" s="221"/>
      <c r="O641" s="221"/>
      <c r="P641" s="221"/>
      <c r="Q641" s="221"/>
      <c r="R641" s="221"/>
      <c r="S641" s="221"/>
      <c r="T641" s="222"/>
      <c r="U641" s="214">
        <f t="shared" si="857"/>
        <v>2536000</v>
      </c>
      <c r="V641" s="250"/>
      <c r="W641" s="224"/>
      <c r="X641" s="225"/>
      <c r="Y641" s="225"/>
      <c r="Z641" s="225"/>
      <c r="AA641" s="225"/>
      <c r="AB641" s="225"/>
      <c r="AC641" s="252"/>
    </row>
    <row r="642" spans="1:29" s="204" customFormat="1" ht="16.5" hidden="1" customHeight="1">
      <c r="A642" s="319"/>
      <c r="B642" s="211"/>
      <c r="C642" s="212"/>
      <c r="D642" s="212"/>
      <c r="E642" s="219" t="s">
        <v>281</v>
      </c>
      <c r="F642" s="221">
        <f t="shared" si="859"/>
        <v>2536000</v>
      </c>
      <c r="G642" s="221"/>
      <c r="H642" s="221"/>
      <c r="I642" s="221"/>
      <c r="J642" s="221"/>
      <c r="K642" s="221"/>
      <c r="L642" s="221"/>
      <c r="M642" s="221"/>
      <c r="N642" s="221"/>
      <c r="O642" s="221"/>
      <c r="P642" s="221"/>
      <c r="Q642" s="221"/>
      <c r="R642" s="221"/>
      <c r="S642" s="221"/>
      <c r="T642" s="222"/>
      <c r="U642" s="214">
        <f t="shared" si="857"/>
        <v>2536000</v>
      </c>
      <c r="V642" s="250"/>
      <c r="W642" s="224"/>
      <c r="X642" s="225"/>
      <c r="Y642" s="225"/>
      <c r="Z642" s="225"/>
      <c r="AA642" s="225"/>
      <c r="AB642" s="225"/>
      <c r="AC642" s="252"/>
    </row>
    <row r="643" spans="1:29" s="204" customFormat="1" ht="16.5" hidden="1" customHeight="1">
      <c r="A643" s="1240"/>
      <c r="B643" s="211"/>
      <c r="C643" s="212"/>
      <c r="D643" s="212"/>
      <c r="E643" s="213"/>
      <c r="F643" s="214"/>
      <c r="G643" s="214"/>
      <c r="H643" s="214"/>
      <c r="I643" s="214"/>
      <c r="J643" s="214"/>
      <c r="K643" s="214"/>
      <c r="L643" s="214"/>
      <c r="M643" s="214"/>
      <c r="N643" s="214"/>
      <c r="O643" s="214"/>
      <c r="P643" s="214"/>
      <c r="Q643" s="214"/>
      <c r="R643" s="214"/>
      <c r="S643" s="214"/>
      <c r="T643" s="214"/>
      <c r="U643" s="214"/>
      <c r="V643" s="250"/>
      <c r="W643" s="217"/>
      <c r="X643" s="214"/>
      <c r="Y643" s="214"/>
      <c r="Z643" s="214"/>
      <c r="AA643" s="214"/>
      <c r="AB643" s="214"/>
      <c r="AC643" s="266"/>
    </row>
    <row r="644" spans="1:29" s="204" customFormat="1" ht="16.5" hidden="1" customHeight="1">
      <c r="A644" s="1240"/>
      <c r="B644" s="239"/>
      <c r="C644" s="325"/>
      <c r="D644" s="325"/>
      <c r="E644" s="326"/>
      <c r="F644" s="294"/>
      <c r="G644" s="242"/>
      <c r="H644" s="294"/>
      <c r="I644" s="294"/>
      <c r="J644" s="242"/>
      <c r="K644" s="242"/>
      <c r="L644" s="242"/>
      <c r="M644" s="242"/>
      <c r="N644" s="242"/>
      <c r="O644" s="242"/>
      <c r="P644" s="242"/>
      <c r="Q644" s="242"/>
      <c r="R644" s="242"/>
      <c r="S644" s="242"/>
      <c r="T644" s="222"/>
      <c r="U644" s="214"/>
      <c r="V644" s="245"/>
      <c r="W644" s="224"/>
      <c r="X644" s="225"/>
      <c r="Y644" s="225"/>
      <c r="Z644" s="225"/>
      <c r="AA644" s="225"/>
      <c r="AB644" s="225"/>
      <c r="AC644" s="252"/>
    </row>
    <row r="645" spans="1:29" s="204" customFormat="1" ht="16.5" hidden="1" customHeight="1">
      <c r="A645" s="1240"/>
      <c r="B645" s="211"/>
      <c r="C645" s="212"/>
      <c r="D645" s="212"/>
      <c r="E645" s="219"/>
      <c r="F645" s="221"/>
      <c r="G645" s="221"/>
      <c r="H645" s="221"/>
      <c r="I645" s="221"/>
      <c r="J645" s="221"/>
      <c r="K645" s="221"/>
      <c r="L645" s="221"/>
      <c r="M645" s="221"/>
      <c r="N645" s="221"/>
      <c r="O645" s="221"/>
      <c r="P645" s="221"/>
      <c r="Q645" s="221"/>
      <c r="R645" s="221"/>
      <c r="S645" s="221"/>
      <c r="T645" s="222"/>
      <c r="U645" s="214"/>
      <c r="V645" s="250"/>
      <c r="W645" s="224"/>
      <c r="X645" s="225"/>
      <c r="Y645" s="225"/>
      <c r="Z645" s="225"/>
      <c r="AA645" s="225"/>
      <c r="AB645" s="225"/>
      <c r="AC645" s="252"/>
    </row>
    <row r="646" spans="1:29" s="204" customFormat="1" ht="16.5" hidden="1" customHeight="1">
      <c r="A646" s="1240"/>
      <c r="B646" s="211"/>
      <c r="C646" s="212"/>
      <c r="D646" s="212"/>
      <c r="E646" s="219"/>
      <c r="F646" s="221"/>
      <c r="G646" s="221"/>
      <c r="H646" s="221"/>
      <c r="I646" s="221"/>
      <c r="J646" s="221"/>
      <c r="K646" s="221"/>
      <c r="L646" s="221"/>
      <c r="M646" s="221"/>
      <c r="N646" s="221"/>
      <c r="O646" s="221"/>
      <c r="P646" s="221"/>
      <c r="Q646" s="221"/>
      <c r="R646" s="221"/>
      <c r="S646" s="221"/>
      <c r="T646" s="222"/>
      <c r="U646" s="214"/>
      <c r="V646" s="250"/>
      <c r="W646" s="224"/>
      <c r="X646" s="225"/>
      <c r="Y646" s="225"/>
      <c r="Z646" s="225"/>
      <c r="AA646" s="225"/>
      <c r="AB646" s="225"/>
      <c r="AC646" s="252"/>
    </row>
    <row r="647" spans="1:29" s="204" customFormat="1" ht="16.5" hidden="1" customHeight="1">
      <c r="A647" s="1240"/>
      <c r="B647" s="211"/>
      <c r="C647" s="212"/>
      <c r="D647" s="212"/>
      <c r="E647" s="219"/>
      <c r="F647" s="221"/>
      <c r="G647" s="221"/>
      <c r="H647" s="221"/>
      <c r="I647" s="221"/>
      <c r="J647" s="221"/>
      <c r="K647" s="221"/>
      <c r="L647" s="221"/>
      <c r="M647" s="221"/>
      <c r="N647" s="221"/>
      <c r="O647" s="221"/>
      <c r="P647" s="221"/>
      <c r="Q647" s="221"/>
      <c r="R647" s="221"/>
      <c r="S647" s="221"/>
      <c r="T647" s="222"/>
      <c r="U647" s="214"/>
      <c r="V647" s="250"/>
      <c r="W647" s="224"/>
      <c r="X647" s="225"/>
      <c r="Y647" s="225"/>
      <c r="Z647" s="225"/>
      <c r="AA647" s="225"/>
      <c r="AB647" s="225"/>
      <c r="AC647" s="252"/>
    </row>
    <row r="648" spans="1:29" s="204" customFormat="1" ht="16.5" hidden="1" customHeight="1">
      <c r="A648" s="1240"/>
      <c r="B648" s="211"/>
      <c r="C648" s="212"/>
      <c r="D648" s="212"/>
      <c r="E648" s="219"/>
      <c r="F648" s="221"/>
      <c r="G648" s="221"/>
      <c r="H648" s="221"/>
      <c r="I648" s="221"/>
      <c r="J648" s="221"/>
      <c r="K648" s="221"/>
      <c r="L648" s="221"/>
      <c r="M648" s="221"/>
      <c r="N648" s="221"/>
      <c r="O648" s="221"/>
      <c r="P648" s="221"/>
      <c r="Q648" s="221"/>
      <c r="R648" s="221"/>
      <c r="S648" s="221"/>
      <c r="T648" s="222"/>
      <c r="U648" s="214"/>
      <c r="V648" s="250"/>
      <c r="W648" s="224"/>
      <c r="X648" s="225"/>
      <c r="Y648" s="225"/>
      <c r="Z648" s="225"/>
      <c r="AA648" s="225"/>
      <c r="AB648" s="225"/>
      <c r="AC648" s="252"/>
    </row>
    <row r="649" spans="1:29" s="204" customFormat="1" ht="16.5" hidden="1" customHeight="1">
      <c r="A649" s="1240"/>
      <c r="B649" s="211"/>
      <c r="C649" s="212"/>
      <c r="D649" s="212"/>
      <c r="E649" s="219"/>
      <c r="F649" s="221"/>
      <c r="G649" s="221"/>
      <c r="H649" s="221"/>
      <c r="I649" s="221"/>
      <c r="J649" s="221"/>
      <c r="K649" s="221"/>
      <c r="L649" s="221"/>
      <c r="M649" s="221"/>
      <c r="N649" s="221"/>
      <c r="O649" s="221"/>
      <c r="P649" s="221"/>
      <c r="Q649" s="221"/>
      <c r="R649" s="221"/>
      <c r="S649" s="221"/>
      <c r="T649" s="222"/>
      <c r="U649" s="214"/>
      <c r="V649" s="250"/>
      <c r="W649" s="224"/>
      <c r="X649" s="225"/>
      <c r="Y649" s="225"/>
      <c r="Z649" s="225"/>
      <c r="AA649" s="225"/>
      <c r="AB649" s="225"/>
      <c r="AC649" s="252"/>
    </row>
    <row r="650" spans="1:29" s="204" customFormat="1" ht="16.5" hidden="1" customHeight="1">
      <c r="A650" s="1240"/>
      <c r="B650" s="211"/>
      <c r="C650" s="212"/>
      <c r="D650" s="212"/>
      <c r="E650" s="219"/>
      <c r="F650" s="221"/>
      <c r="G650" s="221"/>
      <c r="H650" s="220"/>
      <c r="I650" s="222"/>
      <c r="J650" s="221"/>
      <c r="K650" s="221"/>
      <c r="L650" s="221"/>
      <c r="M650" s="221"/>
      <c r="N650" s="221"/>
      <c r="O650" s="221"/>
      <c r="P650" s="221"/>
      <c r="Q650" s="221"/>
      <c r="R650" s="221"/>
      <c r="S650" s="221"/>
      <c r="T650" s="222"/>
      <c r="U650" s="214"/>
      <c r="V650" s="250"/>
      <c r="W650" s="224"/>
      <c r="X650" s="225"/>
      <c r="Y650" s="225"/>
      <c r="Z650" s="225"/>
      <c r="AA650" s="225"/>
      <c r="AB650" s="225"/>
      <c r="AC650" s="252"/>
    </row>
    <row r="651" spans="1:29" s="204" customFormat="1" ht="16.5" hidden="1" customHeight="1">
      <c r="A651" s="1240"/>
      <c r="B651" s="211"/>
      <c r="C651" s="212"/>
      <c r="D651" s="212"/>
      <c r="E651" s="219"/>
      <c r="F651" s="221"/>
      <c r="G651" s="221"/>
      <c r="H651" s="221"/>
      <c r="I651" s="221"/>
      <c r="J651" s="221"/>
      <c r="K651" s="221"/>
      <c r="L651" s="221"/>
      <c r="M651" s="221"/>
      <c r="N651" s="221"/>
      <c r="O651" s="221"/>
      <c r="P651" s="221"/>
      <c r="Q651" s="221"/>
      <c r="R651" s="221"/>
      <c r="S651" s="221"/>
      <c r="T651" s="222"/>
      <c r="U651" s="214"/>
      <c r="V651" s="250"/>
      <c r="W651" s="224"/>
      <c r="X651" s="225"/>
      <c r="Y651" s="225"/>
      <c r="Z651" s="225"/>
      <c r="AA651" s="225"/>
      <c r="AB651" s="225"/>
      <c r="AC651" s="252"/>
    </row>
    <row r="652" spans="1:29" s="204" customFormat="1" ht="16.5" hidden="1" customHeight="1">
      <c r="A652" s="1240"/>
      <c r="B652" s="211"/>
      <c r="C652" s="212"/>
      <c r="D652" s="212"/>
      <c r="E652" s="219"/>
      <c r="F652" s="221"/>
      <c r="G652" s="221"/>
      <c r="H652" s="221"/>
      <c r="I652" s="221"/>
      <c r="J652" s="221"/>
      <c r="K652" s="221"/>
      <c r="L652" s="221"/>
      <c r="M652" s="221"/>
      <c r="N652" s="221"/>
      <c r="O652" s="221"/>
      <c r="P652" s="221"/>
      <c r="Q652" s="221"/>
      <c r="R652" s="221"/>
      <c r="S652" s="221"/>
      <c r="T652" s="222"/>
      <c r="U652" s="214"/>
      <c r="V652" s="250"/>
      <c r="W652" s="224"/>
      <c r="X652" s="225"/>
      <c r="Y652" s="225"/>
      <c r="Z652" s="225"/>
      <c r="AA652" s="225"/>
      <c r="AB652" s="225"/>
      <c r="AC652" s="252"/>
    </row>
    <row r="653" spans="1:29" s="204" customFormat="1" ht="16.5" hidden="1" customHeight="1">
      <c r="A653" s="1240"/>
      <c r="B653" s="211"/>
      <c r="C653" s="212"/>
      <c r="D653" s="212"/>
      <c r="E653" s="219"/>
      <c r="F653" s="221"/>
      <c r="G653" s="221"/>
      <c r="H653" s="221"/>
      <c r="I653" s="221"/>
      <c r="J653" s="221"/>
      <c r="K653" s="221"/>
      <c r="L653" s="221"/>
      <c r="M653" s="221"/>
      <c r="N653" s="221"/>
      <c r="O653" s="221"/>
      <c r="P653" s="221"/>
      <c r="Q653" s="221"/>
      <c r="R653" s="221"/>
      <c r="S653" s="221"/>
      <c r="T653" s="222"/>
      <c r="U653" s="214"/>
      <c r="V653" s="250"/>
      <c r="W653" s="224"/>
      <c r="X653" s="225"/>
      <c r="Y653" s="225"/>
      <c r="Z653" s="225"/>
      <c r="AA653" s="225"/>
      <c r="AB653" s="225"/>
      <c r="AC653" s="252"/>
    </row>
    <row r="654" spans="1:29" s="204" customFormat="1" ht="16.5" hidden="1" customHeight="1">
      <c r="A654" s="1240"/>
      <c r="B654" s="211"/>
      <c r="C654" s="212"/>
      <c r="D654" s="212"/>
      <c r="E654" s="219"/>
      <c r="F654" s="221"/>
      <c r="G654" s="221"/>
      <c r="H654" s="221"/>
      <c r="I654" s="221"/>
      <c r="J654" s="221"/>
      <c r="K654" s="221"/>
      <c r="L654" s="221"/>
      <c r="M654" s="221"/>
      <c r="N654" s="221"/>
      <c r="O654" s="221"/>
      <c r="P654" s="221"/>
      <c r="Q654" s="221"/>
      <c r="R654" s="221"/>
      <c r="S654" s="221"/>
      <c r="T654" s="222"/>
      <c r="U654" s="214"/>
      <c r="V654" s="250"/>
      <c r="W654" s="224"/>
      <c r="X654" s="225"/>
      <c r="Y654" s="225"/>
      <c r="Z654" s="225"/>
      <c r="AA654" s="225"/>
      <c r="AB654" s="225"/>
      <c r="AC654" s="252"/>
    </row>
    <row r="655" spans="1:29" s="204" customFormat="1" ht="16.5" hidden="1" customHeight="1">
      <c r="A655" s="1240"/>
      <c r="B655" s="211"/>
      <c r="C655" s="212"/>
      <c r="D655" s="212"/>
      <c r="E655" s="219"/>
      <c r="F655" s="221"/>
      <c r="G655" s="221"/>
      <c r="H655" s="221"/>
      <c r="I655" s="221"/>
      <c r="J655" s="221"/>
      <c r="K655" s="221"/>
      <c r="L655" s="221"/>
      <c r="M655" s="221"/>
      <c r="N655" s="221"/>
      <c r="O655" s="221"/>
      <c r="P655" s="221"/>
      <c r="Q655" s="221"/>
      <c r="R655" s="221"/>
      <c r="S655" s="221"/>
      <c r="T655" s="222"/>
      <c r="U655" s="214"/>
      <c r="V655" s="250"/>
      <c r="W655" s="224"/>
      <c r="X655" s="225"/>
      <c r="Y655" s="225"/>
      <c r="Z655" s="225"/>
      <c r="AA655" s="225"/>
      <c r="AB655" s="225"/>
      <c r="AC655" s="252"/>
    </row>
    <row r="656" spans="1:29" s="187" customFormat="1" ht="11.25" customHeight="1">
      <c r="A656" s="327"/>
      <c r="B656" s="327"/>
      <c r="C656" s="327"/>
      <c r="D656" s="327"/>
      <c r="E656" s="327"/>
      <c r="F656" s="276"/>
      <c r="G656" s="276"/>
      <c r="H656" s="276"/>
      <c r="I656" s="276"/>
      <c r="J656" s="276"/>
      <c r="K656" s="277"/>
      <c r="L656" s="277"/>
      <c r="M656" s="277"/>
      <c r="N656" s="278"/>
      <c r="O656" s="328"/>
      <c r="P656" s="328"/>
      <c r="Q656" s="328"/>
      <c r="R656" s="328"/>
      <c r="S656" s="328"/>
      <c r="T656" s="276"/>
      <c r="U656" s="276"/>
      <c r="V656" s="329"/>
      <c r="W656" s="276"/>
      <c r="X656" s="276"/>
      <c r="Y656" s="276"/>
      <c r="Z656" s="276"/>
      <c r="AA656" s="276"/>
      <c r="AB656" s="328"/>
      <c r="AC656" s="330"/>
    </row>
    <row r="657" spans="1:29" s="187" customFormat="1" ht="16.5" customHeight="1">
      <c r="A657" s="327"/>
      <c r="B657" s="327"/>
      <c r="C657" s="327"/>
      <c r="D657" s="327"/>
      <c r="E657" s="327"/>
      <c r="F657" s="276"/>
      <c r="G657" s="276"/>
      <c r="H657" s="276"/>
      <c r="I657" s="276"/>
      <c r="J657" s="276"/>
      <c r="K657" s="277"/>
      <c r="L657" s="277"/>
      <c r="M657" s="277"/>
      <c r="N657" s="278"/>
      <c r="O657" s="328"/>
      <c r="P657" s="328"/>
      <c r="Q657" s="328"/>
      <c r="R657" s="328"/>
      <c r="S657" s="328"/>
      <c r="T657" s="276"/>
      <c r="U657" s="276"/>
      <c r="V657" s="329"/>
      <c r="W657" s="276"/>
      <c r="X657" s="276"/>
      <c r="Y657" s="276"/>
      <c r="Z657" s="276"/>
      <c r="AA657" s="276"/>
      <c r="AB657" s="328"/>
      <c r="AC657" s="330"/>
    </row>
    <row r="658" spans="1:29" s="187" customFormat="1" ht="16.5" customHeight="1">
      <c r="A658" s="327"/>
      <c r="B658" s="327"/>
      <c r="C658" s="327"/>
      <c r="D658" s="327"/>
      <c r="E658" s="327"/>
      <c r="F658" s="276"/>
      <c r="G658" s="276"/>
      <c r="H658" s="276"/>
      <c r="I658" s="276"/>
      <c r="J658" s="276"/>
      <c r="K658" s="277"/>
      <c r="L658" s="277"/>
      <c r="M658" s="277"/>
      <c r="N658" s="278"/>
      <c r="O658" s="328"/>
      <c r="P658" s="328"/>
      <c r="Q658" s="328"/>
      <c r="R658" s="328"/>
      <c r="S658" s="328"/>
      <c r="T658" s="276"/>
      <c r="U658" s="276"/>
      <c r="V658" s="329"/>
      <c r="W658" s="276"/>
      <c r="X658" s="276"/>
      <c r="Y658" s="276"/>
      <c r="Z658" s="276"/>
      <c r="AA658" s="276"/>
      <c r="AB658" s="328"/>
      <c r="AC658" s="330"/>
    </row>
    <row r="659" spans="1:29" s="187" customFormat="1" ht="16.5" customHeight="1">
      <c r="A659" s="327"/>
      <c r="B659" s="327"/>
      <c r="C659" s="327"/>
      <c r="D659" s="327"/>
      <c r="E659" s="327"/>
      <c r="F659" s="276"/>
      <c r="G659" s="276"/>
      <c r="H659" s="276"/>
      <c r="I659" s="276"/>
      <c r="J659" s="276"/>
      <c r="K659" s="277"/>
      <c r="L659" s="277"/>
      <c r="M659" s="277"/>
      <c r="N659" s="278"/>
      <c r="O659" s="328"/>
      <c r="P659" s="328"/>
      <c r="Q659" s="328"/>
      <c r="R659" s="328"/>
      <c r="S659" s="328"/>
      <c r="T659" s="276"/>
      <c r="U659" s="276"/>
      <c r="V659" s="329"/>
      <c r="W659" s="276"/>
      <c r="X659" s="276"/>
      <c r="Y659" s="276"/>
      <c r="Z659" s="276"/>
      <c r="AA659" s="276"/>
      <c r="AB659" s="328"/>
      <c r="AC659" s="330"/>
    </row>
    <row r="660" spans="1:29" s="187" customFormat="1" ht="16.5" customHeight="1">
      <c r="A660" s="327"/>
      <c r="B660" s="327"/>
      <c r="C660" s="327"/>
      <c r="D660" s="327"/>
      <c r="E660" s="327"/>
      <c r="F660" s="276"/>
      <c r="G660" s="276"/>
      <c r="H660" s="276"/>
      <c r="I660" s="276"/>
      <c r="J660" s="276"/>
      <c r="K660" s="277"/>
      <c r="L660" s="277"/>
      <c r="M660" s="277"/>
      <c r="N660" s="278"/>
      <c r="O660" s="328"/>
      <c r="P660" s="328"/>
      <c r="Q660" s="328"/>
      <c r="R660" s="328"/>
      <c r="S660" s="328"/>
      <c r="T660" s="276"/>
      <c r="U660" s="276"/>
      <c r="V660" s="329"/>
      <c r="W660" s="276"/>
      <c r="X660" s="276"/>
      <c r="Y660" s="276"/>
      <c r="Z660" s="276"/>
      <c r="AA660" s="276"/>
      <c r="AB660" s="328"/>
      <c r="AC660" s="330"/>
    </row>
    <row r="661" spans="1:29" s="187" customFormat="1" ht="16.5" customHeight="1">
      <c r="A661" s="327"/>
      <c r="B661" s="327"/>
      <c r="C661" s="327"/>
      <c r="D661" s="327"/>
      <c r="E661" s="327"/>
      <c r="F661" s="276"/>
      <c r="G661" s="276"/>
      <c r="H661" s="276"/>
      <c r="I661" s="276"/>
      <c r="J661" s="276"/>
      <c r="K661" s="277"/>
      <c r="L661" s="277"/>
      <c r="M661" s="277"/>
      <c r="N661" s="278"/>
      <c r="O661" s="328"/>
      <c r="P661" s="328"/>
      <c r="Q661" s="328"/>
      <c r="R661" s="328"/>
      <c r="S661" s="328"/>
      <c r="T661" s="276"/>
      <c r="U661" s="276"/>
      <c r="V661" s="329"/>
      <c r="W661" s="276"/>
      <c r="X661" s="276"/>
      <c r="Y661" s="276"/>
      <c r="Z661" s="276"/>
      <c r="AA661" s="276"/>
      <c r="AB661" s="328"/>
      <c r="AC661" s="330"/>
    </row>
    <row r="662" spans="1:29" s="187" customFormat="1" ht="16.5" customHeight="1">
      <c r="A662" s="327"/>
      <c r="B662" s="327"/>
      <c r="C662" s="327"/>
      <c r="D662" s="327"/>
      <c r="E662" s="327"/>
      <c r="F662" s="276"/>
      <c r="G662" s="276"/>
      <c r="H662" s="276"/>
      <c r="I662" s="276"/>
      <c r="J662" s="276"/>
      <c r="K662" s="277"/>
      <c r="L662" s="277"/>
      <c r="M662" s="277"/>
      <c r="N662" s="278"/>
      <c r="O662" s="328"/>
      <c r="P662" s="328"/>
      <c r="Q662" s="328"/>
      <c r="R662" s="328"/>
      <c r="S662" s="328"/>
      <c r="T662" s="276"/>
      <c r="U662" s="276"/>
      <c r="V662" s="329"/>
      <c r="W662" s="276"/>
      <c r="X662" s="276"/>
      <c r="Y662" s="276"/>
      <c r="Z662" s="276"/>
      <c r="AA662" s="276"/>
      <c r="AB662" s="328"/>
      <c r="AC662" s="330"/>
    </row>
    <row r="663" spans="1:29" s="187" customFormat="1" ht="16.5" customHeight="1">
      <c r="A663" s="327"/>
      <c r="B663" s="327"/>
      <c r="C663" s="327"/>
      <c r="D663" s="327"/>
      <c r="E663" s="327"/>
      <c r="F663" s="276"/>
      <c r="G663" s="276"/>
      <c r="H663" s="276"/>
      <c r="I663" s="276"/>
      <c r="J663" s="276"/>
      <c r="K663" s="277"/>
      <c r="L663" s="277"/>
      <c r="M663" s="277"/>
      <c r="N663" s="278"/>
      <c r="O663" s="328"/>
      <c r="P663" s="328"/>
      <c r="Q663" s="328"/>
      <c r="R663" s="328"/>
      <c r="S663" s="328"/>
      <c r="T663" s="276"/>
      <c r="U663" s="276"/>
      <c r="V663" s="329"/>
      <c r="W663" s="276"/>
      <c r="X663" s="276"/>
      <c r="Y663" s="276"/>
      <c r="Z663" s="276"/>
      <c r="AA663" s="276"/>
      <c r="AB663" s="328"/>
      <c r="AC663" s="330"/>
    </row>
    <row r="664" spans="1:29" s="187" customFormat="1" ht="16.5" customHeight="1">
      <c r="A664" s="327"/>
      <c r="B664" s="327"/>
      <c r="C664" s="327"/>
      <c r="D664" s="327"/>
      <c r="E664" s="327"/>
      <c r="F664" s="276"/>
      <c r="G664" s="276"/>
      <c r="H664" s="276"/>
      <c r="I664" s="276"/>
      <c r="J664" s="276"/>
      <c r="K664" s="277"/>
      <c r="L664" s="277"/>
      <c r="M664" s="277"/>
      <c r="N664" s="278"/>
      <c r="O664" s="328"/>
      <c r="P664" s="328"/>
      <c r="Q664" s="328"/>
      <c r="R664" s="328"/>
      <c r="S664" s="328"/>
      <c r="T664" s="276"/>
      <c r="U664" s="276"/>
      <c r="V664" s="329"/>
      <c r="W664" s="276"/>
      <c r="X664" s="276"/>
      <c r="Y664" s="276"/>
      <c r="Z664" s="276"/>
      <c r="AA664" s="276"/>
      <c r="AB664" s="328"/>
      <c r="AC664" s="330"/>
    </row>
    <row r="665" spans="1:29" s="187" customFormat="1" ht="16.5" customHeight="1">
      <c r="A665" s="327"/>
      <c r="B665" s="327"/>
      <c r="C665" s="327"/>
      <c r="D665" s="327"/>
      <c r="E665" s="327"/>
      <c r="F665" s="276"/>
      <c r="G665" s="276"/>
      <c r="H665" s="276"/>
      <c r="I665" s="276"/>
      <c r="J665" s="276"/>
      <c r="K665" s="277"/>
      <c r="L665" s="277"/>
      <c r="M665" s="277"/>
      <c r="N665" s="278"/>
      <c r="O665" s="328"/>
      <c r="P665" s="328"/>
      <c r="Q665" s="328"/>
      <c r="R665" s="328"/>
      <c r="S665" s="328"/>
      <c r="T665" s="276"/>
      <c r="U665" s="276"/>
      <c r="V665" s="329"/>
      <c r="W665" s="276"/>
      <c r="X665" s="276"/>
      <c r="Y665" s="276"/>
      <c r="Z665" s="276"/>
      <c r="AA665" s="276"/>
      <c r="AB665" s="328"/>
      <c r="AC665" s="330"/>
    </row>
    <row r="666" spans="1:29" s="187" customFormat="1" ht="16.5" customHeight="1">
      <c r="A666" s="327"/>
      <c r="B666" s="327"/>
      <c r="C666" s="327"/>
      <c r="D666" s="327"/>
      <c r="E666" s="327"/>
      <c r="F666" s="276"/>
      <c r="G666" s="276"/>
      <c r="H666" s="276"/>
      <c r="I666" s="276"/>
      <c r="J666" s="276"/>
      <c r="K666" s="277"/>
      <c r="L666" s="277"/>
      <c r="M666" s="277"/>
      <c r="N666" s="278"/>
      <c r="O666" s="328"/>
      <c r="P666" s="328"/>
      <c r="Q666" s="328"/>
      <c r="R666" s="328"/>
      <c r="S666" s="328"/>
      <c r="T666" s="276"/>
      <c r="U666" s="276"/>
      <c r="V666" s="329"/>
      <c r="W666" s="276"/>
      <c r="X666" s="276"/>
      <c r="Y666" s="276"/>
      <c r="Z666" s="276"/>
      <c r="AA666" s="276"/>
      <c r="AB666" s="328"/>
      <c r="AC666" s="330"/>
    </row>
    <row r="667" spans="1:29" s="187" customFormat="1" ht="16.5" customHeight="1">
      <c r="A667" s="327"/>
      <c r="B667" s="327"/>
      <c r="C667" s="327"/>
      <c r="D667" s="327"/>
      <c r="E667" s="327"/>
      <c r="F667" s="276"/>
      <c r="G667" s="276"/>
      <c r="H667" s="276"/>
      <c r="I667" s="276"/>
      <c r="J667" s="276"/>
      <c r="K667" s="277"/>
      <c r="L667" s="277"/>
      <c r="M667" s="277"/>
      <c r="N667" s="278"/>
      <c r="O667" s="328"/>
      <c r="P667" s="328"/>
      <c r="Q667" s="328"/>
      <c r="R667" s="328"/>
      <c r="S667" s="328"/>
      <c r="T667" s="276"/>
      <c r="U667" s="276"/>
      <c r="V667" s="329"/>
      <c r="W667" s="276"/>
      <c r="X667" s="276"/>
      <c r="Y667" s="276"/>
      <c r="Z667" s="276"/>
      <c r="AA667" s="276"/>
      <c r="AB667" s="328"/>
      <c r="AC667" s="330"/>
    </row>
    <row r="668" spans="1:29" s="187" customFormat="1" ht="16.5" customHeight="1">
      <c r="A668" s="327"/>
      <c r="B668" s="327"/>
      <c r="C668" s="327"/>
      <c r="D668" s="327"/>
      <c r="E668" s="327"/>
      <c r="F668" s="276"/>
      <c r="G668" s="276"/>
      <c r="H668" s="276"/>
      <c r="I668" s="276"/>
      <c r="J668" s="276"/>
      <c r="K668" s="277"/>
      <c r="L668" s="277"/>
      <c r="M668" s="277"/>
      <c r="N668" s="278"/>
      <c r="O668" s="328"/>
      <c r="P668" s="328"/>
      <c r="Q668" s="328"/>
      <c r="R668" s="328"/>
      <c r="S668" s="328"/>
      <c r="T668" s="276"/>
      <c r="U668" s="276"/>
      <c r="V668" s="329"/>
      <c r="W668" s="276"/>
      <c r="X668" s="276"/>
      <c r="Y668" s="276"/>
      <c r="Z668" s="276"/>
      <c r="AA668" s="276"/>
      <c r="AB668" s="328"/>
      <c r="AC668" s="330"/>
    </row>
    <row r="669" spans="1:29" s="187" customFormat="1" ht="16.5" customHeight="1">
      <c r="A669" s="327"/>
      <c r="B669" s="327"/>
      <c r="C669" s="327"/>
      <c r="D669" s="327"/>
      <c r="E669" s="327"/>
      <c r="F669" s="276"/>
      <c r="G669" s="276"/>
      <c r="H669" s="276"/>
      <c r="I669" s="276"/>
      <c r="J669" s="276"/>
      <c r="K669" s="277"/>
      <c r="L669" s="277"/>
      <c r="M669" s="277"/>
      <c r="N669" s="278"/>
      <c r="O669" s="328"/>
      <c r="P669" s="328"/>
      <c r="Q669" s="328"/>
      <c r="R669" s="328"/>
      <c r="S669" s="328"/>
      <c r="T669" s="276"/>
      <c r="U669" s="276"/>
      <c r="V669" s="329"/>
      <c r="W669" s="276"/>
      <c r="X669" s="276"/>
      <c r="Y669" s="276"/>
      <c r="Z669" s="276"/>
      <c r="AA669" s="276"/>
      <c r="AB669" s="328"/>
      <c r="AC669" s="330"/>
    </row>
    <row r="670" spans="1:29" s="187" customFormat="1" ht="16.5" customHeight="1">
      <c r="A670" s="327"/>
      <c r="B670" s="327"/>
      <c r="C670" s="327"/>
      <c r="D670" s="327"/>
      <c r="E670" s="327"/>
      <c r="F670" s="276"/>
      <c r="G670" s="276"/>
      <c r="H670" s="276"/>
      <c r="I670" s="276"/>
      <c r="J670" s="276"/>
      <c r="K670" s="277"/>
      <c r="L670" s="277"/>
      <c r="M670" s="277"/>
      <c r="N670" s="278"/>
      <c r="O670" s="328"/>
      <c r="P670" s="328"/>
      <c r="Q670" s="328"/>
      <c r="R670" s="328"/>
      <c r="S670" s="328"/>
      <c r="T670" s="276"/>
      <c r="U670" s="276"/>
      <c r="V670" s="329"/>
      <c r="W670" s="276"/>
      <c r="X670" s="276"/>
      <c r="Y670" s="276"/>
      <c r="Z670" s="276"/>
      <c r="AA670" s="276"/>
      <c r="AB670" s="328"/>
      <c r="AC670" s="330"/>
    </row>
    <row r="671" spans="1:29" s="187" customFormat="1" ht="16.5" customHeight="1">
      <c r="A671" s="327"/>
      <c r="B671" s="327"/>
      <c r="C671" s="327"/>
      <c r="D671" s="327"/>
      <c r="E671" s="327"/>
      <c r="F671" s="276"/>
      <c r="G671" s="276"/>
      <c r="H671" s="276"/>
      <c r="I671" s="276"/>
      <c r="J671" s="276"/>
      <c r="K671" s="277"/>
      <c r="L671" s="277"/>
      <c r="M671" s="277"/>
      <c r="N671" s="278"/>
      <c r="O671" s="328"/>
      <c r="P671" s="328"/>
      <c r="Q671" s="328"/>
      <c r="R671" s="328"/>
      <c r="S671" s="328"/>
      <c r="T671" s="276"/>
      <c r="U671" s="276"/>
      <c r="V671" s="329"/>
      <c r="W671" s="276"/>
      <c r="X671" s="276"/>
      <c r="Y671" s="276"/>
      <c r="Z671" s="276"/>
      <c r="AA671" s="276"/>
      <c r="AB671" s="328"/>
      <c r="AC671" s="330"/>
    </row>
    <row r="672" spans="1:29" s="187" customFormat="1" ht="16.5" customHeight="1">
      <c r="A672" s="327"/>
      <c r="B672" s="327"/>
      <c r="C672" s="327"/>
      <c r="D672" s="327"/>
      <c r="E672" s="327"/>
      <c r="F672" s="276"/>
      <c r="G672" s="276"/>
      <c r="H672" s="276"/>
      <c r="I672" s="276"/>
      <c r="J672" s="276"/>
      <c r="K672" s="277"/>
      <c r="L672" s="277"/>
      <c r="M672" s="277"/>
      <c r="N672" s="278"/>
      <c r="O672" s="328"/>
      <c r="P672" s="328"/>
      <c r="Q672" s="328"/>
      <c r="R672" s="328"/>
      <c r="S672" s="328"/>
      <c r="T672" s="276"/>
      <c r="U672" s="276"/>
      <c r="V672" s="329"/>
      <c r="W672" s="276"/>
      <c r="X672" s="276"/>
      <c r="Y672" s="276"/>
      <c r="Z672" s="276"/>
      <c r="AA672" s="276"/>
      <c r="AB672" s="328"/>
      <c r="AC672" s="330"/>
    </row>
    <row r="673" spans="1:29" s="187" customFormat="1" ht="18" customHeight="1">
      <c r="A673" s="327"/>
      <c r="B673" s="327"/>
      <c r="C673" s="327"/>
      <c r="D673" s="327"/>
      <c r="E673" s="327"/>
      <c r="F673" s="276"/>
      <c r="G673" s="276"/>
      <c r="H673" s="276"/>
      <c r="I673" s="276"/>
      <c r="J673" s="276"/>
      <c r="K673" s="277"/>
      <c r="L673" s="277"/>
      <c r="M673" s="277"/>
      <c r="N673" s="278"/>
      <c r="O673" s="328"/>
      <c r="P673" s="328"/>
      <c r="Q673" s="328"/>
      <c r="R673" s="328"/>
      <c r="S673" s="328"/>
      <c r="T673" s="276"/>
      <c r="U673" s="276"/>
      <c r="V673" s="329"/>
      <c r="W673" s="276"/>
      <c r="X673" s="276"/>
      <c r="Y673" s="276"/>
      <c r="Z673" s="276"/>
      <c r="AA673" s="276"/>
      <c r="AB673" s="328"/>
      <c r="AC673" s="330"/>
    </row>
    <row r="674" spans="1:29" s="187" customFormat="1" ht="22.5" customHeight="1">
      <c r="A674" s="1244" t="s">
        <v>449</v>
      </c>
      <c r="B674" s="1244"/>
      <c r="C674" s="1244"/>
      <c r="D674" s="204"/>
      <c r="E674" s="204"/>
      <c r="F674" s="188"/>
      <c r="G674" s="188"/>
      <c r="H674" s="188"/>
      <c r="I674" s="188"/>
      <c r="J674" s="188"/>
      <c r="K674" s="189"/>
      <c r="L674" s="189"/>
      <c r="M674" s="189"/>
      <c r="N674" s="190"/>
      <c r="T674" s="188"/>
      <c r="U674" s="188"/>
      <c r="V674" s="192"/>
      <c r="W674" s="188"/>
      <c r="X674" s="188"/>
      <c r="Y674" s="188"/>
      <c r="Z674" s="188"/>
      <c r="AA674" s="188"/>
      <c r="AC674" s="193" t="s">
        <v>450</v>
      </c>
    </row>
    <row r="675" spans="1:29" s="204" customFormat="1" ht="39" customHeight="1" thickBot="1">
      <c r="A675" s="306" t="s">
        <v>451</v>
      </c>
      <c r="B675" s="281" t="s">
        <v>452</v>
      </c>
      <c r="C675" s="281" t="s">
        <v>453</v>
      </c>
      <c r="D675" s="281" t="s">
        <v>454</v>
      </c>
      <c r="E675" s="281" t="s">
        <v>455</v>
      </c>
      <c r="F675" s="282" t="s">
        <v>456</v>
      </c>
      <c r="G675" s="283" t="s">
        <v>457</v>
      </c>
      <c r="H675" s="283" t="s">
        <v>458</v>
      </c>
      <c r="I675" s="283" t="s">
        <v>843</v>
      </c>
      <c r="J675" s="283" t="s">
        <v>844</v>
      </c>
      <c r="K675" s="283" t="s">
        <v>844</v>
      </c>
      <c r="L675" s="283" t="s">
        <v>844</v>
      </c>
      <c r="M675" s="283" t="s">
        <v>459</v>
      </c>
      <c r="N675" s="307"/>
      <c r="O675" s="283" t="str">
        <f>O4</f>
        <v>가족수당
(40,000원)
(2만,6만,10만)</v>
      </c>
      <c r="P675" s="283" t="s">
        <v>876</v>
      </c>
      <c r="Q675" s="283" t="str">
        <f>Q4</f>
        <v>연장근로수당</v>
      </c>
      <c r="R675" s="283" t="str">
        <f>R4</f>
        <v>연장근로수당
(보수월액*1/
209*1.5*20or40)</v>
      </c>
      <c r="S675" s="283" t="s">
        <v>612</v>
      </c>
      <c r="T675" s="283" t="s">
        <v>462</v>
      </c>
      <c r="U675" s="288" t="s">
        <v>463</v>
      </c>
      <c r="V675" s="284" t="s">
        <v>464</v>
      </c>
      <c r="W675" s="286" t="s">
        <v>465</v>
      </c>
      <c r="X675" s="288" t="s">
        <v>466</v>
      </c>
      <c r="Y675" s="288" t="s">
        <v>467</v>
      </c>
      <c r="Z675" s="287" t="s">
        <v>468</v>
      </c>
      <c r="AA675" s="288" t="s">
        <v>469</v>
      </c>
      <c r="AB675" s="287" t="s">
        <v>470</v>
      </c>
      <c r="AC675" s="289" t="str">
        <f>AC4</f>
        <v>공제액합계</v>
      </c>
    </row>
    <row r="676" spans="1:29" s="210" customFormat="1" ht="18" customHeight="1" thickTop="1">
      <c r="A676" s="1245" t="s">
        <v>85</v>
      </c>
      <c r="B676" s="1246"/>
      <c r="C676" s="1246"/>
      <c r="D676" s="1246"/>
      <c r="E676" s="1247"/>
      <c r="F676" s="205">
        <f>SUM(F677,F690,F703)</f>
        <v>78161000</v>
      </c>
      <c r="G676" s="205">
        <f t="shared" ref="G676:S676" si="860">SUM(G677,G690,G703)</f>
        <v>0</v>
      </c>
      <c r="H676" s="205">
        <f t="shared" si="860"/>
        <v>0</v>
      </c>
      <c r="I676" s="205">
        <f t="shared" si="860"/>
        <v>0</v>
      </c>
      <c r="J676" s="205">
        <f t="shared" si="860"/>
        <v>0</v>
      </c>
      <c r="K676" s="205">
        <f t="shared" si="860"/>
        <v>0</v>
      </c>
      <c r="L676" s="205">
        <f t="shared" si="860"/>
        <v>0</v>
      </c>
      <c r="M676" s="205">
        <f t="shared" si="860"/>
        <v>7817400</v>
      </c>
      <c r="N676" s="205">
        <f t="shared" si="860"/>
        <v>0</v>
      </c>
      <c r="O676" s="205">
        <f t="shared" si="860"/>
        <v>1200000</v>
      </c>
      <c r="P676" s="205">
        <f t="shared" si="860"/>
        <v>0</v>
      </c>
      <c r="Q676" s="205">
        <f>SUM(Q677,Q690,Q703)</f>
        <v>0</v>
      </c>
      <c r="R676" s="205">
        <f t="shared" si="860"/>
        <v>21756400</v>
      </c>
      <c r="S676" s="205">
        <f t="shared" si="860"/>
        <v>1034000</v>
      </c>
      <c r="T676" s="205">
        <f t="shared" ref="T676" si="861">SUM(T677,T690,T703)</f>
        <v>0</v>
      </c>
      <c r="U676" s="205">
        <f t="shared" ref="U676" si="862">SUM(U677,U690,U703)</f>
        <v>109968800</v>
      </c>
      <c r="V676" s="308">
        <f t="shared" ref="V676" si="863">SUM(V677,V690,V703)</f>
        <v>0</v>
      </c>
      <c r="W676" s="208">
        <f>W677+W690+W703</f>
        <v>9178460</v>
      </c>
      <c r="X676" s="205">
        <f>X677+X690+X703</f>
        <v>4935400</v>
      </c>
      <c r="Y676" s="205">
        <f t="shared" ref="Y676:AB676" si="864">Y677+Y690+Y703</f>
        <v>3552120</v>
      </c>
      <c r="Z676" s="205">
        <f t="shared" si="864"/>
        <v>262380</v>
      </c>
      <c r="AA676" s="205">
        <f t="shared" si="864"/>
        <v>991240</v>
      </c>
      <c r="AB676" s="205">
        <f t="shared" si="864"/>
        <v>881100</v>
      </c>
      <c r="AC676" s="205">
        <f>SUM(W676:AB676)</f>
        <v>19800700</v>
      </c>
    </row>
    <row r="677" spans="1:29" s="204" customFormat="1" ht="22.5" customHeight="1">
      <c r="A677" s="331">
        <v>1</v>
      </c>
      <c r="B677" s="331" t="s">
        <v>447</v>
      </c>
      <c r="C677" s="332" t="s">
        <v>525</v>
      </c>
      <c r="D677" s="332">
        <v>1</v>
      </c>
      <c r="E677" s="333" t="s">
        <v>86</v>
      </c>
      <c r="F677" s="334">
        <f t="shared" ref="F677:H677" si="865">SUM(F678:F689)</f>
        <v>23046000</v>
      </c>
      <c r="G677" s="334">
        <f t="shared" si="865"/>
        <v>0</v>
      </c>
      <c r="H677" s="334">
        <f t="shared" si="865"/>
        <v>0</v>
      </c>
      <c r="I677" s="259">
        <f t="shared" ref="I677:L677" si="866">SUM(I678:I689)</f>
        <v>0</v>
      </c>
      <c r="J677" s="259">
        <f t="shared" si="866"/>
        <v>0</v>
      </c>
      <c r="K677" s="259">
        <f t="shared" si="866"/>
        <v>0</v>
      </c>
      <c r="L677" s="259">
        <f t="shared" si="866"/>
        <v>0</v>
      </c>
      <c r="M677" s="334">
        <f t="shared" ref="M677" si="867">SUM(M678:M689)</f>
        <v>2286600</v>
      </c>
      <c r="N677" s="259">
        <f t="shared" ref="N677" si="868">SUM(N678:N689)</f>
        <v>0</v>
      </c>
      <c r="O677" s="334">
        <f t="shared" ref="O677:P677" si="869">SUM(O678:O689)</f>
        <v>480000</v>
      </c>
      <c r="P677" s="334">
        <f t="shared" si="869"/>
        <v>0</v>
      </c>
      <c r="Q677" s="259"/>
      <c r="R677" s="334">
        <f>SUM(R678:R689)</f>
        <v>6616800</v>
      </c>
      <c r="S677" s="334">
        <f>SUM(S678:S689)</f>
        <v>0</v>
      </c>
      <c r="T677" s="334">
        <f>SUM(T678:T689)</f>
        <v>0</v>
      </c>
      <c r="U677" s="334">
        <f>SUM(U678:U689)</f>
        <v>32429400</v>
      </c>
      <c r="V677" s="335"/>
      <c r="W677" s="336">
        <f>SUM(W678:W689)</f>
        <v>2702520</v>
      </c>
      <c r="X677" s="334">
        <f t="shared" ref="X677:AB677" si="870">SUM(X678:X689)</f>
        <v>1459310</v>
      </c>
      <c r="Y677" s="259">
        <f t="shared" si="870"/>
        <v>1047520</v>
      </c>
      <c r="Z677" s="259">
        <f t="shared" si="870"/>
        <v>77400</v>
      </c>
      <c r="AA677" s="334">
        <f t="shared" si="870"/>
        <v>291850</v>
      </c>
      <c r="AB677" s="334">
        <f t="shared" si="870"/>
        <v>259420</v>
      </c>
      <c r="AC677" s="337">
        <f>SUM(AC678:AC689)</f>
        <v>5838020</v>
      </c>
    </row>
    <row r="678" spans="1:29" s="204" customFormat="1" ht="16.5" customHeight="1">
      <c r="A678" s="912"/>
      <c r="B678" s="338" t="s">
        <v>841</v>
      </c>
      <c r="C678" s="339">
        <v>4</v>
      </c>
      <c r="D678" s="339"/>
      <c r="E678" s="340" t="s">
        <v>439</v>
      </c>
      <c r="F678" s="341">
        <v>1883000</v>
      </c>
      <c r="G678" s="342"/>
      <c r="H678" s="343"/>
      <c r="I678" s="243"/>
      <c r="J678" s="242"/>
      <c r="K678" s="242"/>
      <c r="L678" s="242"/>
      <c r="M678" s="221"/>
      <c r="N678" s="242"/>
      <c r="O678" s="221">
        <v>40000</v>
      </c>
      <c r="P678" s="242"/>
      <c r="Q678" s="242"/>
      <c r="R678" s="221">
        <f t="shared" ref="R678:R679" si="871">Q678*40</f>
        <v>0</v>
      </c>
      <c r="S678" s="342"/>
      <c r="T678" s="222"/>
      <c r="U678" s="214">
        <f>SUM(F678,M678,O678,R678)</f>
        <v>1923000</v>
      </c>
      <c r="V678" s="344"/>
      <c r="W678" s="224">
        <f>ROUNDUP(U678*1/12,-1)</f>
        <v>160250</v>
      </c>
      <c r="X678" s="225">
        <f>ROUND(U678*4.5%,-1)</f>
        <v>86540</v>
      </c>
      <c r="Y678" s="225">
        <f>ROUNDUP((U678-L678)*3.23%,-1)</f>
        <v>62120</v>
      </c>
      <c r="Z678" s="225">
        <f t="shared" ref="Z678:Z689" si="872">ROUNDUP(Y678*7.38%,-1)</f>
        <v>4590</v>
      </c>
      <c r="AA678" s="225">
        <f>ROUND(U678*0.9%,-1)</f>
        <v>17310</v>
      </c>
      <c r="AB678" s="225">
        <f>ROUND(U678*0.8%,-1)</f>
        <v>15380</v>
      </c>
      <c r="AC678" s="252">
        <f>SUM(W678:AB678)</f>
        <v>346190</v>
      </c>
    </row>
    <row r="679" spans="1:29" s="204" customFormat="1" ht="16.5" customHeight="1">
      <c r="A679" s="913"/>
      <c r="B679" s="211"/>
      <c r="C679" s="212"/>
      <c r="D679" s="212"/>
      <c r="E679" s="219" t="s">
        <v>440</v>
      </c>
      <c r="F679" s="221">
        <f>F678</f>
        <v>1883000</v>
      </c>
      <c r="G679" s="221"/>
      <c r="H679" s="221"/>
      <c r="I679" s="222"/>
      <c r="J679" s="221"/>
      <c r="K679" s="221"/>
      <c r="L679" s="221"/>
      <c r="M679" s="221">
        <f>F679*60%</f>
        <v>1129800</v>
      </c>
      <c r="N679" s="221"/>
      <c r="O679" s="221">
        <v>40000</v>
      </c>
      <c r="P679" s="221"/>
      <c r="Q679" s="221">
        <f>ROUND((F678+T678)*1/209*1.5,-1)</f>
        <v>13510</v>
      </c>
      <c r="R679" s="221">
        <f t="shared" si="871"/>
        <v>540400</v>
      </c>
      <c r="S679" s="221"/>
      <c r="T679" s="222"/>
      <c r="U679" s="214">
        <f>SUM(F679,M679,O679,R679)</f>
        <v>3593200</v>
      </c>
      <c r="V679" s="250"/>
      <c r="W679" s="224">
        <f t="shared" ref="W679:W689" si="873">ROUNDUP(U679*1/12,-1)</f>
        <v>299440</v>
      </c>
      <c r="X679" s="225">
        <f t="shared" ref="X679:X689" si="874">ROUND(U679*4.5%,-1)</f>
        <v>161690</v>
      </c>
      <c r="Y679" s="225">
        <f t="shared" ref="Y679:Y689" si="875">ROUNDUP((U679-L679)*3.23%,-1)</f>
        <v>116070</v>
      </c>
      <c r="Z679" s="225">
        <f t="shared" si="872"/>
        <v>8570</v>
      </c>
      <c r="AA679" s="225">
        <f t="shared" ref="AA679:AA689" si="876">ROUND(U679*0.9%,-1)</f>
        <v>32340</v>
      </c>
      <c r="AB679" s="225">
        <f t="shared" ref="AB679:AB689" si="877">ROUND(U679*0.8%,-1)</f>
        <v>28750</v>
      </c>
      <c r="AC679" s="252">
        <f t="shared" ref="AC679:AC689" si="878">SUM(W679:AB679)</f>
        <v>646860</v>
      </c>
    </row>
    <row r="680" spans="1:29" s="204" customFormat="1" ht="16.5" customHeight="1">
      <c r="A680" s="913"/>
      <c r="B680" s="211"/>
      <c r="C680" s="310">
        <f>C678+1</f>
        <v>5</v>
      </c>
      <c r="D680" s="310"/>
      <c r="E680" s="311" t="s">
        <v>275</v>
      </c>
      <c r="F680" s="312">
        <v>1928000</v>
      </c>
      <c r="G680" s="221"/>
      <c r="H680" s="221"/>
      <c r="I680" s="222"/>
      <c r="J680" s="221"/>
      <c r="K680" s="221"/>
      <c r="L680" s="221"/>
      <c r="M680" s="221" t="s">
        <v>60</v>
      </c>
      <c r="N680" s="221"/>
      <c r="O680" s="221">
        <v>40000</v>
      </c>
      <c r="P680" s="221"/>
      <c r="Q680" s="221">
        <f t="shared" ref="Q680:Q689" si="879">ROUND((F679+T679)*1/209*1.5,-1)</f>
        <v>13510</v>
      </c>
      <c r="R680" s="221">
        <f>Q680*40</f>
        <v>540400</v>
      </c>
      <c r="S680" s="221"/>
      <c r="T680" s="222"/>
      <c r="U680" s="214">
        <f t="shared" ref="U680:U689" si="880">SUM(F680,M680,O680,R680,T680)</f>
        <v>2508400</v>
      </c>
      <c r="V680" s="250"/>
      <c r="W680" s="224">
        <f t="shared" si="873"/>
        <v>209040</v>
      </c>
      <c r="X680" s="225">
        <f t="shared" si="874"/>
        <v>112880</v>
      </c>
      <c r="Y680" s="225">
        <f t="shared" si="875"/>
        <v>81030</v>
      </c>
      <c r="Z680" s="225">
        <f t="shared" si="872"/>
        <v>5990</v>
      </c>
      <c r="AA680" s="225">
        <f t="shared" si="876"/>
        <v>22580</v>
      </c>
      <c r="AB680" s="225">
        <f t="shared" si="877"/>
        <v>20070</v>
      </c>
      <c r="AC680" s="252">
        <f t="shared" si="878"/>
        <v>451590</v>
      </c>
    </row>
    <row r="681" spans="1:29" s="204" customFormat="1" ht="16.5" customHeight="1">
      <c r="A681" s="913"/>
      <c r="B681" s="211"/>
      <c r="C681" s="212"/>
      <c r="D681" s="212"/>
      <c r="E681" s="219" t="s">
        <v>276</v>
      </c>
      <c r="F681" s="221">
        <f>F680</f>
        <v>1928000</v>
      </c>
      <c r="G681" s="221"/>
      <c r="H681" s="221"/>
      <c r="I681" s="222"/>
      <c r="J681" s="221"/>
      <c r="K681" s="221"/>
      <c r="L681" s="221"/>
      <c r="M681" s="221">
        <v>0</v>
      </c>
      <c r="N681" s="221"/>
      <c r="O681" s="221">
        <f>O680</f>
        <v>40000</v>
      </c>
      <c r="P681" s="221"/>
      <c r="Q681" s="221">
        <f t="shared" si="879"/>
        <v>13840</v>
      </c>
      <c r="R681" s="221">
        <f>Q681*40</f>
        <v>553600</v>
      </c>
      <c r="S681" s="221"/>
      <c r="T681" s="222"/>
      <c r="U681" s="214">
        <f t="shared" si="880"/>
        <v>2521600</v>
      </c>
      <c r="V681" s="250"/>
      <c r="W681" s="224">
        <f t="shared" si="873"/>
        <v>210140</v>
      </c>
      <c r="X681" s="225">
        <f t="shared" si="874"/>
        <v>113470</v>
      </c>
      <c r="Y681" s="225">
        <f t="shared" si="875"/>
        <v>81450</v>
      </c>
      <c r="Z681" s="225">
        <f t="shared" si="872"/>
        <v>6020</v>
      </c>
      <c r="AA681" s="225">
        <f t="shared" si="876"/>
        <v>22690</v>
      </c>
      <c r="AB681" s="225">
        <f t="shared" si="877"/>
        <v>20170</v>
      </c>
      <c r="AC681" s="252">
        <f t="shared" si="878"/>
        <v>453940</v>
      </c>
    </row>
    <row r="682" spans="1:29" s="204" customFormat="1" ht="16.5" customHeight="1">
      <c r="A682" s="913"/>
      <c r="B682" s="211"/>
      <c r="C682" s="212"/>
      <c r="D682" s="212"/>
      <c r="E682" s="219" t="s">
        <v>277</v>
      </c>
      <c r="F682" s="221">
        <f>F681</f>
        <v>1928000</v>
      </c>
      <c r="G682" s="221"/>
      <c r="H682" s="221"/>
      <c r="I682" s="222"/>
      <c r="J682" s="221"/>
      <c r="K682" s="221"/>
      <c r="L682" s="221"/>
      <c r="M682" s="221">
        <v>0</v>
      </c>
      <c r="N682" s="221"/>
      <c r="O682" s="221">
        <f t="shared" ref="O682:O689" si="881">O681</f>
        <v>40000</v>
      </c>
      <c r="P682" s="221"/>
      <c r="Q682" s="221">
        <f t="shared" si="879"/>
        <v>13840</v>
      </c>
      <c r="R682" s="221">
        <f t="shared" ref="R682:R688" si="882">Q682*40</f>
        <v>553600</v>
      </c>
      <c r="S682" s="221"/>
      <c r="T682" s="222"/>
      <c r="U682" s="214">
        <f t="shared" si="880"/>
        <v>2521600</v>
      </c>
      <c r="V682" s="250"/>
      <c r="W682" s="224">
        <f t="shared" si="873"/>
        <v>210140</v>
      </c>
      <c r="X682" s="225">
        <f t="shared" si="874"/>
        <v>113470</v>
      </c>
      <c r="Y682" s="225">
        <f t="shared" si="875"/>
        <v>81450</v>
      </c>
      <c r="Z682" s="225">
        <f t="shared" si="872"/>
        <v>6020</v>
      </c>
      <c r="AA682" s="225">
        <f t="shared" si="876"/>
        <v>22690</v>
      </c>
      <c r="AB682" s="225">
        <f t="shared" si="877"/>
        <v>20170</v>
      </c>
      <c r="AC682" s="252">
        <f t="shared" si="878"/>
        <v>453940</v>
      </c>
    </row>
    <row r="683" spans="1:29" s="204" customFormat="1" ht="16.5" customHeight="1">
      <c r="A683" s="913"/>
      <c r="B683" s="211"/>
      <c r="C683" s="212"/>
      <c r="D683" s="212"/>
      <c r="E683" s="219" t="s">
        <v>278</v>
      </c>
      <c r="F683" s="221">
        <f>F682</f>
        <v>1928000</v>
      </c>
      <c r="G683" s="221"/>
      <c r="H683" s="221"/>
      <c r="I683" s="222"/>
      <c r="J683" s="221"/>
      <c r="K683" s="221"/>
      <c r="L683" s="221"/>
      <c r="M683" s="221">
        <v>0</v>
      </c>
      <c r="N683" s="221"/>
      <c r="O683" s="221">
        <f t="shared" si="881"/>
        <v>40000</v>
      </c>
      <c r="P683" s="221"/>
      <c r="Q683" s="221">
        <f t="shared" si="879"/>
        <v>13840</v>
      </c>
      <c r="R683" s="221">
        <f t="shared" si="882"/>
        <v>553600</v>
      </c>
      <c r="S683" s="221"/>
      <c r="T683" s="222"/>
      <c r="U683" s="214">
        <f t="shared" si="880"/>
        <v>2521600</v>
      </c>
      <c r="V683" s="250"/>
      <c r="W683" s="224">
        <f t="shared" si="873"/>
        <v>210140</v>
      </c>
      <c r="X683" s="225">
        <f t="shared" si="874"/>
        <v>113470</v>
      </c>
      <c r="Y683" s="225">
        <f t="shared" si="875"/>
        <v>81450</v>
      </c>
      <c r="Z683" s="225">
        <f t="shared" si="872"/>
        <v>6020</v>
      </c>
      <c r="AA683" s="225">
        <f t="shared" si="876"/>
        <v>22690</v>
      </c>
      <c r="AB683" s="225">
        <f t="shared" si="877"/>
        <v>20170</v>
      </c>
      <c r="AC683" s="252">
        <f t="shared" si="878"/>
        <v>453940</v>
      </c>
    </row>
    <row r="684" spans="1:29" s="204" customFormat="1" ht="16.5" customHeight="1">
      <c r="A684" s="913"/>
      <c r="B684" s="211"/>
      <c r="C684" s="212"/>
      <c r="D684" s="212"/>
      <c r="E684" s="219" t="s">
        <v>279</v>
      </c>
      <c r="F684" s="225">
        <f>F683</f>
        <v>1928000</v>
      </c>
      <c r="G684" s="221"/>
      <c r="H684" s="220"/>
      <c r="I684" s="222"/>
      <c r="J684" s="221"/>
      <c r="K684" s="221"/>
      <c r="L684" s="221"/>
      <c r="M684" s="221">
        <v>0</v>
      </c>
      <c r="N684" s="221"/>
      <c r="O684" s="221">
        <f t="shared" si="881"/>
        <v>40000</v>
      </c>
      <c r="P684" s="221"/>
      <c r="Q684" s="221">
        <f t="shared" si="879"/>
        <v>13840</v>
      </c>
      <c r="R684" s="221">
        <f t="shared" si="882"/>
        <v>553600</v>
      </c>
      <c r="S684" s="221"/>
      <c r="T684" s="222"/>
      <c r="U684" s="214">
        <f t="shared" si="880"/>
        <v>2521600</v>
      </c>
      <c r="V684" s="250"/>
      <c r="W684" s="224">
        <f t="shared" si="873"/>
        <v>210140</v>
      </c>
      <c r="X684" s="225">
        <f t="shared" si="874"/>
        <v>113470</v>
      </c>
      <c r="Y684" s="225">
        <f t="shared" si="875"/>
        <v>81450</v>
      </c>
      <c r="Z684" s="225">
        <f t="shared" si="872"/>
        <v>6020</v>
      </c>
      <c r="AA684" s="225">
        <f t="shared" si="876"/>
        <v>22690</v>
      </c>
      <c r="AB684" s="225">
        <f t="shared" si="877"/>
        <v>20170</v>
      </c>
      <c r="AC684" s="252">
        <f t="shared" si="878"/>
        <v>453940</v>
      </c>
    </row>
    <row r="685" spans="1:29" s="204" customFormat="1" ht="16.5" customHeight="1">
      <c r="A685" s="913"/>
      <c r="B685" s="211"/>
      <c r="C685" s="212"/>
      <c r="D685" s="212"/>
      <c r="E685" s="219" t="s">
        <v>280</v>
      </c>
      <c r="F685" s="221">
        <f>F684</f>
        <v>1928000</v>
      </c>
      <c r="G685" s="221"/>
      <c r="H685" s="221"/>
      <c r="I685" s="222"/>
      <c r="J685" s="221"/>
      <c r="K685" s="221"/>
      <c r="L685" s="221"/>
      <c r="M685" s="221">
        <v>0</v>
      </c>
      <c r="N685" s="221"/>
      <c r="O685" s="221">
        <f t="shared" si="881"/>
        <v>40000</v>
      </c>
      <c r="P685" s="221"/>
      <c r="Q685" s="221">
        <f t="shared" si="879"/>
        <v>13840</v>
      </c>
      <c r="R685" s="221">
        <f t="shared" si="882"/>
        <v>553600</v>
      </c>
      <c r="S685" s="221"/>
      <c r="T685" s="222"/>
      <c r="U685" s="214">
        <f t="shared" si="880"/>
        <v>2521600</v>
      </c>
      <c r="V685" s="250"/>
      <c r="W685" s="224">
        <f t="shared" si="873"/>
        <v>210140</v>
      </c>
      <c r="X685" s="225">
        <f t="shared" si="874"/>
        <v>113470</v>
      </c>
      <c r="Y685" s="225">
        <f t="shared" si="875"/>
        <v>81450</v>
      </c>
      <c r="Z685" s="225">
        <f t="shared" si="872"/>
        <v>6020</v>
      </c>
      <c r="AA685" s="225">
        <f t="shared" si="876"/>
        <v>22690</v>
      </c>
      <c r="AB685" s="225">
        <f t="shared" si="877"/>
        <v>20170</v>
      </c>
      <c r="AC685" s="252">
        <f t="shared" si="878"/>
        <v>453940</v>
      </c>
    </row>
    <row r="686" spans="1:29" s="204" customFormat="1" ht="16.5" customHeight="1">
      <c r="A686" s="913"/>
      <c r="B686" s="211"/>
      <c r="C686" s="212"/>
      <c r="D686" s="212"/>
      <c r="E686" s="219" t="s">
        <v>54</v>
      </c>
      <c r="F686" s="221">
        <f>F684</f>
        <v>1928000</v>
      </c>
      <c r="G686" s="221"/>
      <c r="H686" s="221"/>
      <c r="I686" s="222"/>
      <c r="J686" s="221"/>
      <c r="K686" s="221"/>
      <c r="L686" s="221"/>
      <c r="M686" s="221">
        <f>F686*60%</f>
        <v>1156800</v>
      </c>
      <c r="N686" s="221"/>
      <c r="O686" s="221">
        <f t="shared" si="881"/>
        <v>40000</v>
      </c>
      <c r="P686" s="221"/>
      <c r="Q686" s="221">
        <f t="shared" si="879"/>
        <v>13840</v>
      </c>
      <c r="R686" s="221">
        <f t="shared" si="882"/>
        <v>553600</v>
      </c>
      <c r="S686" s="221"/>
      <c r="T686" s="222"/>
      <c r="U686" s="214">
        <f t="shared" si="880"/>
        <v>3678400</v>
      </c>
      <c r="V686" s="250"/>
      <c r="W686" s="224">
        <f t="shared" si="873"/>
        <v>306540</v>
      </c>
      <c r="X686" s="225">
        <f t="shared" si="874"/>
        <v>165530</v>
      </c>
      <c r="Y686" s="225">
        <f t="shared" si="875"/>
        <v>118820</v>
      </c>
      <c r="Z686" s="225">
        <f t="shared" si="872"/>
        <v>8770</v>
      </c>
      <c r="AA686" s="225">
        <f t="shared" si="876"/>
        <v>33110</v>
      </c>
      <c r="AB686" s="225">
        <f t="shared" si="877"/>
        <v>29430</v>
      </c>
      <c r="AC686" s="252">
        <f t="shared" si="878"/>
        <v>662200</v>
      </c>
    </row>
    <row r="687" spans="1:29" s="204" customFormat="1" ht="16.5" customHeight="1">
      <c r="A687" s="913"/>
      <c r="B687" s="211"/>
      <c r="C687" s="212"/>
      <c r="D687" s="212"/>
      <c r="E687" s="219" t="s">
        <v>55</v>
      </c>
      <c r="F687" s="222">
        <f>F686</f>
        <v>1928000</v>
      </c>
      <c r="G687" s="221"/>
      <c r="H687" s="221"/>
      <c r="I687" s="222"/>
      <c r="J687" s="221"/>
      <c r="K687" s="221"/>
      <c r="L687" s="221"/>
      <c r="M687" s="221">
        <v>0</v>
      </c>
      <c r="N687" s="221"/>
      <c r="O687" s="221">
        <f t="shared" si="881"/>
        <v>40000</v>
      </c>
      <c r="P687" s="221"/>
      <c r="Q687" s="221">
        <f t="shared" si="879"/>
        <v>13840</v>
      </c>
      <c r="R687" s="221">
        <f t="shared" si="882"/>
        <v>553600</v>
      </c>
      <c r="S687" s="221"/>
      <c r="T687" s="222"/>
      <c r="U687" s="214">
        <f t="shared" si="880"/>
        <v>2521600</v>
      </c>
      <c r="V687" s="250"/>
      <c r="W687" s="224">
        <f t="shared" si="873"/>
        <v>210140</v>
      </c>
      <c r="X687" s="225">
        <f t="shared" si="874"/>
        <v>113470</v>
      </c>
      <c r="Y687" s="225">
        <f t="shared" si="875"/>
        <v>81450</v>
      </c>
      <c r="Z687" s="225">
        <f t="shared" si="872"/>
        <v>6020</v>
      </c>
      <c r="AA687" s="225">
        <f t="shared" si="876"/>
        <v>22690</v>
      </c>
      <c r="AB687" s="225">
        <f t="shared" si="877"/>
        <v>20170</v>
      </c>
      <c r="AC687" s="252">
        <f t="shared" si="878"/>
        <v>453940</v>
      </c>
    </row>
    <row r="688" spans="1:29" s="204" customFormat="1" ht="16.5" customHeight="1">
      <c r="A688" s="913"/>
      <c r="B688" s="211"/>
      <c r="C688" s="212"/>
      <c r="D688" s="212"/>
      <c r="E688" s="219" t="s">
        <v>56</v>
      </c>
      <c r="F688" s="221">
        <f>F687</f>
        <v>1928000</v>
      </c>
      <c r="G688" s="221"/>
      <c r="H688" s="221"/>
      <c r="I688" s="222"/>
      <c r="J688" s="221"/>
      <c r="K688" s="221"/>
      <c r="L688" s="221"/>
      <c r="M688" s="221">
        <v>0</v>
      </c>
      <c r="N688" s="221"/>
      <c r="O688" s="221">
        <f t="shared" si="881"/>
        <v>40000</v>
      </c>
      <c r="P688" s="221"/>
      <c r="Q688" s="221">
        <f t="shared" si="879"/>
        <v>13840</v>
      </c>
      <c r="R688" s="221">
        <f t="shared" si="882"/>
        <v>553600</v>
      </c>
      <c r="S688" s="221"/>
      <c r="T688" s="222"/>
      <c r="U688" s="214">
        <f t="shared" si="880"/>
        <v>2521600</v>
      </c>
      <c r="V688" s="250"/>
      <c r="W688" s="224">
        <f t="shared" si="873"/>
        <v>210140</v>
      </c>
      <c r="X688" s="225">
        <f t="shared" si="874"/>
        <v>113470</v>
      </c>
      <c r="Y688" s="225">
        <f t="shared" si="875"/>
        <v>81450</v>
      </c>
      <c r="Z688" s="225">
        <f t="shared" si="872"/>
        <v>6020</v>
      </c>
      <c r="AA688" s="225">
        <f t="shared" si="876"/>
        <v>22690</v>
      </c>
      <c r="AB688" s="225">
        <f t="shared" si="877"/>
        <v>20170</v>
      </c>
      <c r="AC688" s="252">
        <f t="shared" si="878"/>
        <v>453940</v>
      </c>
    </row>
    <row r="689" spans="1:29" s="204" customFormat="1" ht="16.5" customHeight="1">
      <c r="A689" s="331"/>
      <c r="B689" s="254"/>
      <c r="C689" s="255"/>
      <c r="D689" s="255"/>
      <c r="E689" s="256" t="s">
        <v>281</v>
      </c>
      <c r="F689" s="257">
        <f>F688</f>
        <v>1928000</v>
      </c>
      <c r="G689" s="257"/>
      <c r="H689" s="257"/>
      <c r="I689" s="258"/>
      <c r="J689" s="257"/>
      <c r="K689" s="257"/>
      <c r="L689" s="257"/>
      <c r="M689" s="257">
        <v>0</v>
      </c>
      <c r="N689" s="257"/>
      <c r="O689" s="257">
        <f t="shared" si="881"/>
        <v>40000</v>
      </c>
      <c r="P689" s="257"/>
      <c r="Q689" s="257">
        <f t="shared" si="879"/>
        <v>13840</v>
      </c>
      <c r="R689" s="257">
        <f>Q689*40*2</f>
        <v>1107200</v>
      </c>
      <c r="S689" s="257"/>
      <c r="T689" s="258"/>
      <c r="U689" s="259">
        <f t="shared" si="880"/>
        <v>3075200</v>
      </c>
      <c r="V689" s="260"/>
      <c r="W689" s="262">
        <f t="shared" si="873"/>
        <v>256270</v>
      </c>
      <c r="X689" s="263">
        <f t="shared" si="874"/>
        <v>138380</v>
      </c>
      <c r="Y689" s="263">
        <f t="shared" si="875"/>
        <v>99330</v>
      </c>
      <c r="Z689" s="263">
        <f t="shared" si="872"/>
        <v>7340</v>
      </c>
      <c r="AA689" s="263">
        <f t="shared" si="876"/>
        <v>27680</v>
      </c>
      <c r="AB689" s="263">
        <f t="shared" si="877"/>
        <v>24600</v>
      </c>
      <c r="AC689" s="252">
        <f t="shared" si="878"/>
        <v>553600</v>
      </c>
    </row>
    <row r="690" spans="1:29" s="204" customFormat="1" ht="16.5" customHeight="1">
      <c r="A690" s="331">
        <v>2</v>
      </c>
      <c r="B690" s="254" t="s">
        <v>840</v>
      </c>
      <c r="C690" s="255" t="s">
        <v>609</v>
      </c>
      <c r="D690" s="255">
        <v>1</v>
      </c>
      <c r="E690" s="291" t="s">
        <v>86</v>
      </c>
      <c r="F690" s="259">
        <f t="shared" ref="F690:P690" si="883">SUM(F691:F702)</f>
        <v>28816000</v>
      </c>
      <c r="G690" s="259">
        <f t="shared" si="883"/>
        <v>0</v>
      </c>
      <c r="H690" s="259">
        <f t="shared" si="883"/>
        <v>0</v>
      </c>
      <c r="I690" s="259">
        <f t="shared" si="883"/>
        <v>0</v>
      </c>
      <c r="J690" s="259">
        <f t="shared" si="883"/>
        <v>0</v>
      </c>
      <c r="K690" s="259">
        <f t="shared" si="883"/>
        <v>0</v>
      </c>
      <c r="L690" s="259">
        <f t="shared" si="883"/>
        <v>0</v>
      </c>
      <c r="M690" s="259">
        <f t="shared" si="883"/>
        <v>2894400</v>
      </c>
      <c r="N690" s="259">
        <f t="shared" si="883"/>
        <v>0</v>
      </c>
      <c r="O690" s="259">
        <f t="shared" si="883"/>
        <v>720000</v>
      </c>
      <c r="P690" s="259">
        <f t="shared" si="883"/>
        <v>0</v>
      </c>
      <c r="Q690" s="259"/>
      <c r="R690" s="259">
        <f t="shared" ref="R690:U690" si="884">SUM(R691:R702)</f>
        <v>7588800</v>
      </c>
      <c r="S690" s="259">
        <f t="shared" si="884"/>
        <v>1034000</v>
      </c>
      <c r="T690" s="259">
        <f t="shared" si="884"/>
        <v>0</v>
      </c>
      <c r="U690" s="259">
        <f t="shared" si="884"/>
        <v>41053200</v>
      </c>
      <c r="V690" s="260"/>
      <c r="W690" s="345">
        <f t="shared" ref="W690:AB690" si="885">SUM(W691:W702)</f>
        <v>3435410</v>
      </c>
      <c r="X690" s="259">
        <f t="shared" si="885"/>
        <v>1847430</v>
      </c>
      <c r="Y690" s="259">
        <f t="shared" si="885"/>
        <v>1326060</v>
      </c>
      <c r="Z690" s="259">
        <f t="shared" si="885"/>
        <v>97910</v>
      </c>
      <c r="AA690" s="259">
        <f t="shared" si="885"/>
        <v>371020</v>
      </c>
      <c r="AB690" s="259">
        <f t="shared" si="885"/>
        <v>329800</v>
      </c>
      <c r="AC690" s="337">
        <f>SUM(AC691:AC702)</f>
        <v>7407630</v>
      </c>
    </row>
    <row r="691" spans="1:29" s="204" customFormat="1" ht="16.5" customHeight="1">
      <c r="A691" s="912"/>
      <c r="B691" s="239" t="s">
        <v>902</v>
      </c>
      <c r="C691" s="310">
        <v>11</v>
      </c>
      <c r="D691" s="310"/>
      <c r="E691" s="311" t="s">
        <v>389</v>
      </c>
      <c r="F691" s="346">
        <v>2380000</v>
      </c>
      <c r="G691" s="242"/>
      <c r="H691" s="294"/>
      <c r="I691" s="243"/>
      <c r="J691" s="242"/>
      <c r="K691" s="242"/>
      <c r="L691" s="242"/>
      <c r="M691" s="221"/>
      <c r="N691" s="242"/>
      <c r="O691" s="242">
        <v>60000</v>
      </c>
      <c r="P691" s="242"/>
      <c r="Q691" s="242"/>
      <c r="R691" s="221">
        <v>0</v>
      </c>
      <c r="S691" s="242"/>
      <c r="T691" s="243"/>
      <c r="U691" s="214">
        <f t="shared" ref="U691:U701" si="886">SUM(F691,M691,O691,R691,T691,S691)</f>
        <v>2440000</v>
      </c>
      <c r="V691" s="344"/>
      <c r="W691" s="224">
        <f>ROUNDUP((U691+S691)*1/12,-1)</f>
        <v>203340</v>
      </c>
      <c r="X691" s="225">
        <f>ROUND(U691*4.5%,-1)</f>
        <v>109800</v>
      </c>
      <c r="Y691" s="225">
        <f>ROUNDUP((U691-L691)*3.23%,-1)</f>
        <v>78820</v>
      </c>
      <c r="Z691" s="225">
        <f t="shared" ref="Z691:Z702" si="887">ROUNDUP(Y691*7.38%,-1)</f>
        <v>5820</v>
      </c>
      <c r="AA691" s="225">
        <f>ROUND((U691+S691)*0.9%,-1)</f>
        <v>21960</v>
      </c>
      <c r="AB691" s="225">
        <f>ROUND((U691+S691)*0.8%,-1)</f>
        <v>19520</v>
      </c>
      <c r="AC691" s="252">
        <f>SUM(W691:AB691)</f>
        <v>439260</v>
      </c>
    </row>
    <row r="692" spans="1:29" s="204" customFormat="1" ht="16.5" customHeight="1">
      <c r="A692" s="913"/>
      <c r="B692" s="211"/>
      <c r="C692" s="212"/>
      <c r="D692" s="212"/>
      <c r="E692" s="219" t="s">
        <v>274</v>
      </c>
      <c r="F692" s="221">
        <f>F691</f>
        <v>2380000</v>
      </c>
      <c r="G692" s="221"/>
      <c r="H692" s="221"/>
      <c r="I692" s="222"/>
      <c r="J692" s="221"/>
      <c r="K692" s="221"/>
      <c r="L692" s="221"/>
      <c r="M692" s="221">
        <f>F692*60%</f>
        <v>1428000</v>
      </c>
      <c r="N692" s="221"/>
      <c r="O692" s="221">
        <f>O691</f>
        <v>60000</v>
      </c>
      <c r="P692" s="221"/>
      <c r="Q692" s="221">
        <f t="shared" ref="Q692:Q702" si="888">ROUND((F691+T691)*1/209*1.5,-1)</f>
        <v>17080</v>
      </c>
      <c r="R692" s="221">
        <f>Q692*20</f>
        <v>341600</v>
      </c>
      <c r="S692" s="221">
        <f t="shared" ref="S692:S701" si="889">Q692*5</f>
        <v>85400</v>
      </c>
      <c r="T692" s="222"/>
      <c r="U692" s="214">
        <f t="shared" si="886"/>
        <v>4295000</v>
      </c>
      <c r="V692" s="250"/>
      <c r="W692" s="224">
        <f>ROUNDUP((U692+S692)*1/12,-1)</f>
        <v>365040</v>
      </c>
      <c r="X692" s="225">
        <f>ROUND(U692*4.5%,-1)</f>
        <v>193280</v>
      </c>
      <c r="Y692" s="225">
        <f t="shared" ref="Y692:Y702" si="890">ROUNDUP((U692-L692)*3.23%,-1)</f>
        <v>138730</v>
      </c>
      <c r="Z692" s="225">
        <f t="shared" si="887"/>
        <v>10240</v>
      </c>
      <c r="AA692" s="225">
        <f t="shared" ref="AA692:AA693" si="891">ROUND((U692+S692)*0.9%,-1)</f>
        <v>39420</v>
      </c>
      <c r="AB692" s="225">
        <f t="shared" ref="AB692:AB693" si="892">ROUND((U692+S692)*0.8%,-1)</f>
        <v>35040</v>
      </c>
      <c r="AC692" s="252">
        <f t="shared" ref="AC692:AC702" si="893">SUM(W692:AB692)</f>
        <v>781750</v>
      </c>
    </row>
    <row r="693" spans="1:29" s="204" customFormat="1" ht="16.5" customHeight="1">
      <c r="A693" s="913"/>
      <c r="B693" s="211"/>
      <c r="C693" s="212"/>
      <c r="D693" s="212"/>
      <c r="E693" s="219" t="s">
        <v>275</v>
      </c>
      <c r="F693" s="221">
        <f>F691</f>
        <v>2380000</v>
      </c>
      <c r="G693" s="221"/>
      <c r="H693" s="221"/>
      <c r="I693" s="222"/>
      <c r="J693" s="221"/>
      <c r="K693" s="221"/>
      <c r="L693" s="221"/>
      <c r="M693" s="221" t="s">
        <v>60</v>
      </c>
      <c r="N693" s="221"/>
      <c r="O693" s="221">
        <f t="shared" ref="O693:O702" si="894">O692</f>
        <v>60000</v>
      </c>
      <c r="P693" s="221"/>
      <c r="Q693" s="221">
        <f t="shared" si="888"/>
        <v>17080</v>
      </c>
      <c r="R693" s="221">
        <f t="shared" ref="R693" si="895">Q693*20</f>
        <v>341600</v>
      </c>
      <c r="S693" s="221">
        <f t="shared" si="889"/>
        <v>85400</v>
      </c>
      <c r="T693" s="222"/>
      <c r="U693" s="214">
        <f t="shared" si="886"/>
        <v>2867000</v>
      </c>
      <c r="V693" s="250"/>
      <c r="W693" s="224">
        <f t="shared" ref="W693" si="896">ROUNDUP((U693+S693)*1/12,-1)</f>
        <v>246040</v>
      </c>
      <c r="X693" s="225">
        <f>ROUND(U693*4.5%,-1)</f>
        <v>129020</v>
      </c>
      <c r="Y693" s="225">
        <f t="shared" si="890"/>
        <v>92610</v>
      </c>
      <c r="Z693" s="225">
        <f t="shared" si="887"/>
        <v>6840</v>
      </c>
      <c r="AA693" s="225">
        <f t="shared" si="891"/>
        <v>26570</v>
      </c>
      <c r="AB693" s="225">
        <f t="shared" si="892"/>
        <v>23620</v>
      </c>
      <c r="AC693" s="252">
        <f t="shared" si="893"/>
        <v>524700</v>
      </c>
    </row>
    <row r="694" spans="1:29" s="204" customFormat="1" ht="16.5" customHeight="1">
      <c r="A694" s="913"/>
      <c r="B694" s="212"/>
      <c r="C694" s="212"/>
      <c r="D694" s="212"/>
      <c r="E694" s="219" t="s">
        <v>392</v>
      </c>
      <c r="F694" s="221">
        <f t="shared" ref="F694:F698" si="897">F692</f>
        <v>2380000</v>
      </c>
      <c r="G694" s="221"/>
      <c r="H694" s="221"/>
      <c r="I694" s="222"/>
      <c r="J694" s="221"/>
      <c r="K694" s="221"/>
      <c r="L694" s="221"/>
      <c r="M694" s="221"/>
      <c r="N694" s="221"/>
      <c r="O694" s="221">
        <f t="shared" si="894"/>
        <v>60000</v>
      </c>
      <c r="P694" s="221"/>
      <c r="Q694" s="221">
        <f t="shared" si="888"/>
        <v>17080</v>
      </c>
      <c r="R694" s="221">
        <f t="shared" ref="R694:R701" si="898">Q694*40</f>
        <v>683200</v>
      </c>
      <c r="S694" s="221">
        <f t="shared" si="889"/>
        <v>85400</v>
      </c>
      <c r="T694" s="222"/>
      <c r="U694" s="214">
        <f t="shared" si="886"/>
        <v>3208600</v>
      </c>
      <c r="V694" s="250"/>
      <c r="W694" s="224">
        <f t="shared" ref="W694:W702" si="899">ROUNDUP(U694*1/12,-1)</f>
        <v>267390</v>
      </c>
      <c r="X694" s="225">
        <f t="shared" ref="X694:X702" si="900">ROUND(U694*4.5%,-1)</f>
        <v>144390</v>
      </c>
      <c r="Y694" s="225">
        <f t="shared" si="890"/>
        <v>103640</v>
      </c>
      <c r="Z694" s="225">
        <f t="shared" si="887"/>
        <v>7650</v>
      </c>
      <c r="AA694" s="225">
        <f t="shared" ref="AA694:AA702" si="901">ROUND(U694*0.9%,-1)</f>
        <v>28880</v>
      </c>
      <c r="AB694" s="225">
        <f t="shared" ref="AB694:AB702" si="902">ROUND(U694*0.8%,-1)</f>
        <v>25670</v>
      </c>
      <c r="AC694" s="252">
        <f t="shared" si="893"/>
        <v>577620</v>
      </c>
    </row>
    <row r="695" spans="1:29" s="204" customFormat="1" ht="16.5" customHeight="1">
      <c r="A695" s="913"/>
      <c r="B695" s="212"/>
      <c r="C695" s="212"/>
      <c r="D695" s="212"/>
      <c r="E695" s="219" t="s">
        <v>393</v>
      </c>
      <c r="F695" s="221">
        <f t="shared" si="897"/>
        <v>2380000</v>
      </c>
      <c r="G695" s="221"/>
      <c r="H695" s="221"/>
      <c r="I695" s="222"/>
      <c r="J695" s="221"/>
      <c r="K695" s="221"/>
      <c r="L695" s="221"/>
      <c r="M695" s="221"/>
      <c r="N695" s="221"/>
      <c r="O695" s="221">
        <f t="shared" si="894"/>
        <v>60000</v>
      </c>
      <c r="P695" s="221"/>
      <c r="Q695" s="221">
        <f t="shared" si="888"/>
        <v>17080</v>
      </c>
      <c r="R695" s="221">
        <f t="shared" si="898"/>
        <v>683200</v>
      </c>
      <c r="S695" s="221">
        <f t="shared" si="889"/>
        <v>85400</v>
      </c>
      <c r="T695" s="222"/>
      <c r="U695" s="214">
        <f t="shared" si="886"/>
        <v>3208600</v>
      </c>
      <c r="V695" s="250"/>
      <c r="W695" s="224">
        <f t="shared" si="899"/>
        <v>267390</v>
      </c>
      <c r="X695" s="225">
        <f t="shared" si="900"/>
        <v>144390</v>
      </c>
      <c r="Y695" s="225">
        <f t="shared" si="890"/>
        <v>103640</v>
      </c>
      <c r="Z695" s="225">
        <f t="shared" si="887"/>
        <v>7650</v>
      </c>
      <c r="AA695" s="225">
        <f t="shared" si="901"/>
        <v>28880</v>
      </c>
      <c r="AB695" s="225">
        <f t="shared" si="902"/>
        <v>25670</v>
      </c>
      <c r="AC695" s="252">
        <f t="shared" si="893"/>
        <v>577620</v>
      </c>
    </row>
    <row r="696" spans="1:29" s="204" customFormat="1" ht="16.5" customHeight="1">
      <c r="A696" s="913"/>
      <c r="B696" s="211"/>
      <c r="C696" s="212"/>
      <c r="D696" s="212"/>
      <c r="E696" s="219" t="s">
        <v>394</v>
      </c>
      <c r="F696" s="221">
        <f t="shared" si="897"/>
        <v>2380000</v>
      </c>
      <c r="G696" s="221"/>
      <c r="H696" s="221"/>
      <c r="I696" s="222"/>
      <c r="J696" s="221"/>
      <c r="K696" s="221"/>
      <c r="L696" s="221"/>
      <c r="M696" s="221"/>
      <c r="N696" s="221"/>
      <c r="O696" s="221">
        <f t="shared" si="894"/>
        <v>60000</v>
      </c>
      <c r="P696" s="221"/>
      <c r="Q696" s="221">
        <f t="shared" si="888"/>
        <v>17080</v>
      </c>
      <c r="R696" s="221">
        <f t="shared" si="898"/>
        <v>683200</v>
      </c>
      <c r="S696" s="221">
        <f t="shared" si="889"/>
        <v>85400</v>
      </c>
      <c r="T696" s="222"/>
      <c r="U696" s="214">
        <f>SUM(F696,M696,O696,R696,T696,S696)</f>
        <v>3208600</v>
      </c>
      <c r="V696" s="250"/>
      <c r="W696" s="224">
        <f t="shared" si="899"/>
        <v>267390</v>
      </c>
      <c r="X696" s="225">
        <f t="shared" si="900"/>
        <v>144390</v>
      </c>
      <c r="Y696" s="225">
        <f t="shared" si="890"/>
        <v>103640</v>
      </c>
      <c r="Z696" s="225">
        <f t="shared" si="887"/>
        <v>7650</v>
      </c>
      <c r="AA696" s="225">
        <f t="shared" si="901"/>
        <v>28880</v>
      </c>
      <c r="AB696" s="225">
        <f t="shared" si="902"/>
        <v>25670</v>
      </c>
      <c r="AC696" s="252">
        <f t="shared" si="893"/>
        <v>577620</v>
      </c>
    </row>
    <row r="697" spans="1:29" s="204" customFormat="1" ht="16.5" customHeight="1">
      <c r="A697" s="913"/>
      <c r="B697" s="211"/>
      <c r="C697" s="212"/>
      <c r="D697" s="212"/>
      <c r="E697" s="219" t="s">
        <v>279</v>
      </c>
      <c r="F697" s="221">
        <f t="shared" si="897"/>
        <v>2380000</v>
      </c>
      <c r="G697" s="221"/>
      <c r="H697" s="220"/>
      <c r="I697" s="222"/>
      <c r="J697" s="221"/>
      <c r="K697" s="221"/>
      <c r="L697" s="221"/>
      <c r="M697" s="221"/>
      <c r="N697" s="221"/>
      <c r="O697" s="221">
        <f t="shared" si="894"/>
        <v>60000</v>
      </c>
      <c r="P697" s="221"/>
      <c r="Q697" s="221">
        <f t="shared" si="888"/>
        <v>17080</v>
      </c>
      <c r="R697" s="221">
        <f t="shared" si="898"/>
        <v>683200</v>
      </c>
      <c r="S697" s="221">
        <f t="shared" si="889"/>
        <v>85400</v>
      </c>
      <c r="T697" s="222"/>
      <c r="U697" s="214">
        <f t="shared" si="886"/>
        <v>3208600</v>
      </c>
      <c r="V697" s="250"/>
      <c r="W697" s="224">
        <f t="shared" si="899"/>
        <v>267390</v>
      </c>
      <c r="X697" s="225">
        <f t="shared" si="900"/>
        <v>144390</v>
      </c>
      <c r="Y697" s="225">
        <f t="shared" si="890"/>
        <v>103640</v>
      </c>
      <c r="Z697" s="225">
        <f t="shared" si="887"/>
        <v>7650</v>
      </c>
      <c r="AA697" s="225">
        <f t="shared" si="901"/>
        <v>28880</v>
      </c>
      <c r="AB697" s="225">
        <f t="shared" si="902"/>
        <v>25670</v>
      </c>
      <c r="AC697" s="252">
        <f t="shared" si="893"/>
        <v>577620</v>
      </c>
    </row>
    <row r="698" spans="1:29" s="204" customFormat="1" ht="16.5" customHeight="1">
      <c r="A698" s="913"/>
      <c r="B698" s="211"/>
      <c r="C698" s="212"/>
      <c r="D698" s="212"/>
      <c r="E698" s="219" t="s">
        <v>280</v>
      </c>
      <c r="F698" s="221">
        <f t="shared" si="897"/>
        <v>2380000</v>
      </c>
      <c r="G698" s="221"/>
      <c r="H698" s="221"/>
      <c r="I698" s="222"/>
      <c r="J698" s="221"/>
      <c r="K698" s="221"/>
      <c r="L698" s="221"/>
      <c r="M698" s="221"/>
      <c r="N698" s="221"/>
      <c r="O698" s="221">
        <f t="shared" si="894"/>
        <v>60000</v>
      </c>
      <c r="P698" s="221"/>
      <c r="Q698" s="221">
        <f t="shared" si="888"/>
        <v>17080</v>
      </c>
      <c r="R698" s="221">
        <f t="shared" si="898"/>
        <v>683200</v>
      </c>
      <c r="S698" s="221">
        <f t="shared" si="889"/>
        <v>85400</v>
      </c>
      <c r="T698" s="222"/>
      <c r="U698" s="214">
        <f t="shared" si="886"/>
        <v>3208600</v>
      </c>
      <c r="V698" s="250"/>
      <c r="W698" s="224">
        <f t="shared" si="899"/>
        <v>267390</v>
      </c>
      <c r="X698" s="225">
        <f t="shared" si="900"/>
        <v>144390</v>
      </c>
      <c r="Y698" s="225">
        <f t="shared" si="890"/>
        <v>103640</v>
      </c>
      <c r="Z698" s="225">
        <f t="shared" si="887"/>
        <v>7650</v>
      </c>
      <c r="AA698" s="225">
        <f t="shared" si="901"/>
        <v>28880</v>
      </c>
      <c r="AB698" s="225">
        <f t="shared" si="902"/>
        <v>25670</v>
      </c>
      <c r="AC698" s="252">
        <f t="shared" si="893"/>
        <v>577620</v>
      </c>
    </row>
    <row r="699" spans="1:29" s="204" customFormat="1" ht="16.5" customHeight="1">
      <c r="A699" s="913"/>
      <c r="B699" s="211"/>
      <c r="C699" s="310">
        <f>C691+1</f>
        <v>12</v>
      </c>
      <c r="D699" s="212"/>
      <c r="E699" s="311" t="s">
        <v>556</v>
      </c>
      <c r="F699" s="312">
        <v>2444000</v>
      </c>
      <c r="G699" s="221"/>
      <c r="H699" s="221"/>
      <c r="I699" s="222"/>
      <c r="J699" s="221"/>
      <c r="K699" s="221"/>
      <c r="L699" s="221"/>
      <c r="M699" s="221">
        <f t="shared" ref="M699" si="903">F699*60%</f>
        <v>1466400</v>
      </c>
      <c r="N699" s="221"/>
      <c r="O699" s="221">
        <f t="shared" si="894"/>
        <v>60000</v>
      </c>
      <c r="P699" s="221"/>
      <c r="Q699" s="221">
        <f t="shared" si="888"/>
        <v>17080</v>
      </c>
      <c r="R699" s="221">
        <f t="shared" si="898"/>
        <v>683200</v>
      </c>
      <c r="S699" s="221">
        <f t="shared" si="889"/>
        <v>85400</v>
      </c>
      <c r="T699" s="222"/>
      <c r="U699" s="214">
        <f t="shared" si="886"/>
        <v>4739000</v>
      </c>
      <c r="V699" s="250"/>
      <c r="W699" s="224">
        <f t="shared" si="899"/>
        <v>394920</v>
      </c>
      <c r="X699" s="225">
        <f t="shared" si="900"/>
        <v>213260</v>
      </c>
      <c r="Y699" s="225">
        <f t="shared" si="890"/>
        <v>153070</v>
      </c>
      <c r="Z699" s="225">
        <f t="shared" si="887"/>
        <v>11300</v>
      </c>
      <c r="AA699" s="225">
        <f t="shared" si="901"/>
        <v>42650</v>
      </c>
      <c r="AB699" s="225">
        <f t="shared" si="902"/>
        <v>37910</v>
      </c>
      <c r="AC699" s="252">
        <f t="shared" si="893"/>
        <v>853110</v>
      </c>
    </row>
    <row r="700" spans="1:29" s="204" customFormat="1" ht="16.5" customHeight="1">
      <c r="A700" s="913"/>
      <c r="B700" s="211"/>
      <c r="C700" s="212"/>
      <c r="D700" s="212"/>
      <c r="E700" s="219" t="s">
        <v>55</v>
      </c>
      <c r="F700" s="221">
        <f t="shared" ref="F700:F702" si="904">F699</f>
        <v>2444000</v>
      </c>
      <c r="G700" s="221"/>
      <c r="H700" s="221"/>
      <c r="I700" s="222"/>
      <c r="J700" s="221"/>
      <c r="K700" s="221"/>
      <c r="L700" s="221"/>
      <c r="M700" s="221"/>
      <c r="N700" s="221"/>
      <c r="O700" s="221">
        <f t="shared" si="894"/>
        <v>60000</v>
      </c>
      <c r="P700" s="221"/>
      <c r="Q700" s="221">
        <f t="shared" si="888"/>
        <v>17540</v>
      </c>
      <c r="R700" s="221">
        <f t="shared" si="898"/>
        <v>701600</v>
      </c>
      <c r="S700" s="221">
        <f t="shared" si="889"/>
        <v>87700</v>
      </c>
      <c r="T700" s="222"/>
      <c r="U700" s="214">
        <f t="shared" si="886"/>
        <v>3293300</v>
      </c>
      <c r="V700" s="250"/>
      <c r="W700" s="224">
        <f t="shared" si="899"/>
        <v>274450</v>
      </c>
      <c r="X700" s="225">
        <f t="shared" si="900"/>
        <v>148200</v>
      </c>
      <c r="Y700" s="225">
        <f t="shared" si="890"/>
        <v>106380</v>
      </c>
      <c r="Z700" s="225">
        <f t="shared" si="887"/>
        <v>7860</v>
      </c>
      <c r="AA700" s="225">
        <f t="shared" si="901"/>
        <v>29640</v>
      </c>
      <c r="AB700" s="225">
        <f t="shared" si="902"/>
        <v>26350</v>
      </c>
      <c r="AC700" s="252">
        <f t="shared" si="893"/>
        <v>592880</v>
      </c>
    </row>
    <row r="701" spans="1:29" s="204" customFormat="1" ht="16.5" customHeight="1">
      <c r="A701" s="913"/>
      <c r="B701" s="211"/>
      <c r="C701" s="212"/>
      <c r="D701" s="212"/>
      <c r="E701" s="219" t="s">
        <v>56</v>
      </c>
      <c r="F701" s="221">
        <f t="shared" si="904"/>
        <v>2444000</v>
      </c>
      <c r="G701" s="221"/>
      <c r="H701" s="221"/>
      <c r="I701" s="222"/>
      <c r="J701" s="221"/>
      <c r="K701" s="221"/>
      <c r="L701" s="221"/>
      <c r="M701" s="221"/>
      <c r="N701" s="221"/>
      <c r="O701" s="221">
        <f t="shared" si="894"/>
        <v>60000</v>
      </c>
      <c r="P701" s="221"/>
      <c r="Q701" s="221">
        <f t="shared" si="888"/>
        <v>17540</v>
      </c>
      <c r="R701" s="221">
        <f t="shared" si="898"/>
        <v>701600</v>
      </c>
      <c r="S701" s="221">
        <f t="shared" si="889"/>
        <v>87700</v>
      </c>
      <c r="T701" s="222"/>
      <c r="U701" s="214">
        <f t="shared" si="886"/>
        <v>3293300</v>
      </c>
      <c r="V701" s="250"/>
      <c r="W701" s="224">
        <f t="shared" si="899"/>
        <v>274450</v>
      </c>
      <c r="X701" s="225">
        <f t="shared" si="900"/>
        <v>148200</v>
      </c>
      <c r="Y701" s="225">
        <f t="shared" si="890"/>
        <v>106380</v>
      </c>
      <c r="Z701" s="225">
        <f t="shared" si="887"/>
        <v>7860</v>
      </c>
      <c r="AA701" s="225">
        <f t="shared" si="901"/>
        <v>29640</v>
      </c>
      <c r="AB701" s="225">
        <f t="shared" si="902"/>
        <v>26350</v>
      </c>
      <c r="AC701" s="252">
        <f t="shared" si="893"/>
        <v>592880</v>
      </c>
    </row>
    <row r="702" spans="1:29" s="204" customFormat="1" ht="16.5" customHeight="1">
      <c r="A702" s="331"/>
      <c r="B702" s="254"/>
      <c r="C702" s="255"/>
      <c r="D702" s="255"/>
      <c r="E702" s="256" t="s">
        <v>395</v>
      </c>
      <c r="F702" s="257">
        <f t="shared" si="904"/>
        <v>2444000</v>
      </c>
      <c r="G702" s="257"/>
      <c r="H702" s="257"/>
      <c r="I702" s="258"/>
      <c r="J702" s="257"/>
      <c r="K702" s="257"/>
      <c r="L702" s="257"/>
      <c r="M702" s="257"/>
      <c r="N702" s="257"/>
      <c r="O702" s="257">
        <f t="shared" si="894"/>
        <v>60000</v>
      </c>
      <c r="P702" s="257"/>
      <c r="Q702" s="257">
        <f t="shared" si="888"/>
        <v>17540</v>
      </c>
      <c r="R702" s="257">
        <f>Q702*40*2</f>
        <v>1403200</v>
      </c>
      <c r="S702" s="257">
        <f>(Q702*5)*2</f>
        <v>175400</v>
      </c>
      <c r="T702" s="258"/>
      <c r="U702" s="259">
        <f>SUM(F702,M702,O702,R702,T702,S702)</f>
        <v>4082600</v>
      </c>
      <c r="V702" s="260"/>
      <c r="W702" s="224">
        <f t="shared" si="899"/>
        <v>340220</v>
      </c>
      <c r="X702" s="225">
        <f t="shared" si="900"/>
        <v>183720</v>
      </c>
      <c r="Y702" s="225">
        <f t="shared" si="890"/>
        <v>131870</v>
      </c>
      <c r="Z702" s="225">
        <f t="shared" si="887"/>
        <v>9740</v>
      </c>
      <c r="AA702" s="225">
        <f t="shared" si="901"/>
        <v>36740</v>
      </c>
      <c r="AB702" s="225">
        <f t="shared" si="902"/>
        <v>32660</v>
      </c>
      <c r="AC702" s="252">
        <f t="shared" si="893"/>
        <v>734950</v>
      </c>
    </row>
    <row r="703" spans="1:29" s="204" customFormat="1" ht="15.75" customHeight="1">
      <c r="A703" s="331">
        <v>3</v>
      </c>
      <c r="B703" s="331" t="s">
        <v>639</v>
      </c>
      <c r="C703" s="332" t="s">
        <v>434</v>
      </c>
      <c r="D703" s="332">
        <v>1</v>
      </c>
      <c r="E703" s="333" t="s">
        <v>640</v>
      </c>
      <c r="F703" s="334">
        <f>SUM(F704:F715)</f>
        <v>26299000</v>
      </c>
      <c r="G703" s="334">
        <f t="shared" ref="G703:P703" si="905">SUM(G704:G715)</f>
        <v>0</v>
      </c>
      <c r="H703" s="334">
        <f t="shared" si="905"/>
        <v>0</v>
      </c>
      <c r="I703" s="334">
        <f t="shared" si="905"/>
        <v>0</v>
      </c>
      <c r="J703" s="334">
        <f t="shared" si="905"/>
        <v>0</v>
      </c>
      <c r="K703" s="334">
        <f t="shared" si="905"/>
        <v>0</v>
      </c>
      <c r="L703" s="334">
        <f t="shared" si="905"/>
        <v>0</v>
      </c>
      <c r="M703" s="334">
        <f t="shared" si="905"/>
        <v>2636400</v>
      </c>
      <c r="N703" s="334">
        <f t="shared" si="905"/>
        <v>0</v>
      </c>
      <c r="O703" s="334">
        <f t="shared" si="905"/>
        <v>0</v>
      </c>
      <c r="P703" s="334">
        <f t="shared" si="905"/>
        <v>0</v>
      </c>
      <c r="Q703" s="334"/>
      <c r="R703" s="334">
        <f t="shared" ref="R703:T703" si="906">SUM(R704:R715)</f>
        <v>7550800</v>
      </c>
      <c r="S703" s="334">
        <f t="shared" si="906"/>
        <v>0</v>
      </c>
      <c r="T703" s="334">
        <f t="shared" si="906"/>
        <v>0</v>
      </c>
      <c r="U703" s="334">
        <f>SUM(U704:U715)</f>
        <v>36486200</v>
      </c>
      <c r="V703" s="260"/>
      <c r="W703" s="345">
        <f t="shared" ref="W703:AB703" si="907">SUM(W704:W715)</f>
        <v>3040530</v>
      </c>
      <c r="X703" s="259">
        <f t="shared" si="907"/>
        <v>1628660</v>
      </c>
      <c r="Y703" s="259">
        <f t="shared" si="907"/>
        <v>1178540</v>
      </c>
      <c r="Z703" s="259">
        <f t="shared" si="907"/>
        <v>87070</v>
      </c>
      <c r="AA703" s="259">
        <f t="shared" si="907"/>
        <v>328370</v>
      </c>
      <c r="AB703" s="259">
        <f t="shared" si="907"/>
        <v>291880</v>
      </c>
      <c r="AC703" s="292">
        <f>SUM(AC704:AC715)</f>
        <v>6555050</v>
      </c>
    </row>
    <row r="704" spans="1:29" s="204" customFormat="1" ht="14.25" customHeight="1">
      <c r="A704" s="912"/>
      <c r="B704" s="338" t="s">
        <v>842</v>
      </c>
      <c r="C704" s="339">
        <v>7</v>
      </c>
      <c r="D704" s="339"/>
      <c r="E704" s="340" t="s">
        <v>389</v>
      </c>
      <c r="F704" s="341">
        <v>2132000</v>
      </c>
      <c r="G704" s="342"/>
      <c r="H704" s="343"/>
      <c r="I704" s="243"/>
      <c r="J704" s="242"/>
      <c r="K704" s="242"/>
      <c r="L704" s="242"/>
      <c r="M704" s="221" t="s">
        <v>60</v>
      </c>
      <c r="N704" s="242"/>
      <c r="O704" s="342"/>
      <c r="P704" s="242"/>
      <c r="Q704" s="242"/>
      <c r="R704" s="221"/>
      <c r="S704" s="342"/>
      <c r="T704" s="222"/>
      <c r="U704" s="214">
        <f t="shared" ref="U704:U712" si="908">SUM(F704,M704,O704,R704,T704)</f>
        <v>2132000</v>
      </c>
      <c r="V704" s="344"/>
      <c r="W704" s="224">
        <f>ROUNDUP((U704+S704)*1/12,-1)</f>
        <v>177670</v>
      </c>
      <c r="X704" s="225">
        <f t="shared" ref="X704:X714" si="909">ROUND(U704*4.5%,-1)</f>
        <v>95940</v>
      </c>
      <c r="Y704" s="347">
        <f>ROUNDUP((U704-L704)*3.23%,-1)</f>
        <v>68870</v>
      </c>
      <c r="Z704" s="225">
        <f t="shared" ref="Z704:Z715" si="910">ROUNDUP(Y704*7.38%,-1)</f>
        <v>5090</v>
      </c>
      <c r="AA704" s="225">
        <f>ROUND((U704+S704)*0.9%,-1)</f>
        <v>19190</v>
      </c>
      <c r="AB704" s="225">
        <f>ROUND((U704+S704)*0.8%,-1)</f>
        <v>17060</v>
      </c>
      <c r="AC704" s="252">
        <f t="shared" ref="AC704:AC715" si="911">SUM(W704:AB704)</f>
        <v>383820</v>
      </c>
    </row>
    <row r="705" spans="1:29" s="204" customFormat="1" ht="16.5" customHeight="1">
      <c r="A705" s="913"/>
      <c r="B705" s="211"/>
      <c r="C705" s="310">
        <f>C704+1</f>
        <v>8</v>
      </c>
      <c r="D705" s="310"/>
      <c r="E705" s="311" t="s">
        <v>440</v>
      </c>
      <c r="F705" s="312">
        <v>2197000</v>
      </c>
      <c r="G705" s="221"/>
      <c r="H705" s="221"/>
      <c r="I705" s="222"/>
      <c r="J705" s="221"/>
      <c r="K705" s="221"/>
      <c r="L705" s="221"/>
      <c r="M705" s="221">
        <f>F705*60%</f>
        <v>1318200</v>
      </c>
      <c r="N705" s="221"/>
      <c r="O705" s="221"/>
      <c r="P705" s="221"/>
      <c r="Q705" s="221">
        <f>ROUND((F704+T704)*1/209*1.5,-1)</f>
        <v>15300</v>
      </c>
      <c r="R705" s="221">
        <f>Q705*40</f>
        <v>612000</v>
      </c>
      <c r="S705" s="221"/>
      <c r="T705" s="222"/>
      <c r="U705" s="214">
        <f>SUM(F705,M705,O705,R705,T705)</f>
        <v>4127200</v>
      </c>
      <c r="V705" s="250"/>
      <c r="W705" s="224">
        <f t="shared" ref="W705:W715" si="912">ROUNDUP((U705+S705)*1/12,-1)</f>
        <v>343940</v>
      </c>
      <c r="X705" s="225">
        <f t="shared" si="909"/>
        <v>185720</v>
      </c>
      <c r="Y705" s="225">
        <f t="shared" ref="Y705:Y715" si="913">ROUNDUP((U705-L705)*3.23%,-1)</f>
        <v>133310</v>
      </c>
      <c r="Z705" s="225">
        <f t="shared" si="910"/>
        <v>9840</v>
      </c>
      <c r="AA705" s="225">
        <f t="shared" ref="AA705:AA715" si="914">ROUND((U705+S705)*0.9%,-1)</f>
        <v>37140</v>
      </c>
      <c r="AB705" s="225">
        <f t="shared" ref="AB705:AB715" si="915">ROUND((U705+S705)*0.8%,-1)</f>
        <v>33020</v>
      </c>
      <c r="AC705" s="252">
        <f t="shared" si="911"/>
        <v>742970</v>
      </c>
    </row>
    <row r="706" spans="1:29" s="204" customFormat="1" ht="16.5" customHeight="1">
      <c r="A706" s="913"/>
      <c r="B706" s="211"/>
      <c r="C706" s="212"/>
      <c r="D706" s="212"/>
      <c r="E706" s="219" t="s">
        <v>391</v>
      </c>
      <c r="F706" s="221">
        <f>F705</f>
        <v>2197000</v>
      </c>
      <c r="G706" s="221"/>
      <c r="H706" s="221"/>
      <c r="I706" s="222"/>
      <c r="J706" s="221"/>
      <c r="K706" s="221"/>
      <c r="L706" s="221"/>
      <c r="M706" s="221"/>
      <c r="N706" s="221"/>
      <c r="O706" s="221"/>
      <c r="P706" s="221"/>
      <c r="Q706" s="221">
        <f>ROUND((F705+T705)*1/209*1.5,-1)</f>
        <v>15770</v>
      </c>
      <c r="R706" s="221">
        <f t="shared" ref="R706:R714" si="916">Q706*40</f>
        <v>630800</v>
      </c>
      <c r="S706" s="221"/>
      <c r="T706" s="222"/>
      <c r="U706" s="214">
        <f t="shared" si="908"/>
        <v>2827800</v>
      </c>
      <c r="V706" s="250"/>
      <c r="W706" s="224">
        <f t="shared" si="912"/>
        <v>235650</v>
      </c>
      <c r="X706" s="225">
        <f t="shared" si="909"/>
        <v>127250</v>
      </c>
      <c r="Y706" s="225">
        <f t="shared" si="913"/>
        <v>91340</v>
      </c>
      <c r="Z706" s="225">
        <f t="shared" si="910"/>
        <v>6750</v>
      </c>
      <c r="AA706" s="225">
        <f t="shared" si="914"/>
        <v>25450</v>
      </c>
      <c r="AB706" s="225">
        <f t="shared" si="915"/>
        <v>22620</v>
      </c>
      <c r="AC706" s="252">
        <f t="shared" si="911"/>
        <v>509060</v>
      </c>
    </row>
    <row r="707" spans="1:29" s="204" customFormat="1" ht="16.5" customHeight="1">
      <c r="A707" s="913"/>
      <c r="B707" s="211"/>
      <c r="C707" s="212"/>
      <c r="D707" s="212"/>
      <c r="E707" s="219" t="s">
        <v>392</v>
      </c>
      <c r="F707" s="221">
        <f>F706</f>
        <v>2197000</v>
      </c>
      <c r="G707" s="221"/>
      <c r="H707" s="221"/>
      <c r="I707" s="222"/>
      <c r="J707" s="221"/>
      <c r="K707" s="221"/>
      <c r="L707" s="221"/>
      <c r="M707" s="221"/>
      <c r="N707" s="221"/>
      <c r="O707" s="221"/>
      <c r="P707" s="221"/>
      <c r="Q707" s="221">
        <f t="shared" ref="Q707:Q715" si="917">ROUND((F706+T706)*1/209*1.5,-1)</f>
        <v>15770</v>
      </c>
      <c r="R707" s="221">
        <f t="shared" si="916"/>
        <v>630800</v>
      </c>
      <c r="S707" s="221"/>
      <c r="T707" s="222"/>
      <c r="U707" s="214">
        <f>SUM(F707,M707,O707,R707,T707)</f>
        <v>2827800</v>
      </c>
      <c r="V707" s="250"/>
      <c r="W707" s="224">
        <f t="shared" si="912"/>
        <v>235650</v>
      </c>
      <c r="X707" s="225">
        <f t="shared" si="909"/>
        <v>127250</v>
      </c>
      <c r="Y707" s="225">
        <f t="shared" si="913"/>
        <v>91340</v>
      </c>
      <c r="Z707" s="225">
        <f t="shared" si="910"/>
        <v>6750</v>
      </c>
      <c r="AA707" s="225">
        <f t="shared" si="914"/>
        <v>25450</v>
      </c>
      <c r="AB707" s="225">
        <f t="shared" si="915"/>
        <v>22620</v>
      </c>
      <c r="AC707" s="252">
        <f t="shared" si="911"/>
        <v>509060</v>
      </c>
    </row>
    <row r="708" spans="1:29" s="204" customFormat="1" ht="16.5" customHeight="1">
      <c r="A708" s="913"/>
      <c r="B708" s="211"/>
      <c r="C708" s="212"/>
      <c r="D708" s="212"/>
      <c r="E708" s="219" t="s">
        <v>393</v>
      </c>
      <c r="F708" s="221">
        <f>F707</f>
        <v>2197000</v>
      </c>
      <c r="G708" s="221"/>
      <c r="H708" s="221"/>
      <c r="I708" s="222"/>
      <c r="J708" s="221"/>
      <c r="K708" s="221"/>
      <c r="L708" s="221"/>
      <c r="M708" s="221"/>
      <c r="N708" s="221"/>
      <c r="O708" s="221"/>
      <c r="P708" s="221"/>
      <c r="Q708" s="221">
        <f t="shared" si="917"/>
        <v>15770</v>
      </c>
      <c r="R708" s="221">
        <f t="shared" si="916"/>
        <v>630800</v>
      </c>
      <c r="S708" s="221"/>
      <c r="T708" s="222"/>
      <c r="U708" s="214">
        <f t="shared" si="908"/>
        <v>2827800</v>
      </c>
      <c r="V708" s="250"/>
      <c r="W708" s="224">
        <f t="shared" si="912"/>
        <v>235650</v>
      </c>
      <c r="X708" s="225">
        <f t="shared" si="909"/>
        <v>127250</v>
      </c>
      <c r="Y708" s="225">
        <f t="shared" si="913"/>
        <v>91340</v>
      </c>
      <c r="Z708" s="225">
        <f t="shared" si="910"/>
        <v>6750</v>
      </c>
      <c r="AA708" s="225">
        <f t="shared" si="914"/>
        <v>25450</v>
      </c>
      <c r="AB708" s="225">
        <f t="shared" si="915"/>
        <v>22620</v>
      </c>
      <c r="AC708" s="252">
        <f t="shared" si="911"/>
        <v>509060</v>
      </c>
    </row>
    <row r="709" spans="1:29" s="204" customFormat="1" ht="16.5" customHeight="1">
      <c r="A709" s="913"/>
      <c r="B709" s="211"/>
      <c r="C709" s="212"/>
      <c r="D709" s="212"/>
      <c r="E709" s="219" t="s">
        <v>394</v>
      </c>
      <c r="F709" s="221">
        <f t="shared" ref="F709:F714" si="918">F708</f>
        <v>2197000</v>
      </c>
      <c r="G709" s="221"/>
      <c r="H709" s="220"/>
      <c r="I709" s="222"/>
      <c r="J709" s="221"/>
      <c r="K709" s="221"/>
      <c r="L709" s="221"/>
      <c r="M709" s="221"/>
      <c r="N709" s="221"/>
      <c r="O709" s="221"/>
      <c r="P709" s="221"/>
      <c r="Q709" s="221">
        <f t="shared" si="917"/>
        <v>15770</v>
      </c>
      <c r="R709" s="221">
        <f t="shared" si="916"/>
        <v>630800</v>
      </c>
      <c r="S709" s="221"/>
      <c r="T709" s="222"/>
      <c r="U709" s="214">
        <f t="shared" si="908"/>
        <v>2827800</v>
      </c>
      <c r="V709" s="250"/>
      <c r="W709" s="224">
        <f t="shared" si="912"/>
        <v>235650</v>
      </c>
      <c r="X709" s="225">
        <f t="shared" si="909"/>
        <v>127250</v>
      </c>
      <c r="Y709" s="225">
        <f t="shared" si="913"/>
        <v>91340</v>
      </c>
      <c r="Z709" s="225">
        <f t="shared" si="910"/>
        <v>6750</v>
      </c>
      <c r="AA709" s="225">
        <f t="shared" si="914"/>
        <v>25450</v>
      </c>
      <c r="AB709" s="225">
        <f t="shared" si="915"/>
        <v>22620</v>
      </c>
      <c r="AC709" s="252">
        <f t="shared" si="911"/>
        <v>509060</v>
      </c>
    </row>
    <row r="710" spans="1:29" s="204" customFormat="1" ht="16.5" customHeight="1">
      <c r="A710" s="913"/>
      <c r="B710" s="211"/>
      <c r="C710" s="212"/>
      <c r="D710" s="212"/>
      <c r="E710" s="219" t="s">
        <v>279</v>
      </c>
      <c r="F710" s="221">
        <f t="shared" si="918"/>
        <v>2197000</v>
      </c>
      <c r="G710" s="221"/>
      <c r="H710" s="221"/>
      <c r="I710" s="222"/>
      <c r="J710" s="221"/>
      <c r="K710" s="221"/>
      <c r="L710" s="221"/>
      <c r="M710" s="221"/>
      <c r="N710" s="221"/>
      <c r="O710" s="221"/>
      <c r="P710" s="221"/>
      <c r="Q710" s="221">
        <f t="shared" si="917"/>
        <v>15770</v>
      </c>
      <c r="R710" s="221">
        <f t="shared" si="916"/>
        <v>630800</v>
      </c>
      <c r="S710" s="221"/>
      <c r="T710" s="222"/>
      <c r="U710" s="214">
        <f t="shared" si="908"/>
        <v>2827800</v>
      </c>
      <c r="V710" s="250"/>
      <c r="W710" s="224">
        <f t="shared" si="912"/>
        <v>235650</v>
      </c>
      <c r="X710" s="225">
        <f t="shared" si="909"/>
        <v>127250</v>
      </c>
      <c r="Y710" s="225">
        <f t="shared" si="913"/>
        <v>91340</v>
      </c>
      <c r="Z710" s="225">
        <f t="shared" si="910"/>
        <v>6750</v>
      </c>
      <c r="AA710" s="225">
        <f t="shared" si="914"/>
        <v>25450</v>
      </c>
      <c r="AB710" s="225">
        <f t="shared" si="915"/>
        <v>22620</v>
      </c>
      <c r="AC710" s="252">
        <f t="shared" si="911"/>
        <v>509060</v>
      </c>
    </row>
    <row r="711" spans="1:29" s="204" customFormat="1" ht="16.5" customHeight="1">
      <c r="A711" s="913"/>
      <c r="B711" s="211"/>
      <c r="C711" s="212"/>
      <c r="D711" s="212"/>
      <c r="E711" s="219" t="s">
        <v>280</v>
      </c>
      <c r="F711" s="221">
        <f t="shared" si="918"/>
        <v>2197000</v>
      </c>
      <c r="G711" s="221"/>
      <c r="H711" s="221"/>
      <c r="I711" s="222"/>
      <c r="J711" s="221"/>
      <c r="K711" s="221"/>
      <c r="L711" s="221"/>
      <c r="M711" s="221">
        <f>F711*60%</f>
        <v>1318200</v>
      </c>
      <c r="N711" s="221"/>
      <c r="O711" s="221"/>
      <c r="P711" s="221"/>
      <c r="Q711" s="221">
        <f t="shared" si="917"/>
        <v>15770</v>
      </c>
      <c r="R711" s="221">
        <f t="shared" si="916"/>
        <v>630800</v>
      </c>
      <c r="S711" s="221"/>
      <c r="T711" s="222"/>
      <c r="U711" s="214">
        <f t="shared" si="908"/>
        <v>4146000</v>
      </c>
      <c r="V711" s="250"/>
      <c r="W711" s="224">
        <f t="shared" si="912"/>
        <v>345500</v>
      </c>
      <c r="X711" s="225">
        <f t="shared" si="909"/>
        <v>186570</v>
      </c>
      <c r="Y711" s="225">
        <f t="shared" si="913"/>
        <v>133920</v>
      </c>
      <c r="Z711" s="225">
        <f t="shared" si="910"/>
        <v>9890</v>
      </c>
      <c r="AA711" s="225">
        <f t="shared" si="914"/>
        <v>37310</v>
      </c>
      <c r="AB711" s="225">
        <f t="shared" si="915"/>
        <v>33170</v>
      </c>
      <c r="AC711" s="252">
        <f t="shared" si="911"/>
        <v>746360</v>
      </c>
    </row>
    <row r="712" spans="1:29" s="204" customFormat="1" ht="16.5" customHeight="1">
      <c r="A712" s="913"/>
      <c r="B712" s="211"/>
      <c r="C712" s="212"/>
      <c r="D712" s="212"/>
      <c r="E712" s="219" t="s">
        <v>54</v>
      </c>
      <c r="F712" s="221">
        <f t="shared" si="918"/>
        <v>2197000</v>
      </c>
      <c r="G712" s="221"/>
      <c r="H712" s="221"/>
      <c r="I712" s="222"/>
      <c r="J712" s="221"/>
      <c r="K712" s="221"/>
      <c r="L712" s="221"/>
      <c r="M712" s="221"/>
      <c r="N712" s="221"/>
      <c r="O712" s="221"/>
      <c r="P712" s="221"/>
      <c r="Q712" s="221">
        <f t="shared" si="917"/>
        <v>15770</v>
      </c>
      <c r="R712" s="221">
        <f t="shared" si="916"/>
        <v>630800</v>
      </c>
      <c r="S712" s="221"/>
      <c r="T712" s="222"/>
      <c r="U712" s="214">
        <f t="shared" si="908"/>
        <v>2827800</v>
      </c>
      <c r="V712" s="250"/>
      <c r="W712" s="224">
        <f t="shared" si="912"/>
        <v>235650</v>
      </c>
      <c r="X712" s="225">
        <f t="shared" si="909"/>
        <v>127250</v>
      </c>
      <c r="Y712" s="225">
        <f t="shared" si="913"/>
        <v>91340</v>
      </c>
      <c r="Z712" s="225">
        <f t="shared" si="910"/>
        <v>6750</v>
      </c>
      <c r="AA712" s="225">
        <f t="shared" si="914"/>
        <v>25450</v>
      </c>
      <c r="AB712" s="225">
        <f t="shared" si="915"/>
        <v>22620</v>
      </c>
      <c r="AC712" s="252">
        <f t="shared" si="911"/>
        <v>509060</v>
      </c>
    </row>
    <row r="713" spans="1:29" s="204" customFormat="1" ht="16.5" customHeight="1">
      <c r="A713" s="913"/>
      <c r="B713" s="211"/>
      <c r="C713" s="212"/>
      <c r="D713" s="212"/>
      <c r="E713" s="219" t="s">
        <v>55</v>
      </c>
      <c r="F713" s="221">
        <f t="shared" si="918"/>
        <v>2197000</v>
      </c>
      <c r="G713" s="221"/>
      <c r="H713" s="221"/>
      <c r="I713" s="222"/>
      <c r="J713" s="221"/>
      <c r="K713" s="221"/>
      <c r="L713" s="221"/>
      <c r="M713" s="221"/>
      <c r="N713" s="221"/>
      <c r="O713" s="221"/>
      <c r="P713" s="221"/>
      <c r="Q713" s="221">
        <f t="shared" si="917"/>
        <v>15770</v>
      </c>
      <c r="R713" s="221">
        <f t="shared" si="916"/>
        <v>630800</v>
      </c>
      <c r="S713" s="221"/>
      <c r="T713" s="222"/>
      <c r="U713" s="214">
        <f>SUM(F713,M713,O713,R713,T713)</f>
        <v>2827800</v>
      </c>
      <c r="V713" s="250"/>
      <c r="W713" s="224">
        <f t="shared" si="912"/>
        <v>235650</v>
      </c>
      <c r="X713" s="225">
        <f t="shared" si="909"/>
        <v>127250</v>
      </c>
      <c r="Y713" s="225">
        <f t="shared" si="913"/>
        <v>91340</v>
      </c>
      <c r="Z713" s="225">
        <f t="shared" si="910"/>
        <v>6750</v>
      </c>
      <c r="AA713" s="225">
        <f t="shared" si="914"/>
        <v>25450</v>
      </c>
      <c r="AB713" s="225">
        <f t="shared" si="915"/>
        <v>22620</v>
      </c>
      <c r="AC713" s="252">
        <f t="shared" si="911"/>
        <v>509060</v>
      </c>
    </row>
    <row r="714" spans="1:29" s="204" customFormat="1" ht="16.5" customHeight="1">
      <c r="A714" s="913"/>
      <c r="B714" s="211"/>
      <c r="C714" s="212"/>
      <c r="D714" s="212"/>
      <c r="E714" s="219" t="s">
        <v>56</v>
      </c>
      <c r="F714" s="221">
        <f t="shared" si="918"/>
        <v>2197000</v>
      </c>
      <c r="G714" s="221"/>
      <c r="H714" s="221"/>
      <c r="I714" s="222"/>
      <c r="J714" s="221"/>
      <c r="K714" s="221"/>
      <c r="L714" s="221"/>
      <c r="M714" s="221"/>
      <c r="N714" s="221"/>
      <c r="O714" s="221"/>
      <c r="P714" s="221"/>
      <c r="Q714" s="221">
        <f t="shared" si="917"/>
        <v>15770</v>
      </c>
      <c r="R714" s="221">
        <f t="shared" si="916"/>
        <v>630800</v>
      </c>
      <c r="S714" s="221"/>
      <c r="T714" s="222"/>
      <c r="U714" s="214">
        <f>SUM(F714,M714,O714,R714,T714)</f>
        <v>2827800</v>
      </c>
      <c r="V714" s="250"/>
      <c r="W714" s="224">
        <f t="shared" si="912"/>
        <v>235650</v>
      </c>
      <c r="X714" s="225">
        <f t="shared" si="909"/>
        <v>127250</v>
      </c>
      <c r="Y714" s="225">
        <f t="shared" si="913"/>
        <v>91340</v>
      </c>
      <c r="Z714" s="225">
        <f t="shared" si="910"/>
        <v>6750</v>
      </c>
      <c r="AA714" s="225">
        <f t="shared" si="914"/>
        <v>25450</v>
      </c>
      <c r="AB714" s="225">
        <f t="shared" si="915"/>
        <v>22620</v>
      </c>
      <c r="AC714" s="252">
        <f t="shared" si="911"/>
        <v>509060</v>
      </c>
    </row>
    <row r="715" spans="1:29" ht="16.5" customHeight="1">
      <c r="A715" s="331"/>
      <c r="B715" s="254"/>
      <c r="C715" s="255"/>
      <c r="D715" s="255"/>
      <c r="E715" s="256" t="s">
        <v>395</v>
      </c>
      <c r="F715" s="257">
        <f>F714</f>
        <v>2197000</v>
      </c>
      <c r="G715" s="257"/>
      <c r="H715" s="257"/>
      <c r="I715" s="258"/>
      <c r="J715" s="257"/>
      <c r="K715" s="257"/>
      <c r="L715" s="257"/>
      <c r="M715" s="257">
        <v>0</v>
      </c>
      <c r="N715" s="257"/>
      <c r="O715" s="257"/>
      <c r="P715" s="257"/>
      <c r="Q715" s="257">
        <f t="shared" si="917"/>
        <v>15770</v>
      </c>
      <c r="R715" s="257">
        <f>Q715*40*2</f>
        <v>1261600</v>
      </c>
      <c r="S715" s="257"/>
      <c r="T715" s="258"/>
      <c r="U715" s="259">
        <f>SUM(F715,M715,O715,R715,T715)</f>
        <v>3458600</v>
      </c>
      <c r="V715" s="260"/>
      <c r="W715" s="262">
        <f t="shared" si="912"/>
        <v>288220</v>
      </c>
      <c r="X715" s="263">
        <v>142430</v>
      </c>
      <c r="Y715" s="263">
        <f t="shared" si="913"/>
        <v>111720</v>
      </c>
      <c r="Z715" s="263">
        <f t="shared" si="910"/>
        <v>8250</v>
      </c>
      <c r="AA715" s="263">
        <f t="shared" si="914"/>
        <v>31130</v>
      </c>
      <c r="AB715" s="263">
        <f t="shared" si="915"/>
        <v>27670</v>
      </c>
      <c r="AC715" s="264">
        <f t="shared" si="911"/>
        <v>609420</v>
      </c>
    </row>
    <row r="716" spans="1:29" s="204" customFormat="1" ht="17.25" customHeight="1">
      <c r="A716" s="271"/>
      <c r="B716" s="271"/>
      <c r="C716" s="271"/>
      <c r="D716" s="271"/>
      <c r="E716" s="271"/>
      <c r="F716" s="271"/>
      <c r="G716" s="271"/>
      <c r="H716" s="271"/>
      <c r="I716" s="271"/>
      <c r="J716" s="271"/>
      <c r="K716" s="271"/>
      <c r="L716" s="271"/>
      <c r="M716" s="271"/>
      <c r="N716" s="271"/>
      <c r="O716" s="271"/>
      <c r="P716" s="271"/>
      <c r="Q716" s="271"/>
      <c r="R716" s="271"/>
      <c r="S716" s="271"/>
      <c r="T716" s="271"/>
      <c r="U716" s="271"/>
      <c r="V716" s="304"/>
      <c r="W716" s="271"/>
      <c r="X716" s="271"/>
      <c r="Y716" s="271"/>
      <c r="Z716" s="271"/>
      <c r="AA716" s="271"/>
      <c r="AB716" s="271"/>
      <c r="AC716" s="271"/>
    </row>
  </sheetData>
  <mergeCells count="17">
    <mergeCell ref="A674:C674"/>
    <mergeCell ref="A643:A655"/>
    <mergeCell ref="A676:E676"/>
    <mergeCell ref="A136:A148"/>
    <mergeCell ref="A1:M1"/>
    <mergeCell ref="A110:A122"/>
    <mergeCell ref="A123:A135"/>
    <mergeCell ref="A32:A44"/>
    <mergeCell ref="A3:B3"/>
    <mergeCell ref="A84:A96"/>
    <mergeCell ref="A58:A70"/>
    <mergeCell ref="A19:A31"/>
    <mergeCell ref="A5:E5"/>
    <mergeCell ref="A6:A18"/>
    <mergeCell ref="A45:A57"/>
    <mergeCell ref="A71:A83"/>
    <mergeCell ref="A97:A109"/>
  </mergeCells>
  <phoneticPr fontId="2" type="noConversion"/>
  <pageMargins left="0.14000000000000001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6"/>
  <sheetViews>
    <sheetView workbookViewId="0">
      <pane xSplit="5" ySplit="5" topLeftCell="F6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A2" sqref="A2"/>
    </sheetView>
  </sheetViews>
  <sheetFormatPr defaultRowHeight="13.5"/>
  <cols>
    <col min="1" max="1" width="3.6640625" style="271" customWidth="1"/>
    <col min="2" max="2" width="10.33203125" style="271" hidden="1" customWidth="1"/>
    <col min="3" max="3" width="5.109375" style="271" hidden="1" customWidth="1"/>
    <col min="4" max="4" width="3" style="271" customWidth="1"/>
    <col min="5" max="5" width="8.88671875" style="271"/>
    <col min="6" max="11" width="15.77734375" style="271" hidden="1" customWidth="1"/>
    <col min="12" max="12" width="15.77734375" style="271" customWidth="1"/>
    <col min="13" max="18" width="15.77734375" style="271" hidden="1" customWidth="1"/>
    <col min="19" max="19" width="15.77734375" style="271" customWidth="1"/>
    <col min="20" max="20" width="8.88671875" style="304" customWidth="1"/>
    <col min="21" max="21" width="12.33203125" style="271" customWidth="1"/>
    <col min="22" max="22" width="13" style="271" hidden="1" customWidth="1"/>
    <col min="23" max="27" width="13" style="271" customWidth="1"/>
    <col min="28" max="28" width="13.21875" style="271" customWidth="1"/>
    <col min="29" max="16384" width="8.88671875" style="271"/>
  </cols>
  <sheetData>
    <row r="1" spans="1:27" s="187" customFormat="1" ht="36" customHeight="1">
      <c r="A1" s="184" t="s">
        <v>1016</v>
      </c>
      <c r="B1" s="184"/>
      <c r="C1" s="184"/>
      <c r="D1" s="184"/>
      <c r="E1" s="184"/>
      <c r="F1" s="184"/>
      <c r="G1" s="184"/>
      <c r="H1" s="184"/>
      <c r="I1" s="184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6"/>
      <c r="U1" s="185"/>
      <c r="V1" s="185"/>
      <c r="W1" s="185"/>
      <c r="X1" s="185"/>
      <c r="Y1" s="185"/>
      <c r="Z1" s="185"/>
      <c r="AA1" s="185"/>
    </row>
    <row r="2" spans="1:27" s="187" customFormat="1" ht="14.2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6"/>
      <c r="U2" s="185"/>
      <c r="V2" s="185"/>
      <c r="W2" s="185"/>
      <c r="X2" s="185"/>
      <c r="Y2" s="185"/>
      <c r="Z2" s="185"/>
      <c r="AA2" s="185"/>
    </row>
    <row r="3" spans="1:27" s="187" customFormat="1" ht="27.75" customHeight="1" thickBot="1">
      <c r="A3" s="1241" t="s">
        <v>642</v>
      </c>
      <c r="B3" s="1241"/>
      <c r="C3" s="1241"/>
      <c r="D3" s="1241"/>
      <c r="E3" s="1241"/>
      <c r="F3" s="188"/>
      <c r="G3" s="188"/>
      <c r="H3" s="188"/>
      <c r="I3" s="188"/>
      <c r="J3" s="188"/>
      <c r="K3" s="189"/>
      <c r="L3" s="189"/>
      <c r="M3" s="189"/>
      <c r="N3" s="190"/>
      <c r="O3" s="191"/>
      <c r="P3" s="191"/>
      <c r="Q3" s="191"/>
      <c r="R3" s="188"/>
      <c r="S3" s="188"/>
      <c r="T3" s="192"/>
      <c r="U3" s="188"/>
      <c r="V3" s="188"/>
      <c r="W3" s="188"/>
      <c r="X3" s="188"/>
      <c r="Y3" s="188"/>
      <c r="Z3" s="191"/>
      <c r="AA3" s="193" t="s">
        <v>65</v>
      </c>
    </row>
    <row r="4" spans="1:27" s="204" customFormat="1" ht="44.25" customHeight="1" thickBot="1">
      <c r="A4" s="194" t="s">
        <v>66</v>
      </c>
      <c r="B4" s="195" t="s">
        <v>67</v>
      </c>
      <c r="C4" s="195" t="s">
        <v>68</v>
      </c>
      <c r="D4" s="195" t="s">
        <v>69</v>
      </c>
      <c r="E4" s="195" t="s">
        <v>70</v>
      </c>
      <c r="F4" s="196" t="s">
        <v>71</v>
      </c>
      <c r="G4" s="197" t="s">
        <v>72</v>
      </c>
      <c r="H4" s="197" t="s">
        <v>73</v>
      </c>
      <c r="I4" s="197" t="s">
        <v>74</v>
      </c>
      <c r="J4" s="195" t="s">
        <v>75</v>
      </c>
      <c r="K4" s="197" t="s">
        <v>400</v>
      </c>
      <c r="L4" s="197" t="s">
        <v>713</v>
      </c>
      <c r="M4" s="197" t="s">
        <v>76</v>
      </c>
      <c r="N4" s="197" t="s">
        <v>388</v>
      </c>
      <c r="O4" s="197" t="s">
        <v>77</v>
      </c>
      <c r="P4" s="197" t="s">
        <v>401</v>
      </c>
      <c r="Q4" s="197" t="s">
        <v>326</v>
      </c>
      <c r="R4" s="197" t="s">
        <v>53</v>
      </c>
      <c r="S4" s="198" t="s">
        <v>643</v>
      </c>
      <c r="T4" s="199" t="s">
        <v>79</v>
      </c>
      <c r="U4" s="200" t="s">
        <v>38</v>
      </c>
      <c r="V4" s="201" t="s">
        <v>80</v>
      </c>
      <c r="W4" s="201" t="s">
        <v>864</v>
      </c>
      <c r="X4" s="202" t="s">
        <v>865</v>
      </c>
      <c r="Y4" s="198" t="s">
        <v>82</v>
      </c>
      <c r="Z4" s="202" t="s">
        <v>83</v>
      </c>
      <c r="AA4" s="203" t="s">
        <v>595</v>
      </c>
    </row>
    <row r="5" spans="1:27" s="210" customFormat="1" ht="41.25" customHeight="1" thickTop="1">
      <c r="A5" s="1249" t="s">
        <v>85</v>
      </c>
      <c r="B5" s="1243"/>
      <c r="C5" s="1243"/>
      <c r="D5" s="1243"/>
      <c r="E5" s="1243"/>
      <c r="F5" s="205"/>
      <c r="G5" s="205">
        <f t="shared" ref="G5:K5" si="0">G6+G19+G32</f>
        <v>0</v>
      </c>
      <c r="H5" s="205">
        <f t="shared" si="0"/>
        <v>0</v>
      </c>
      <c r="I5" s="205">
        <f t="shared" si="0"/>
        <v>0</v>
      </c>
      <c r="J5" s="205">
        <f t="shared" si="0"/>
        <v>0</v>
      </c>
      <c r="K5" s="205">
        <f t="shared" si="0"/>
        <v>0</v>
      </c>
      <c r="L5" s="205">
        <f>L6+L19+L32</f>
        <v>19000000</v>
      </c>
      <c r="M5" s="205">
        <f t="shared" ref="M5:S5" si="1">M6+M19+M32</f>
        <v>0</v>
      </c>
      <c r="N5" s="205">
        <f t="shared" si="1"/>
        <v>0</v>
      </c>
      <c r="O5" s="205">
        <f t="shared" si="1"/>
        <v>0</v>
      </c>
      <c r="P5" s="205">
        <f t="shared" si="1"/>
        <v>0</v>
      </c>
      <c r="Q5" s="205">
        <f t="shared" si="1"/>
        <v>0</v>
      </c>
      <c r="R5" s="205">
        <f t="shared" si="1"/>
        <v>0</v>
      </c>
      <c r="S5" s="205">
        <f t="shared" si="1"/>
        <v>19000000</v>
      </c>
      <c r="T5" s="206"/>
      <c r="U5" s="207">
        <f t="shared" ref="U5:AA5" si="2">U6+U19+U32</f>
        <v>1583330</v>
      </c>
      <c r="V5" s="208">
        <f t="shared" si="2"/>
        <v>0</v>
      </c>
      <c r="W5" s="208">
        <f t="shared" si="2"/>
        <v>613700</v>
      </c>
      <c r="X5" s="205">
        <f t="shared" si="2"/>
        <v>52240</v>
      </c>
      <c r="Y5" s="205">
        <f t="shared" si="2"/>
        <v>138600</v>
      </c>
      <c r="Z5" s="205">
        <f t="shared" si="2"/>
        <v>123200</v>
      </c>
      <c r="AA5" s="209">
        <f t="shared" si="2"/>
        <v>2511070</v>
      </c>
    </row>
    <row r="6" spans="1:27" s="204" customFormat="1" ht="41.25" customHeight="1">
      <c r="A6" s="1250">
        <v>1</v>
      </c>
      <c r="B6" s="211" t="s">
        <v>387</v>
      </c>
      <c r="C6" s="212"/>
      <c r="D6" s="212">
        <v>11</v>
      </c>
      <c r="E6" s="213" t="s">
        <v>86</v>
      </c>
      <c r="F6" s="214">
        <f t="shared" ref="F6:K6" si="3">SUM(F7:F18)</f>
        <v>0</v>
      </c>
      <c r="G6" s="214">
        <f t="shared" si="3"/>
        <v>0</v>
      </c>
      <c r="H6" s="214">
        <f t="shared" si="3"/>
        <v>0</v>
      </c>
      <c r="I6" s="214">
        <f t="shared" si="3"/>
        <v>0</v>
      </c>
      <c r="J6" s="214">
        <f t="shared" si="3"/>
        <v>0</v>
      </c>
      <c r="K6" s="214">
        <f t="shared" si="3"/>
        <v>0</v>
      </c>
      <c r="L6" s="214">
        <f>SUM(L7:L18)</f>
        <v>19000000</v>
      </c>
      <c r="M6" s="214">
        <f t="shared" ref="M6:S6" si="4">SUM(M7:M18)</f>
        <v>0</v>
      </c>
      <c r="N6" s="214">
        <f t="shared" si="4"/>
        <v>0</v>
      </c>
      <c r="O6" s="214">
        <f t="shared" si="4"/>
        <v>0</v>
      </c>
      <c r="P6" s="214">
        <f t="shared" si="4"/>
        <v>0</v>
      </c>
      <c r="Q6" s="214">
        <f t="shared" si="4"/>
        <v>0</v>
      </c>
      <c r="R6" s="214">
        <f t="shared" si="4"/>
        <v>0</v>
      </c>
      <c r="S6" s="214">
        <f t="shared" si="4"/>
        <v>19000000</v>
      </c>
      <c r="T6" s="215"/>
      <c r="U6" s="216">
        <f t="shared" ref="U6:AA6" si="5">SUM(U7:U18)</f>
        <v>1583330</v>
      </c>
      <c r="V6" s="217">
        <f t="shared" si="5"/>
        <v>0</v>
      </c>
      <c r="W6" s="217">
        <f t="shared" si="5"/>
        <v>613700</v>
      </c>
      <c r="X6" s="214">
        <f t="shared" si="5"/>
        <v>52240</v>
      </c>
      <c r="Y6" s="214">
        <f>SUM(Y7:Y18)</f>
        <v>138600</v>
      </c>
      <c r="Z6" s="214">
        <f t="shared" si="5"/>
        <v>123200</v>
      </c>
      <c r="AA6" s="218">
        <f t="shared" si="5"/>
        <v>2511070</v>
      </c>
    </row>
    <row r="7" spans="1:27" s="204" customFormat="1" ht="18" customHeight="1">
      <c r="A7" s="1251"/>
      <c r="B7" s="211" t="s">
        <v>382</v>
      </c>
      <c r="C7" s="212"/>
      <c r="D7" s="212">
        <v>1</v>
      </c>
      <c r="E7" s="219" t="s">
        <v>363</v>
      </c>
      <c r="F7" s="220"/>
      <c r="G7" s="221"/>
      <c r="H7" s="220"/>
      <c r="I7" s="222"/>
      <c r="J7" s="221"/>
      <c r="K7" s="221"/>
      <c r="L7" s="221">
        <f>300000*12</f>
        <v>3600000</v>
      </c>
      <c r="M7" s="221"/>
      <c r="N7" s="221"/>
      <c r="O7" s="221"/>
      <c r="P7" s="221"/>
      <c r="Q7" s="221"/>
      <c r="R7" s="222"/>
      <c r="S7" s="214">
        <f>SUM(F7:R7)</f>
        <v>3600000</v>
      </c>
      <c r="T7" s="215"/>
      <c r="U7" s="223">
        <f>ROUNDUP(S7*1/12,-1)</f>
        <v>300000</v>
      </c>
      <c r="V7" s="224"/>
      <c r="W7" s="224">
        <f>ROUNDUP((S7-J7)*3.23%,-1)</f>
        <v>116280</v>
      </c>
      <c r="X7" s="225">
        <f>ROUNDUP(W7*8.51%,-1)</f>
        <v>9900</v>
      </c>
      <c r="Y7" s="225"/>
      <c r="Z7" s="225"/>
      <c r="AA7" s="226">
        <f>SUM(U7:Z7)</f>
        <v>426180</v>
      </c>
    </row>
    <row r="8" spans="1:27" s="204" customFormat="1" ht="18" customHeight="1">
      <c r="A8" s="1251"/>
      <c r="B8" s="211" t="s">
        <v>383</v>
      </c>
      <c r="C8" s="212"/>
      <c r="D8" s="212">
        <v>1</v>
      </c>
      <c r="E8" s="219" t="s">
        <v>364</v>
      </c>
      <c r="F8" s="221"/>
      <c r="G8" s="221"/>
      <c r="H8" s="221"/>
      <c r="I8" s="221"/>
      <c r="J8" s="221"/>
      <c r="K8" s="221"/>
      <c r="L8" s="221">
        <f>200000*12</f>
        <v>2400000</v>
      </c>
      <c r="M8" s="221"/>
      <c r="N8" s="221"/>
      <c r="O8" s="221"/>
      <c r="P8" s="221"/>
      <c r="Q8" s="221"/>
      <c r="R8" s="222"/>
      <c r="S8" s="214">
        <f>SUM(F8:R8)</f>
        <v>2400000</v>
      </c>
      <c r="T8" s="215"/>
      <c r="U8" s="223">
        <f>ROUND(S8*1/12,-1)</f>
        <v>200000</v>
      </c>
      <c r="V8" s="224"/>
      <c r="W8" s="224">
        <f t="shared" ref="W8:W10" si="6">ROUNDUP((S8-J8)*3.23%,-1)</f>
        <v>77520</v>
      </c>
      <c r="X8" s="225">
        <f t="shared" ref="X8:X10" si="7">ROUNDUP(W8*8.51%,-1)</f>
        <v>6600</v>
      </c>
      <c r="Y8" s="225">
        <f t="shared" ref="Y8:Y11" si="8">ROUND(S8*0.9%,-1)</f>
        <v>21600</v>
      </c>
      <c r="Z8" s="225">
        <f t="shared" ref="Z8:Z11" si="9">ROUND(S8*0.8%,-1)</f>
        <v>19200</v>
      </c>
      <c r="AA8" s="226">
        <f>SUM(U8:Z8)</f>
        <v>324920</v>
      </c>
    </row>
    <row r="9" spans="1:27" s="204" customFormat="1" ht="18" customHeight="1">
      <c r="A9" s="1251"/>
      <c r="B9" s="211" t="s">
        <v>384</v>
      </c>
      <c r="C9" s="212"/>
      <c r="D9" s="212">
        <v>1</v>
      </c>
      <c r="E9" s="219" t="s">
        <v>379</v>
      </c>
      <c r="F9" s="221"/>
      <c r="G9" s="221"/>
      <c r="H9" s="221"/>
      <c r="I9" s="221"/>
      <c r="J9" s="221"/>
      <c r="K9" s="221"/>
      <c r="L9" s="221">
        <f>150000*12</f>
        <v>1800000</v>
      </c>
      <c r="M9" s="221"/>
      <c r="N9" s="221"/>
      <c r="O9" s="221"/>
      <c r="P9" s="221"/>
      <c r="Q9" s="221"/>
      <c r="R9" s="222"/>
      <c r="S9" s="214">
        <f>SUM(F9:R9)</f>
        <v>1800000</v>
      </c>
      <c r="T9" s="215"/>
      <c r="U9" s="223">
        <f>ROUND(S9*1/12,-1)</f>
        <v>150000</v>
      </c>
      <c r="V9" s="224"/>
      <c r="W9" s="224">
        <f t="shared" si="6"/>
        <v>58140</v>
      </c>
      <c r="X9" s="225">
        <f t="shared" si="7"/>
        <v>4950</v>
      </c>
      <c r="Y9" s="225">
        <f t="shared" si="8"/>
        <v>16200</v>
      </c>
      <c r="Z9" s="225">
        <f t="shared" si="9"/>
        <v>14400</v>
      </c>
      <c r="AA9" s="226">
        <f>SUM(U9:Z9)</f>
        <v>243690</v>
      </c>
    </row>
    <row r="10" spans="1:27" s="204" customFormat="1" ht="18" customHeight="1">
      <c r="A10" s="1251"/>
      <c r="B10" s="211" t="s">
        <v>385</v>
      </c>
      <c r="C10" s="212"/>
      <c r="D10" s="212">
        <v>1</v>
      </c>
      <c r="E10" s="219" t="s">
        <v>942</v>
      </c>
      <c r="F10" s="222"/>
      <c r="G10" s="221"/>
      <c r="H10" s="221"/>
      <c r="I10" s="221"/>
      <c r="J10" s="221"/>
      <c r="K10" s="221"/>
      <c r="L10" s="221">
        <f>150000*12</f>
        <v>1800000</v>
      </c>
      <c r="M10" s="221"/>
      <c r="N10" s="221"/>
      <c r="O10" s="221"/>
      <c r="P10" s="221"/>
      <c r="Q10" s="221"/>
      <c r="R10" s="222"/>
      <c r="S10" s="214">
        <f>SUM(F10:R10)</f>
        <v>1800000</v>
      </c>
      <c r="T10" s="215"/>
      <c r="U10" s="223">
        <f>ROUND(S10*1/12,-1)</f>
        <v>150000</v>
      </c>
      <c r="V10" s="224"/>
      <c r="W10" s="224">
        <f t="shared" si="6"/>
        <v>58140</v>
      </c>
      <c r="X10" s="225">
        <f t="shared" si="7"/>
        <v>4950</v>
      </c>
      <c r="Y10" s="225">
        <f t="shared" si="8"/>
        <v>16200</v>
      </c>
      <c r="Z10" s="225">
        <f t="shared" si="9"/>
        <v>14400</v>
      </c>
      <c r="AA10" s="226">
        <f>SUM(U10:Z10)</f>
        <v>243690</v>
      </c>
    </row>
    <row r="11" spans="1:27" s="204" customFormat="1" ht="18" customHeight="1" thickBot="1">
      <c r="A11" s="1252"/>
      <c r="B11" s="227" t="s">
        <v>386</v>
      </c>
      <c r="C11" s="228"/>
      <c r="D11" s="228">
        <v>7</v>
      </c>
      <c r="E11" s="229" t="s">
        <v>380</v>
      </c>
      <c r="F11" s="230"/>
      <c r="G11" s="230"/>
      <c r="H11" s="230"/>
      <c r="I11" s="230"/>
      <c r="J11" s="230"/>
      <c r="K11" s="230"/>
      <c r="L11" s="230">
        <f>100000*12*D11+1000000</f>
        <v>9400000</v>
      </c>
      <c r="M11" s="230"/>
      <c r="N11" s="230"/>
      <c r="O11" s="230"/>
      <c r="P11" s="230"/>
      <c r="Q11" s="230"/>
      <c r="R11" s="231"/>
      <c r="S11" s="232">
        <f>SUM(F11:R11)</f>
        <v>9400000</v>
      </c>
      <c r="T11" s="233"/>
      <c r="U11" s="234">
        <f>ROUND(S11*1/12,-1)</f>
        <v>783330</v>
      </c>
      <c r="V11" s="235"/>
      <c r="W11" s="236">
        <f>ROUNDUP((S11-J11)*3.23%,-1)</f>
        <v>303620</v>
      </c>
      <c r="X11" s="236">
        <f>ROUNDUP(W11*8.51%,-1)</f>
        <v>25840</v>
      </c>
      <c r="Y11" s="236">
        <f t="shared" si="8"/>
        <v>84600</v>
      </c>
      <c r="Z11" s="236">
        <f t="shared" si="9"/>
        <v>75200</v>
      </c>
      <c r="AA11" s="237">
        <f>SUM(U11:Z11)</f>
        <v>1272590</v>
      </c>
    </row>
    <row r="12" spans="1:27" s="204" customFormat="1" ht="16.5" hidden="1" customHeight="1">
      <c r="A12" s="238"/>
      <c r="B12" s="239"/>
      <c r="C12" s="240"/>
      <c r="D12" s="240"/>
      <c r="E12" s="241"/>
      <c r="F12" s="242">
        <f>F11</f>
        <v>0</v>
      </c>
      <c r="G12" s="242">
        <f>F12*50%</f>
        <v>0</v>
      </c>
      <c r="H12" s="242">
        <v>0</v>
      </c>
      <c r="I12" s="242">
        <f>I7</f>
        <v>0</v>
      </c>
      <c r="J12" s="242">
        <v>0</v>
      </c>
      <c r="K12" s="242">
        <f>K11</f>
        <v>0</v>
      </c>
      <c r="L12" s="242">
        <v>0</v>
      </c>
      <c r="M12" s="242">
        <v>0</v>
      </c>
      <c r="N12" s="242">
        <f>N7</f>
        <v>0</v>
      </c>
      <c r="O12" s="242">
        <f>O7</f>
        <v>0</v>
      </c>
      <c r="P12" s="242">
        <f t="shared" ref="P12:P17" si="10">ROUND((F12)*1/209*1.5*40,-1)</f>
        <v>0</v>
      </c>
      <c r="Q12" s="242"/>
      <c r="R12" s="243">
        <f t="shared" ref="R12:R18" si="11">R11</f>
        <v>0</v>
      </c>
      <c r="S12" s="244">
        <f t="shared" ref="S12:S18" si="12">SUM(F12:R12)</f>
        <v>0</v>
      </c>
      <c r="T12" s="245"/>
      <c r="U12" s="246">
        <f t="shared" ref="U12:U18" si="13">ROUND(S12*1/12,-1)</f>
        <v>0</v>
      </c>
      <c r="V12" s="247">
        <f t="shared" ref="V12:V18" si="14">ROUND(S12*4.5%,-1)</f>
        <v>0</v>
      </c>
      <c r="W12" s="247">
        <f t="shared" ref="W12:W71" si="15">ROUNDUP((S12-J12)*3.12%,-1)</f>
        <v>0</v>
      </c>
      <c r="X12" s="248">
        <f t="shared" ref="X12:X71" si="16">ROUNDUP(W12*7.38%,-1)</f>
        <v>0</v>
      </c>
      <c r="Y12" s="248">
        <f t="shared" ref="Y12:Y18" si="17">ROUND(S12*0.7%,-1)</f>
        <v>0</v>
      </c>
      <c r="Z12" s="248">
        <f t="shared" ref="Z12:Z18" si="18">ROUND(S12*0.7%,-1)</f>
        <v>0</v>
      </c>
      <c r="AA12" s="249">
        <f t="shared" ref="AA12:AA18" si="19">SUM(U12:Z12)</f>
        <v>0</v>
      </c>
    </row>
    <row r="13" spans="1:27" s="204" customFormat="1" ht="16.5" hidden="1" customHeight="1">
      <c r="A13" s="238"/>
      <c r="B13" s="211"/>
      <c r="C13" s="212"/>
      <c r="D13" s="212"/>
      <c r="E13" s="219"/>
      <c r="F13" s="225">
        <f>F12</f>
        <v>0</v>
      </c>
      <c r="G13" s="221">
        <v>0</v>
      </c>
      <c r="H13" s="220">
        <f>F13*90%</f>
        <v>0</v>
      </c>
      <c r="I13" s="220" t="s">
        <v>60</v>
      </c>
      <c r="J13" s="221">
        <v>0</v>
      </c>
      <c r="K13" s="221">
        <f t="shared" ref="K13:L17" si="20">K12</f>
        <v>0</v>
      </c>
      <c r="L13" s="221">
        <f t="shared" si="20"/>
        <v>0</v>
      </c>
      <c r="M13" s="221">
        <v>0</v>
      </c>
      <c r="N13" s="221">
        <f>N12</f>
        <v>0</v>
      </c>
      <c r="O13" s="221">
        <f>O12</f>
        <v>0</v>
      </c>
      <c r="P13" s="221">
        <f t="shared" si="10"/>
        <v>0</v>
      </c>
      <c r="Q13" s="221"/>
      <c r="R13" s="222">
        <f t="shared" si="11"/>
        <v>0</v>
      </c>
      <c r="S13" s="214">
        <f t="shared" si="12"/>
        <v>0</v>
      </c>
      <c r="T13" s="250"/>
      <c r="U13" s="251">
        <f t="shared" si="13"/>
        <v>0</v>
      </c>
      <c r="V13" s="224">
        <f t="shared" si="14"/>
        <v>0</v>
      </c>
      <c r="W13" s="224">
        <f t="shared" si="15"/>
        <v>0</v>
      </c>
      <c r="X13" s="225">
        <f t="shared" si="16"/>
        <v>0</v>
      </c>
      <c r="Y13" s="225">
        <f t="shared" si="17"/>
        <v>0</v>
      </c>
      <c r="Z13" s="225">
        <f t="shared" si="18"/>
        <v>0</v>
      </c>
      <c r="AA13" s="252">
        <f t="shared" si="19"/>
        <v>0</v>
      </c>
    </row>
    <row r="14" spans="1:27" s="204" customFormat="1" ht="16.5" hidden="1" customHeight="1">
      <c r="A14" s="238"/>
      <c r="B14" s="211"/>
      <c r="C14" s="212"/>
      <c r="D14" s="212"/>
      <c r="E14" s="219"/>
      <c r="F14" s="221">
        <f>F13</f>
        <v>0</v>
      </c>
      <c r="G14" s="221">
        <v>0</v>
      </c>
      <c r="H14" s="221">
        <v>0</v>
      </c>
      <c r="I14" s="221" t="str">
        <f>I13</f>
        <v>-</v>
      </c>
      <c r="J14" s="221">
        <v>0</v>
      </c>
      <c r="K14" s="221">
        <f t="shared" si="20"/>
        <v>0</v>
      </c>
      <c r="L14" s="221">
        <f t="shared" si="20"/>
        <v>0</v>
      </c>
      <c r="M14" s="221">
        <v>0</v>
      </c>
      <c r="N14" s="221">
        <f>N13</f>
        <v>0</v>
      </c>
      <c r="O14" s="221">
        <f>O13</f>
        <v>0</v>
      </c>
      <c r="P14" s="221">
        <f t="shared" si="10"/>
        <v>0</v>
      </c>
      <c r="Q14" s="221"/>
      <c r="R14" s="222">
        <f t="shared" si="11"/>
        <v>0</v>
      </c>
      <c r="S14" s="214">
        <f t="shared" si="12"/>
        <v>0</v>
      </c>
      <c r="T14" s="250"/>
      <c r="U14" s="251">
        <f t="shared" si="13"/>
        <v>0</v>
      </c>
      <c r="V14" s="224">
        <f t="shared" si="14"/>
        <v>0</v>
      </c>
      <c r="W14" s="224">
        <f t="shared" si="15"/>
        <v>0</v>
      </c>
      <c r="X14" s="225">
        <f t="shared" si="16"/>
        <v>0</v>
      </c>
      <c r="Y14" s="225">
        <f t="shared" si="17"/>
        <v>0</v>
      </c>
      <c r="Z14" s="225">
        <f t="shared" si="18"/>
        <v>0</v>
      </c>
      <c r="AA14" s="252">
        <f t="shared" si="19"/>
        <v>0</v>
      </c>
    </row>
    <row r="15" spans="1:27" s="204" customFormat="1" ht="16.5" hidden="1" customHeight="1">
      <c r="A15" s="238"/>
      <c r="B15" s="211"/>
      <c r="C15" s="212"/>
      <c r="D15" s="212"/>
      <c r="E15" s="219"/>
      <c r="F15" s="221">
        <f>F13</f>
        <v>0</v>
      </c>
      <c r="G15" s="221">
        <f>F15*50%</f>
        <v>0</v>
      </c>
      <c r="H15" s="221">
        <v>0</v>
      </c>
      <c r="I15" s="221" t="str">
        <f>I13</f>
        <v>-</v>
      </c>
      <c r="J15" s="221">
        <v>0</v>
      </c>
      <c r="K15" s="221">
        <f t="shared" si="20"/>
        <v>0</v>
      </c>
      <c r="L15" s="221">
        <f t="shared" si="20"/>
        <v>0</v>
      </c>
      <c r="M15" s="221">
        <f>F15*50%</f>
        <v>0</v>
      </c>
      <c r="N15" s="221">
        <f>N13</f>
        <v>0</v>
      </c>
      <c r="O15" s="221">
        <f>O13</f>
        <v>0</v>
      </c>
      <c r="P15" s="221">
        <f t="shared" si="10"/>
        <v>0</v>
      </c>
      <c r="Q15" s="221"/>
      <c r="R15" s="222">
        <f t="shared" si="11"/>
        <v>0</v>
      </c>
      <c r="S15" s="214">
        <f t="shared" si="12"/>
        <v>0</v>
      </c>
      <c r="T15" s="250"/>
      <c r="U15" s="251">
        <f t="shared" si="13"/>
        <v>0</v>
      </c>
      <c r="V15" s="224">
        <f t="shared" si="14"/>
        <v>0</v>
      </c>
      <c r="W15" s="224">
        <f t="shared" si="15"/>
        <v>0</v>
      </c>
      <c r="X15" s="225">
        <f t="shared" si="16"/>
        <v>0</v>
      </c>
      <c r="Y15" s="225">
        <f t="shared" si="17"/>
        <v>0</v>
      </c>
      <c r="Z15" s="225">
        <f t="shared" si="18"/>
        <v>0</v>
      </c>
      <c r="AA15" s="252">
        <f t="shared" si="19"/>
        <v>0</v>
      </c>
    </row>
    <row r="16" spans="1:27" s="204" customFormat="1" ht="16.5" hidden="1" customHeight="1">
      <c r="A16" s="238"/>
      <c r="B16" s="211"/>
      <c r="C16" s="212"/>
      <c r="D16" s="212"/>
      <c r="E16" s="219"/>
      <c r="F16" s="221">
        <f>F13</f>
        <v>0</v>
      </c>
      <c r="G16" s="221">
        <v>0</v>
      </c>
      <c r="H16" s="221">
        <v>0</v>
      </c>
      <c r="I16" s="221" t="str">
        <f>I13</f>
        <v>-</v>
      </c>
      <c r="J16" s="221">
        <f>F16*50%</f>
        <v>0</v>
      </c>
      <c r="K16" s="221">
        <f t="shared" si="20"/>
        <v>0</v>
      </c>
      <c r="L16" s="221">
        <f t="shared" si="20"/>
        <v>0</v>
      </c>
      <c r="M16" s="221">
        <v>0</v>
      </c>
      <c r="N16" s="221">
        <f>N13</f>
        <v>0</v>
      </c>
      <c r="O16" s="221">
        <f>O13</f>
        <v>0</v>
      </c>
      <c r="P16" s="221">
        <f t="shared" si="10"/>
        <v>0</v>
      </c>
      <c r="Q16" s="221"/>
      <c r="R16" s="222">
        <f t="shared" si="11"/>
        <v>0</v>
      </c>
      <c r="S16" s="214">
        <f t="shared" si="12"/>
        <v>0</v>
      </c>
      <c r="T16" s="250"/>
      <c r="U16" s="251">
        <f t="shared" si="13"/>
        <v>0</v>
      </c>
      <c r="V16" s="224">
        <f t="shared" si="14"/>
        <v>0</v>
      </c>
      <c r="W16" s="224">
        <f t="shared" si="15"/>
        <v>0</v>
      </c>
      <c r="X16" s="225">
        <f t="shared" si="16"/>
        <v>0</v>
      </c>
      <c r="Y16" s="225">
        <f t="shared" si="17"/>
        <v>0</v>
      </c>
      <c r="Z16" s="225">
        <f t="shared" si="18"/>
        <v>0</v>
      </c>
      <c r="AA16" s="252">
        <f t="shared" si="19"/>
        <v>0</v>
      </c>
    </row>
    <row r="17" spans="1:27" s="204" customFormat="1" ht="16.5" hidden="1" customHeight="1">
      <c r="A17" s="238"/>
      <c r="B17" s="211"/>
      <c r="C17" s="212"/>
      <c r="D17" s="212"/>
      <c r="E17" s="219"/>
      <c r="F17" s="221">
        <f>F13</f>
        <v>0</v>
      </c>
      <c r="G17" s="221">
        <v>0</v>
      </c>
      <c r="H17" s="221">
        <v>0</v>
      </c>
      <c r="I17" s="221" t="str">
        <f>I13</f>
        <v>-</v>
      </c>
      <c r="J17" s="221">
        <f>F17*50%</f>
        <v>0</v>
      </c>
      <c r="K17" s="221">
        <f t="shared" si="20"/>
        <v>0</v>
      </c>
      <c r="L17" s="221">
        <f t="shared" si="20"/>
        <v>0</v>
      </c>
      <c r="M17" s="221">
        <v>0</v>
      </c>
      <c r="N17" s="221">
        <f>N13</f>
        <v>0</v>
      </c>
      <c r="O17" s="221">
        <f>O13</f>
        <v>0</v>
      </c>
      <c r="P17" s="221">
        <f t="shared" si="10"/>
        <v>0</v>
      </c>
      <c r="Q17" s="221"/>
      <c r="R17" s="222">
        <f t="shared" si="11"/>
        <v>0</v>
      </c>
      <c r="S17" s="214">
        <f t="shared" si="12"/>
        <v>0</v>
      </c>
      <c r="T17" s="250"/>
      <c r="U17" s="251">
        <f t="shared" si="13"/>
        <v>0</v>
      </c>
      <c r="V17" s="224">
        <f t="shared" si="14"/>
        <v>0</v>
      </c>
      <c r="W17" s="224">
        <f t="shared" si="15"/>
        <v>0</v>
      </c>
      <c r="X17" s="225">
        <f t="shared" si="16"/>
        <v>0</v>
      </c>
      <c r="Y17" s="225">
        <f t="shared" si="17"/>
        <v>0</v>
      </c>
      <c r="Z17" s="225">
        <f t="shared" si="18"/>
        <v>0</v>
      </c>
      <c r="AA17" s="252">
        <f t="shared" si="19"/>
        <v>0</v>
      </c>
    </row>
    <row r="18" spans="1:27" s="204" customFormat="1" ht="16.5" hidden="1" customHeight="1">
      <c r="A18" s="253"/>
      <c r="B18" s="254"/>
      <c r="C18" s="255"/>
      <c r="D18" s="255"/>
      <c r="E18" s="256"/>
      <c r="F18" s="257">
        <f>F13</f>
        <v>0</v>
      </c>
      <c r="G18" s="257">
        <f>F18*50%</f>
        <v>0</v>
      </c>
      <c r="H18" s="257">
        <v>0</v>
      </c>
      <c r="I18" s="257" t="str">
        <f>I13</f>
        <v>-</v>
      </c>
      <c r="J18" s="257">
        <v>0</v>
      </c>
      <c r="K18" s="257">
        <f>K17</f>
        <v>0</v>
      </c>
      <c r="L18" s="257">
        <f>L17</f>
        <v>0</v>
      </c>
      <c r="M18" s="257">
        <v>0</v>
      </c>
      <c r="N18" s="257">
        <f>N13</f>
        <v>0</v>
      </c>
      <c r="O18" s="257">
        <f>O13</f>
        <v>0</v>
      </c>
      <c r="P18" s="257">
        <f>ROUND((F18)*1/209*1.5*40*2,-1)</f>
        <v>0</v>
      </c>
      <c r="Q18" s="257"/>
      <c r="R18" s="258">
        <f t="shared" si="11"/>
        <v>0</v>
      </c>
      <c r="S18" s="259">
        <f t="shared" si="12"/>
        <v>0</v>
      </c>
      <c r="T18" s="260"/>
      <c r="U18" s="261">
        <f t="shared" si="13"/>
        <v>0</v>
      </c>
      <c r="V18" s="262">
        <f t="shared" si="14"/>
        <v>0</v>
      </c>
      <c r="W18" s="224">
        <f t="shared" si="15"/>
        <v>0</v>
      </c>
      <c r="X18" s="225">
        <f t="shared" si="16"/>
        <v>0</v>
      </c>
      <c r="Y18" s="263">
        <f t="shared" si="17"/>
        <v>0</v>
      </c>
      <c r="Z18" s="263">
        <f t="shared" si="18"/>
        <v>0</v>
      </c>
      <c r="AA18" s="264">
        <f t="shared" si="19"/>
        <v>0</v>
      </c>
    </row>
    <row r="19" spans="1:27" s="204" customFormat="1" ht="41.25" hidden="1" customHeight="1">
      <c r="A19" s="1250">
        <v>1</v>
      </c>
      <c r="B19" s="211" t="s">
        <v>352</v>
      </c>
      <c r="C19" s="212" t="s">
        <v>282</v>
      </c>
      <c r="D19" s="212">
        <v>1</v>
      </c>
      <c r="E19" s="213" t="s">
        <v>86</v>
      </c>
      <c r="F19" s="214">
        <f t="shared" ref="F19:S19" si="21">SUM(F20:F31)</f>
        <v>0</v>
      </c>
      <c r="G19" s="214">
        <f t="shared" si="21"/>
        <v>0</v>
      </c>
      <c r="H19" s="214">
        <f t="shared" si="21"/>
        <v>0</v>
      </c>
      <c r="I19" s="214">
        <f t="shared" si="21"/>
        <v>0</v>
      </c>
      <c r="J19" s="214">
        <f t="shared" si="21"/>
        <v>0</v>
      </c>
      <c r="K19" s="214">
        <f t="shared" si="21"/>
        <v>0</v>
      </c>
      <c r="L19" s="214">
        <f t="shared" si="21"/>
        <v>0</v>
      </c>
      <c r="M19" s="214">
        <f t="shared" si="21"/>
        <v>0</v>
      </c>
      <c r="N19" s="214">
        <f t="shared" si="21"/>
        <v>0</v>
      </c>
      <c r="O19" s="214">
        <f t="shared" si="21"/>
        <v>0</v>
      </c>
      <c r="P19" s="214">
        <f t="shared" si="21"/>
        <v>0</v>
      </c>
      <c r="Q19" s="214">
        <f t="shared" si="21"/>
        <v>0</v>
      </c>
      <c r="R19" s="214">
        <f t="shared" si="21"/>
        <v>0</v>
      </c>
      <c r="S19" s="214">
        <f t="shared" si="21"/>
        <v>0</v>
      </c>
      <c r="T19" s="250" t="s">
        <v>371</v>
      </c>
      <c r="U19" s="265">
        <f t="shared" ref="U19:AA19" si="22">SUM(U20:U31)</f>
        <v>0</v>
      </c>
      <c r="V19" s="217">
        <f t="shared" si="22"/>
        <v>0</v>
      </c>
      <c r="W19" s="224">
        <f t="shared" si="15"/>
        <v>0</v>
      </c>
      <c r="X19" s="225">
        <f t="shared" si="16"/>
        <v>0</v>
      </c>
      <c r="Y19" s="214">
        <f t="shared" si="22"/>
        <v>0</v>
      </c>
      <c r="Z19" s="244">
        <f t="shared" si="22"/>
        <v>0</v>
      </c>
      <c r="AA19" s="266">
        <f t="shared" si="22"/>
        <v>0</v>
      </c>
    </row>
    <row r="20" spans="1:27" s="204" customFormat="1" ht="16.5" hidden="1" customHeight="1">
      <c r="A20" s="1253"/>
      <c r="B20" s="211"/>
      <c r="C20" s="212">
        <v>3</v>
      </c>
      <c r="D20" s="212"/>
      <c r="E20" s="219" t="s">
        <v>273</v>
      </c>
      <c r="F20" s="220"/>
      <c r="G20" s="221"/>
      <c r="H20" s="220"/>
      <c r="I20" s="222"/>
      <c r="J20" s="221"/>
      <c r="K20" s="221"/>
      <c r="L20" s="221"/>
      <c r="M20" s="221"/>
      <c r="N20" s="221"/>
      <c r="O20" s="221"/>
      <c r="P20" s="221"/>
      <c r="Q20" s="221"/>
      <c r="R20" s="222" t="s">
        <v>60</v>
      </c>
      <c r="S20" s="214">
        <f t="shared" ref="S20:S31" si="23">SUM(F20:R20)</f>
        <v>0</v>
      </c>
      <c r="T20" s="250"/>
      <c r="U20" s="251">
        <f t="shared" ref="U20:U31" si="24">ROUND(S20*1/12,-1)</f>
        <v>0</v>
      </c>
      <c r="V20" s="224">
        <f t="shared" ref="V20:V31" si="25">ROUND(S20*4.5%,-1)</f>
        <v>0</v>
      </c>
      <c r="W20" s="224">
        <f t="shared" si="15"/>
        <v>0</v>
      </c>
      <c r="X20" s="225">
        <f t="shared" si="16"/>
        <v>0</v>
      </c>
      <c r="Y20" s="225">
        <f t="shared" ref="Y20:Y31" si="26">ROUND(S20*0.7%,-1)</f>
        <v>0</v>
      </c>
      <c r="Z20" s="225">
        <f>ROUND(S20*0.7%,-1)</f>
        <v>0</v>
      </c>
      <c r="AA20" s="252">
        <f t="shared" ref="AA20:AA31" si="27">SUM(U20:Z20)</f>
        <v>0</v>
      </c>
    </row>
    <row r="21" spans="1:27" s="204" customFormat="1" ht="16.5" hidden="1" customHeight="1">
      <c r="A21" s="1253"/>
      <c r="B21" s="211"/>
      <c r="C21" s="212"/>
      <c r="D21" s="212"/>
      <c r="E21" s="219" t="s">
        <v>274</v>
      </c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2" t="str">
        <f t="shared" ref="R21:R31" si="28">R20</f>
        <v>-</v>
      </c>
      <c r="S21" s="214">
        <f t="shared" si="23"/>
        <v>0</v>
      </c>
      <c r="T21" s="250"/>
      <c r="U21" s="251">
        <f t="shared" si="24"/>
        <v>0</v>
      </c>
      <c r="V21" s="224">
        <f t="shared" si="25"/>
        <v>0</v>
      </c>
      <c r="W21" s="224">
        <f t="shared" si="15"/>
        <v>0</v>
      </c>
      <c r="X21" s="225">
        <f t="shared" si="16"/>
        <v>0</v>
      </c>
      <c r="Y21" s="225">
        <f t="shared" si="26"/>
        <v>0</v>
      </c>
      <c r="Z21" s="225">
        <f t="shared" ref="Z21:Z31" si="29">ROUND(S21*0.7%,-1)</f>
        <v>0</v>
      </c>
      <c r="AA21" s="252">
        <f t="shared" si="27"/>
        <v>0</v>
      </c>
    </row>
    <row r="22" spans="1:27" s="204" customFormat="1" ht="16.5" hidden="1" customHeight="1">
      <c r="A22" s="1253"/>
      <c r="B22" s="211"/>
      <c r="C22" s="212"/>
      <c r="D22" s="212"/>
      <c r="E22" s="219" t="s">
        <v>275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2" t="str">
        <f t="shared" si="28"/>
        <v>-</v>
      </c>
      <c r="S22" s="214">
        <f t="shared" si="23"/>
        <v>0</v>
      </c>
      <c r="T22" s="250"/>
      <c r="U22" s="251">
        <f t="shared" si="24"/>
        <v>0</v>
      </c>
      <c r="V22" s="224">
        <f t="shared" si="25"/>
        <v>0</v>
      </c>
      <c r="W22" s="224">
        <f t="shared" si="15"/>
        <v>0</v>
      </c>
      <c r="X22" s="225">
        <f t="shared" si="16"/>
        <v>0</v>
      </c>
      <c r="Y22" s="225">
        <f t="shared" si="26"/>
        <v>0</v>
      </c>
      <c r="Z22" s="225">
        <f t="shared" si="29"/>
        <v>0</v>
      </c>
      <c r="AA22" s="252">
        <f t="shared" si="27"/>
        <v>0</v>
      </c>
    </row>
    <row r="23" spans="1:27" s="204" customFormat="1" ht="16.5" hidden="1" customHeight="1">
      <c r="A23" s="1253"/>
      <c r="B23" s="211"/>
      <c r="C23" s="212"/>
      <c r="D23" s="212"/>
      <c r="E23" s="219" t="s">
        <v>276</v>
      </c>
      <c r="F23" s="222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2" t="str">
        <f t="shared" si="28"/>
        <v>-</v>
      </c>
      <c r="S23" s="214">
        <f t="shared" si="23"/>
        <v>0</v>
      </c>
      <c r="T23" s="250"/>
      <c r="U23" s="251">
        <f t="shared" si="24"/>
        <v>0</v>
      </c>
      <c r="V23" s="224">
        <f t="shared" si="25"/>
        <v>0</v>
      </c>
      <c r="W23" s="224">
        <f t="shared" si="15"/>
        <v>0</v>
      </c>
      <c r="X23" s="225">
        <f t="shared" si="16"/>
        <v>0</v>
      </c>
      <c r="Y23" s="225">
        <f t="shared" si="26"/>
        <v>0</v>
      </c>
      <c r="Z23" s="225">
        <f t="shared" si="29"/>
        <v>0</v>
      </c>
      <c r="AA23" s="252">
        <f t="shared" si="27"/>
        <v>0</v>
      </c>
    </row>
    <row r="24" spans="1:27" s="204" customFormat="1" ht="16.5" hidden="1" customHeight="1">
      <c r="A24" s="1253"/>
      <c r="B24" s="211"/>
      <c r="C24" s="212"/>
      <c r="D24" s="212"/>
      <c r="E24" s="219" t="s">
        <v>277</v>
      </c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2" t="str">
        <f t="shared" si="28"/>
        <v>-</v>
      </c>
      <c r="S24" s="214">
        <f t="shared" si="23"/>
        <v>0</v>
      </c>
      <c r="T24" s="250"/>
      <c r="U24" s="251">
        <f t="shared" si="24"/>
        <v>0</v>
      </c>
      <c r="V24" s="224">
        <f t="shared" si="25"/>
        <v>0</v>
      </c>
      <c r="W24" s="224">
        <f t="shared" si="15"/>
        <v>0</v>
      </c>
      <c r="X24" s="225">
        <f t="shared" si="16"/>
        <v>0</v>
      </c>
      <c r="Y24" s="225">
        <f t="shared" si="26"/>
        <v>0</v>
      </c>
      <c r="Z24" s="225">
        <f t="shared" si="29"/>
        <v>0</v>
      </c>
      <c r="AA24" s="252">
        <f t="shared" si="27"/>
        <v>0</v>
      </c>
    </row>
    <row r="25" spans="1:27" s="204" customFormat="1" ht="16.5" hidden="1" customHeight="1">
      <c r="A25" s="1253"/>
      <c r="B25" s="211"/>
      <c r="C25" s="212"/>
      <c r="D25" s="212"/>
      <c r="E25" s="219" t="s">
        <v>278</v>
      </c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2" t="str">
        <f t="shared" si="28"/>
        <v>-</v>
      </c>
      <c r="S25" s="214">
        <f t="shared" si="23"/>
        <v>0</v>
      </c>
      <c r="T25" s="250"/>
      <c r="U25" s="251">
        <f t="shared" si="24"/>
        <v>0</v>
      </c>
      <c r="V25" s="224">
        <f t="shared" si="25"/>
        <v>0</v>
      </c>
      <c r="W25" s="224">
        <f t="shared" si="15"/>
        <v>0</v>
      </c>
      <c r="X25" s="225">
        <f t="shared" si="16"/>
        <v>0</v>
      </c>
      <c r="Y25" s="225">
        <f t="shared" si="26"/>
        <v>0</v>
      </c>
      <c r="Z25" s="225">
        <f t="shared" si="29"/>
        <v>0</v>
      </c>
      <c r="AA25" s="252">
        <f t="shared" si="27"/>
        <v>0</v>
      </c>
    </row>
    <row r="26" spans="1:27" s="204" customFormat="1" ht="16.5" hidden="1" customHeight="1">
      <c r="A26" s="1253"/>
      <c r="B26" s="211"/>
      <c r="C26" s="212"/>
      <c r="D26" s="212"/>
      <c r="E26" s="219" t="s">
        <v>279</v>
      </c>
      <c r="F26" s="225"/>
      <c r="G26" s="221"/>
      <c r="H26" s="220"/>
      <c r="I26" s="222"/>
      <c r="J26" s="221"/>
      <c r="K26" s="221"/>
      <c r="L26" s="221"/>
      <c r="M26" s="221"/>
      <c r="N26" s="221"/>
      <c r="O26" s="221"/>
      <c r="P26" s="221"/>
      <c r="Q26" s="221"/>
      <c r="R26" s="222" t="str">
        <f t="shared" si="28"/>
        <v>-</v>
      </c>
      <c r="S26" s="214">
        <f t="shared" si="23"/>
        <v>0</v>
      </c>
      <c r="T26" s="250"/>
      <c r="U26" s="251">
        <f t="shared" si="24"/>
        <v>0</v>
      </c>
      <c r="V26" s="224">
        <f t="shared" si="25"/>
        <v>0</v>
      </c>
      <c r="W26" s="224">
        <f t="shared" si="15"/>
        <v>0</v>
      </c>
      <c r="X26" s="225">
        <f t="shared" si="16"/>
        <v>0</v>
      </c>
      <c r="Y26" s="225">
        <f t="shared" si="26"/>
        <v>0</v>
      </c>
      <c r="Z26" s="225">
        <f t="shared" si="29"/>
        <v>0</v>
      </c>
      <c r="AA26" s="252">
        <f t="shared" si="27"/>
        <v>0</v>
      </c>
    </row>
    <row r="27" spans="1:27" s="204" customFormat="1" ht="16.5" hidden="1" customHeight="1">
      <c r="A27" s="1253"/>
      <c r="B27" s="211"/>
      <c r="C27" s="212"/>
      <c r="D27" s="212"/>
      <c r="E27" s="219" t="s">
        <v>280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2" t="str">
        <f t="shared" si="28"/>
        <v>-</v>
      </c>
      <c r="S27" s="214">
        <f t="shared" si="23"/>
        <v>0</v>
      </c>
      <c r="T27" s="250"/>
      <c r="U27" s="251">
        <f t="shared" si="24"/>
        <v>0</v>
      </c>
      <c r="V27" s="224">
        <f t="shared" si="25"/>
        <v>0</v>
      </c>
      <c r="W27" s="224">
        <f t="shared" si="15"/>
        <v>0</v>
      </c>
      <c r="X27" s="225">
        <f t="shared" si="16"/>
        <v>0</v>
      </c>
      <c r="Y27" s="225">
        <f t="shared" si="26"/>
        <v>0</v>
      </c>
      <c r="Z27" s="225">
        <f t="shared" si="29"/>
        <v>0</v>
      </c>
      <c r="AA27" s="252">
        <f t="shared" si="27"/>
        <v>0</v>
      </c>
    </row>
    <row r="28" spans="1:27" s="204" customFormat="1" ht="16.5" hidden="1" customHeight="1">
      <c r="A28" s="1253"/>
      <c r="B28" s="211"/>
      <c r="C28" s="212"/>
      <c r="D28" s="212"/>
      <c r="E28" s="219" t="s">
        <v>54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2" t="str">
        <f t="shared" si="28"/>
        <v>-</v>
      </c>
      <c r="S28" s="214">
        <f t="shared" si="23"/>
        <v>0</v>
      </c>
      <c r="T28" s="250"/>
      <c r="U28" s="251">
        <f t="shared" si="24"/>
        <v>0</v>
      </c>
      <c r="V28" s="224">
        <f t="shared" si="25"/>
        <v>0</v>
      </c>
      <c r="W28" s="224">
        <f t="shared" si="15"/>
        <v>0</v>
      </c>
      <c r="X28" s="225">
        <f t="shared" si="16"/>
        <v>0</v>
      </c>
      <c r="Y28" s="225">
        <f t="shared" si="26"/>
        <v>0</v>
      </c>
      <c r="Z28" s="225">
        <f t="shared" si="29"/>
        <v>0</v>
      </c>
      <c r="AA28" s="252">
        <f t="shared" si="27"/>
        <v>0</v>
      </c>
    </row>
    <row r="29" spans="1:27" s="204" customFormat="1" ht="16.5" hidden="1" customHeight="1">
      <c r="A29" s="1253"/>
      <c r="B29" s="211"/>
      <c r="C29" s="212">
        <v>4</v>
      </c>
      <c r="D29" s="212"/>
      <c r="E29" s="219" t="s">
        <v>55</v>
      </c>
      <c r="F29" s="220"/>
      <c r="G29" s="221"/>
      <c r="H29" s="221"/>
      <c r="I29" s="220"/>
      <c r="J29" s="221"/>
      <c r="K29" s="221"/>
      <c r="L29" s="221"/>
      <c r="M29" s="221"/>
      <c r="N29" s="221"/>
      <c r="O29" s="221"/>
      <c r="P29" s="221"/>
      <c r="Q29" s="221"/>
      <c r="R29" s="222" t="str">
        <f t="shared" si="28"/>
        <v>-</v>
      </c>
      <c r="S29" s="214">
        <f t="shared" si="23"/>
        <v>0</v>
      </c>
      <c r="T29" s="250"/>
      <c r="U29" s="251">
        <f t="shared" si="24"/>
        <v>0</v>
      </c>
      <c r="V29" s="224">
        <f t="shared" si="25"/>
        <v>0</v>
      </c>
      <c r="W29" s="224">
        <f t="shared" si="15"/>
        <v>0</v>
      </c>
      <c r="X29" s="225">
        <f t="shared" si="16"/>
        <v>0</v>
      </c>
      <c r="Y29" s="225">
        <f t="shared" si="26"/>
        <v>0</v>
      </c>
      <c r="Z29" s="225">
        <f t="shared" si="29"/>
        <v>0</v>
      </c>
      <c r="AA29" s="252">
        <f t="shared" si="27"/>
        <v>0</v>
      </c>
    </row>
    <row r="30" spans="1:27" s="204" customFormat="1" ht="16.5" hidden="1" customHeight="1">
      <c r="A30" s="1253"/>
      <c r="B30" s="211"/>
      <c r="C30" s="212"/>
      <c r="D30" s="212"/>
      <c r="E30" s="219" t="s">
        <v>56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2" t="str">
        <f t="shared" si="28"/>
        <v>-</v>
      </c>
      <c r="S30" s="214">
        <f t="shared" si="23"/>
        <v>0</v>
      </c>
      <c r="T30" s="250"/>
      <c r="U30" s="251">
        <f t="shared" si="24"/>
        <v>0</v>
      </c>
      <c r="V30" s="224">
        <f t="shared" si="25"/>
        <v>0</v>
      </c>
      <c r="W30" s="224">
        <f t="shared" si="15"/>
        <v>0</v>
      </c>
      <c r="X30" s="225">
        <f t="shared" si="16"/>
        <v>0</v>
      </c>
      <c r="Y30" s="225">
        <f t="shared" si="26"/>
        <v>0</v>
      </c>
      <c r="Z30" s="225">
        <f t="shared" si="29"/>
        <v>0</v>
      </c>
      <c r="AA30" s="252">
        <f t="shared" si="27"/>
        <v>0</v>
      </c>
    </row>
    <row r="31" spans="1:27" s="204" customFormat="1" ht="16.5" hidden="1" customHeight="1">
      <c r="A31" s="1254"/>
      <c r="B31" s="254"/>
      <c r="C31" s="255"/>
      <c r="D31" s="255"/>
      <c r="E31" s="256" t="s">
        <v>281</v>
      </c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8" t="str">
        <f t="shared" si="28"/>
        <v>-</v>
      </c>
      <c r="S31" s="259">
        <f t="shared" si="23"/>
        <v>0</v>
      </c>
      <c r="T31" s="260"/>
      <c r="U31" s="261">
        <f t="shared" si="24"/>
        <v>0</v>
      </c>
      <c r="V31" s="262">
        <f t="shared" si="25"/>
        <v>0</v>
      </c>
      <c r="W31" s="224">
        <f t="shared" si="15"/>
        <v>0</v>
      </c>
      <c r="X31" s="225">
        <f t="shared" si="16"/>
        <v>0</v>
      </c>
      <c r="Y31" s="263">
        <f t="shared" si="26"/>
        <v>0</v>
      </c>
      <c r="Z31" s="263">
        <f t="shared" si="29"/>
        <v>0</v>
      </c>
      <c r="AA31" s="264">
        <f t="shared" si="27"/>
        <v>0</v>
      </c>
    </row>
    <row r="32" spans="1:27" s="204" customFormat="1" ht="41.25" hidden="1" customHeight="1">
      <c r="A32" s="1250">
        <v>1</v>
      </c>
      <c r="B32" s="211" t="s">
        <v>362</v>
      </c>
      <c r="C32" s="212"/>
      <c r="D32" s="212">
        <v>9</v>
      </c>
      <c r="E32" s="213" t="s">
        <v>86</v>
      </c>
      <c r="F32" s="214">
        <f t="shared" ref="F32:S32" si="30">SUM(F33:F44)</f>
        <v>0</v>
      </c>
      <c r="G32" s="214">
        <f t="shared" si="30"/>
        <v>0</v>
      </c>
      <c r="H32" s="214">
        <f t="shared" si="30"/>
        <v>0</v>
      </c>
      <c r="I32" s="214">
        <f t="shared" si="30"/>
        <v>0</v>
      </c>
      <c r="J32" s="214">
        <f t="shared" si="30"/>
        <v>0</v>
      </c>
      <c r="K32" s="214">
        <f t="shared" si="30"/>
        <v>0</v>
      </c>
      <c r="L32" s="214">
        <f t="shared" si="30"/>
        <v>0</v>
      </c>
      <c r="M32" s="214">
        <f t="shared" si="30"/>
        <v>0</v>
      </c>
      <c r="N32" s="214">
        <f t="shared" si="30"/>
        <v>0</v>
      </c>
      <c r="O32" s="214">
        <f t="shared" si="30"/>
        <v>0</v>
      </c>
      <c r="P32" s="214">
        <f t="shared" si="30"/>
        <v>0</v>
      </c>
      <c r="Q32" s="214">
        <f t="shared" si="30"/>
        <v>0</v>
      </c>
      <c r="R32" s="214">
        <f t="shared" si="30"/>
        <v>0</v>
      </c>
      <c r="S32" s="214">
        <f t="shared" si="30"/>
        <v>0</v>
      </c>
      <c r="T32" s="250" t="s">
        <v>370</v>
      </c>
      <c r="U32" s="265">
        <f t="shared" ref="U32:AA32" si="31">SUM(U33:U44)</f>
        <v>0</v>
      </c>
      <c r="V32" s="217">
        <f t="shared" si="31"/>
        <v>0</v>
      </c>
      <c r="W32" s="224">
        <f t="shared" si="15"/>
        <v>0</v>
      </c>
      <c r="X32" s="225">
        <f t="shared" si="16"/>
        <v>0</v>
      </c>
      <c r="Y32" s="214">
        <f t="shared" si="31"/>
        <v>0</v>
      </c>
      <c r="Z32" s="244">
        <f t="shared" si="31"/>
        <v>0</v>
      </c>
      <c r="AA32" s="266">
        <f t="shared" si="31"/>
        <v>0</v>
      </c>
    </row>
    <row r="33" spans="1:28" s="204" customFormat="1" ht="16.5" hidden="1" customHeight="1">
      <c r="A33" s="1253"/>
      <c r="B33" s="211"/>
      <c r="C33" s="212"/>
      <c r="D33" s="212"/>
      <c r="E33" s="219" t="s">
        <v>363</v>
      </c>
      <c r="F33" s="220"/>
      <c r="G33" s="221"/>
      <c r="H33" s="220"/>
      <c r="I33" s="222"/>
      <c r="J33" s="221"/>
      <c r="K33" s="221"/>
      <c r="L33" s="221"/>
      <c r="M33" s="221"/>
      <c r="N33" s="221"/>
      <c r="O33" s="221"/>
      <c r="P33" s="221"/>
      <c r="Q33" s="221"/>
      <c r="R33" s="222" t="s">
        <v>60</v>
      </c>
      <c r="S33" s="214">
        <f t="shared" ref="S33:S44" si="32">SUM(F33:R33)</f>
        <v>0</v>
      </c>
      <c r="T33" s="250"/>
      <c r="U33" s="251">
        <f t="shared" ref="U33:U44" si="33">ROUND(S33*1/12,-1)</f>
        <v>0</v>
      </c>
      <c r="V33" s="224">
        <f t="shared" ref="V33:V44" si="34">ROUND(S33*4.5%,-1)</f>
        <v>0</v>
      </c>
      <c r="W33" s="224">
        <f t="shared" si="15"/>
        <v>0</v>
      </c>
      <c r="X33" s="225">
        <f t="shared" si="16"/>
        <v>0</v>
      </c>
      <c r="Y33" s="225">
        <f t="shared" ref="Y33:Y44" si="35">ROUND(S33*0.7%,-1)</f>
        <v>0</v>
      </c>
      <c r="Z33" s="225">
        <f>ROUND(S33*0.7%,-1)</f>
        <v>0</v>
      </c>
      <c r="AA33" s="252">
        <f t="shared" ref="AA33:AA44" si="36">SUM(U33:Z33)</f>
        <v>0</v>
      </c>
    </row>
    <row r="34" spans="1:28" s="204" customFormat="1" ht="16.5" hidden="1" customHeight="1">
      <c r="A34" s="1253"/>
      <c r="B34" s="211"/>
      <c r="C34" s="212"/>
      <c r="D34" s="212"/>
      <c r="E34" s="219" t="s">
        <v>364</v>
      </c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2" t="str">
        <f t="shared" ref="R34:R44" si="37">R33</f>
        <v>-</v>
      </c>
      <c r="S34" s="214">
        <f t="shared" si="32"/>
        <v>0</v>
      </c>
      <c r="T34" s="250"/>
      <c r="U34" s="251">
        <f t="shared" si="33"/>
        <v>0</v>
      </c>
      <c r="V34" s="224">
        <f t="shared" si="34"/>
        <v>0</v>
      </c>
      <c r="W34" s="224">
        <f t="shared" si="15"/>
        <v>0</v>
      </c>
      <c r="X34" s="225">
        <f t="shared" si="16"/>
        <v>0</v>
      </c>
      <c r="Y34" s="225">
        <f t="shared" si="35"/>
        <v>0</v>
      </c>
      <c r="Z34" s="225">
        <f t="shared" ref="Z34:Z44" si="38">ROUND(S34*0.7%,-1)</f>
        <v>0</v>
      </c>
      <c r="AA34" s="252">
        <f t="shared" si="36"/>
        <v>0</v>
      </c>
    </row>
    <row r="35" spans="1:28" s="204" customFormat="1" ht="16.5" hidden="1" customHeight="1">
      <c r="A35" s="1253"/>
      <c r="B35" s="211"/>
      <c r="C35" s="212"/>
      <c r="D35" s="212"/>
      <c r="E35" s="219" t="s">
        <v>365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2" t="str">
        <f t="shared" si="37"/>
        <v>-</v>
      </c>
      <c r="S35" s="214">
        <f t="shared" si="32"/>
        <v>0</v>
      </c>
      <c r="T35" s="250"/>
      <c r="U35" s="251">
        <f t="shared" si="33"/>
        <v>0</v>
      </c>
      <c r="V35" s="224">
        <f t="shared" si="34"/>
        <v>0</v>
      </c>
      <c r="W35" s="224">
        <f t="shared" si="15"/>
        <v>0</v>
      </c>
      <c r="X35" s="225">
        <f t="shared" si="16"/>
        <v>0</v>
      </c>
      <c r="Y35" s="225">
        <f t="shared" si="35"/>
        <v>0</v>
      </c>
      <c r="Z35" s="225">
        <f t="shared" si="38"/>
        <v>0</v>
      </c>
      <c r="AA35" s="252">
        <f t="shared" si="36"/>
        <v>0</v>
      </c>
    </row>
    <row r="36" spans="1:28" s="204" customFormat="1" ht="16.5" hidden="1" customHeight="1">
      <c r="A36" s="1253"/>
      <c r="B36" s="211"/>
      <c r="C36" s="212"/>
      <c r="D36" s="212"/>
      <c r="E36" s="219" t="s">
        <v>366</v>
      </c>
      <c r="F36" s="222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2" t="str">
        <f t="shared" si="37"/>
        <v>-</v>
      </c>
      <c r="S36" s="214">
        <f t="shared" si="32"/>
        <v>0</v>
      </c>
      <c r="T36" s="250"/>
      <c r="U36" s="251">
        <f t="shared" si="33"/>
        <v>0</v>
      </c>
      <c r="V36" s="224">
        <f t="shared" si="34"/>
        <v>0</v>
      </c>
      <c r="W36" s="224">
        <f t="shared" si="15"/>
        <v>0</v>
      </c>
      <c r="X36" s="225">
        <f t="shared" si="16"/>
        <v>0</v>
      </c>
      <c r="Y36" s="225">
        <f t="shared" si="35"/>
        <v>0</v>
      </c>
      <c r="Z36" s="225">
        <f t="shared" si="38"/>
        <v>0</v>
      </c>
      <c r="AA36" s="252">
        <f t="shared" si="36"/>
        <v>0</v>
      </c>
    </row>
    <row r="37" spans="1:28" s="204" customFormat="1" ht="16.5" hidden="1" customHeight="1">
      <c r="A37" s="1253"/>
      <c r="B37" s="211"/>
      <c r="C37" s="212"/>
      <c r="D37" s="212"/>
      <c r="E37" s="219" t="s">
        <v>367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2" t="str">
        <f t="shared" si="37"/>
        <v>-</v>
      </c>
      <c r="S37" s="214">
        <f t="shared" si="32"/>
        <v>0</v>
      </c>
      <c r="T37" s="250" t="s">
        <v>369</v>
      </c>
      <c r="U37" s="251">
        <f t="shared" si="33"/>
        <v>0</v>
      </c>
      <c r="V37" s="224">
        <f t="shared" si="34"/>
        <v>0</v>
      </c>
      <c r="W37" s="224">
        <f t="shared" si="15"/>
        <v>0</v>
      </c>
      <c r="X37" s="225">
        <f t="shared" si="16"/>
        <v>0</v>
      </c>
      <c r="Y37" s="225">
        <f t="shared" si="35"/>
        <v>0</v>
      </c>
      <c r="Z37" s="225">
        <f t="shared" si="38"/>
        <v>0</v>
      </c>
      <c r="AA37" s="252">
        <f t="shared" si="36"/>
        <v>0</v>
      </c>
    </row>
    <row r="38" spans="1:28" s="204" customFormat="1" ht="16.5" hidden="1" customHeight="1">
      <c r="A38" s="1253"/>
      <c r="B38" s="211"/>
      <c r="C38" s="212"/>
      <c r="D38" s="212"/>
      <c r="E38" s="219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2" t="str">
        <f t="shared" si="37"/>
        <v>-</v>
      </c>
      <c r="S38" s="214">
        <f t="shared" si="32"/>
        <v>0</v>
      </c>
      <c r="T38" s="250"/>
      <c r="U38" s="251">
        <f t="shared" si="33"/>
        <v>0</v>
      </c>
      <c r="V38" s="224">
        <f t="shared" si="34"/>
        <v>0</v>
      </c>
      <c r="W38" s="224">
        <f t="shared" si="15"/>
        <v>0</v>
      </c>
      <c r="X38" s="225">
        <f t="shared" si="16"/>
        <v>0</v>
      </c>
      <c r="Y38" s="225">
        <f t="shared" si="35"/>
        <v>0</v>
      </c>
      <c r="Z38" s="225">
        <f t="shared" si="38"/>
        <v>0</v>
      </c>
      <c r="AA38" s="252">
        <f t="shared" si="36"/>
        <v>0</v>
      </c>
    </row>
    <row r="39" spans="1:28" s="204" customFormat="1" ht="16.5" hidden="1" customHeight="1">
      <c r="A39" s="1253"/>
      <c r="B39" s="211"/>
      <c r="C39" s="212"/>
      <c r="D39" s="212"/>
      <c r="E39" s="219"/>
      <c r="F39" s="225"/>
      <c r="G39" s="221"/>
      <c r="H39" s="220"/>
      <c r="I39" s="222"/>
      <c r="J39" s="221"/>
      <c r="K39" s="221"/>
      <c r="L39" s="221"/>
      <c r="M39" s="221"/>
      <c r="N39" s="221"/>
      <c r="O39" s="221"/>
      <c r="P39" s="221"/>
      <c r="Q39" s="221"/>
      <c r="R39" s="222" t="str">
        <f t="shared" si="37"/>
        <v>-</v>
      </c>
      <c r="S39" s="214">
        <f t="shared" si="32"/>
        <v>0</v>
      </c>
      <c r="T39" s="250"/>
      <c r="U39" s="251">
        <f t="shared" si="33"/>
        <v>0</v>
      </c>
      <c r="V39" s="224">
        <f t="shared" si="34"/>
        <v>0</v>
      </c>
      <c r="W39" s="224">
        <f t="shared" si="15"/>
        <v>0</v>
      </c>
      <c r="X39" s="225">
        <f t="shared" si="16"/>
        <v>0</v>
      </c>
      <c r="Y39" s="225">
        <f t="shared" si="35"/>
        <v>0</v>
      </c>
      <c r="Z39" s="225">
        <f t="shared" si="38"/>
        <v>0</v>
      </c>
      <c r="AA39" s="252">
        <f t="shared" si="36"/>
        <v>0</v>
      </c>
    </row>
    <row r="40" spans="1:28" s="204" customFormat="1" ht="16.5" hidden="1" customHeight="1">
      <c r="A40" s="1253"/>
      <c r="B40" s="211"/>
      <c r="C40" s="212"/>
      <c r="D40" s="212"/>
      <c r="E40" s="219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2" t="str">
        <f t="shared" si="37"/>
        <v>-</v>
      </c>
      <c r="S40" s="214">
        <f t="shared" si="32"/>
        <v>0</v>
      </c>
      <c r="T40" s="250"/>
      <c r="U40" s="251">
        <f t="shared" si="33"/>
        <v>0</v>
      </c>
      <c r="V40" s="224">
        <f t="shared" si="34"/>
        <v>0</v>
      </c>
      <c r="W40" s="224">
        <f t="shared" si="15"/>
        <v>0</v>
      </c>
      <c r="X40" s="225">
        <f t="shared" si="16"/>
        <v>0</v>
      </c>
      <c r="Y40" s="225">
        <f t="shared" si="35"/>
        <v>0</v>
      </c>
      <c r="Z40" s="225">
        <f t="shared" si="38"/>
        <v>0</v>
      </c>
      <c r="AA40" s="252">
        <f t="shared" si="36"/>
        <v>0</v>
      </c>
    </row>
    <row r="41" spans="1:28" s="204" customFormat="1" ht="16.5" hidden="1" customHeight="1">
      <c r="A41" s="1253"/>
      <c r="B41" s="211"/>
      <c r="C41" s="212"/>
      <c r="D41" s="212"/>
      <c r="E41" s="219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2" t="str">
        <f t="shared" si="37"/>
        <v>-</v>
      </c>
      <c r="S41" s="214">
        <f t="shared" si="32"/>
        <v>0</v>
      </c>
      <c r="T41" s="250"/>
      <c r="U41" s="251">
        <f t="shared" si="33"/>
        <v>0</v>
      </c>
      <c r="V41" s="224">
        <f t="shared" si="34"/>
        <v>0</v>
      </c>
      <c r="W41" s="224">
        <f t="shared" si="15"/>
        <v>0</v>
      </c>
      <c r="X41" s="225">
        <f t="shared" si="16"/>
        <v>0</v>
      </c>
      <c r="Y41" s="225">
        <f t="shared" si="35"/>
        <v>0</v>
      </c>
      <c r="Z41" s="225">
        <f t="shared" si="38"/>
        <v>0</v>
      </c>
      <c r="AA41" s="252">
        <f t="shared" si="36"/>
        <v>0</v>
      </c>
    </row>
    <row r="42" spans="1:28" s="204" customFormat="1" ht="16.5" hidden="1" customHeight="1">
      <c r="A42" s="1253"/>
      <c r="B42" s="211"/>
      <c r="C42" s="212"/>
      <c r="D42" s="212"/>
      <c r="E42" s="219"/>
      <c r="F42" s="220"/>
      <c r="G42" s="221"/>
      <c r="H42" s="221"/>
      <c r="I42" s="220"/>
      <c r="J42" s="221"/>
      <c r="K42" s="221"/>
      <c r="L42" s="221"/>
      <c r="M42" s="221"/>
      <c r="N42" s="221"/>
      <c r="O42" s="221"/>
      <c r="P42" s="221"/>
      <c r="Q42" s="221"/>
      <c r="R42" s="222" t="str">
        <f t="shared" si="37"/>
        <v>-</v>
      </c>
      <c r="S42" s="214">
        <f t="shared" si="32"/>
        <v>0</v>
      </c>
      <c r="T42" s="250"/>
      <c r="U42" s="251">
        <f t="shared" si="33"/>
        <v>0</v>
      </c>
      <c r="V42" s="224">
        <f t="shared" si="34"/>
        <v>0</v>
      </c>
      <c r="W42" s="224">
        <f t="shared" si="15"/>
        <v>0</v>
      </c>
      <c r="X42" s="225">
        <f t="shared" si="16"/>
        <v>0</v>
      </c>
      <c r="Y42" s="225">
        <f t="shared" si="35"/>
        <v>0</v>
      </c>
      <c r="Z42" s="225">
        <f t="shared" si="38"/>
        <v>0</v>
      </c>
      <c r="AA42" s="252">
        <f t="shared" si="36"/>
        <v>0</v>
      </c>
    </row>
    <row r="43" spans="1:28" s="204" customFormat="1" ht="16.5" hidden="1" customHeight="1">
      <c r="A43" s="1253"/>
      <c r="B43" s="211"/>
      <c r="C43" s="212"/>
      <c r="D43" s="212"/>
      <c r="E43" s="219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2" t="str">
        <f t="shared" si="37"/>
        <v>-</v>
      </c>
      <c r="S43" s="214">
        <f t="shared" si="32"/>
        <v>0</v>
      </c>
      <c r="T43" s="250"/>
      <c r="U43" s="251">
        <f t="shared" si="33"/>
        <v>0</v>
      </c>
      <c r="V43" s="224">
        <f t="shared" si="34"/>
        <v>0</v>
      </c>
      <c r="W43" s="224">
        <f t="shared" si="15"/>
        <v>0</v>
      </c>
      <c r="X43" s="225">
        <f t="shared" si="16"/>
        <v>0</v>
      </c>
      <c r="Y43" s="225">
        <f t="shared" si="35"/>
        <v>0</v>
      </c>
      <c r="Z43" s="225">
        <f t="shared" si="38"/>
        <v>0</v>
      </c>
      <c r="AA43" s="252">
        <f t="shared" si="36"/>
        <v>0</v>
      </c>
    </row>
    <row r="44" spans="1:28" s="204" customFormat="1" ht="16.5" hidden="1" customHeight="1">
      <c r="A44" s="1254"/>
      <c r="B44" s="254"/>
      <c r="C44" s="255"/>
      <c r="D44" s="255"/>
      <c r="E44" s="256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58" t="str">
        <f t="shared" si="37"/>
        <v>-</v>
      </c>
      <c r="S44" s="259">
        <f t="shared" si="32"/>
        <v>0</v>
      </c>
      <c r="T44" s="260"/>
      <c r="U44" s="261">
        <f t="shared" si="33"/>
        <v>0</v>
      </c>
      <c r="V44" s="262">
        <f t="shared" si="34"/>
        <v>0</v>
      </c>
      <c r="W44" s="224">
        <f t="shared" si="15"/>
        <v>0</v>
      </c>
      <c r="X44" s="225">
        <f t="shared" si="16"/>
        <v>0</v>
      </c>
      <c r="Y44" s="263">
        <f t="shared" si="35"/>
        <v>0</v>
      </c>
      <c r="Z44" s="225">
        <f t="shared" si="38"/>
        <v>0</v>
      </c>
      <c r="AA44" s="264">
        <f t="shared" si="36"/>
        <v>0</v>
      </c>
    </row>
    <row r="45" spans="1:28" hidden="1">
      <c r="A45" s="267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9"/>
      <c r="U45" s="270"/>
      <c r="V45" s="268"/>
      <c r="W45" s="224">
        <f t="shared" si="15"/>
        <v>0</v>
      </c>
      <c r="X45" s="225">
        <f t="shared" si="16"/>
        <v>0</v>
      </c>
      <c r="Y45" s="268"/>
      <c r="Z45" s="268"/>
      <c r="AA45" s="268"/>
    </row>
    <row r="46" spans="1:28" hidden="1">
      <c r="A46" s="272"/>
      <c r="B46" s="273"/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4"/>
      <c r="U46" s="275"/>
      <c r="W46" s="224">
        <f t="shared" si="15"/>
        <v>0</v>
      </c>
      <c r="X46" s="225">
        <f t="shared" si="16"/>
        <v>0</v>
      </c>
    </row>
    <row r="47" spans="1:28" ht="14.25" hidden="1">
      <c r="A47" s="1248" t="s">
        <v>405</v>
      </c>
      <c r="B47" s="1244"/>
      <c r="C47" s="1244"/>
      <c r="D47" s="1244"/>
      <c r="E47" s="1244"/>
      <c r="F47" s="276"/>
      <c r="G47" s="276"/>
      <c r="H47" s="276"/>
      <c r="I47" s="276"/>
      <c r="J47" s="276"/>
      <c r="K47" s="277"/>
      <c r="L47" s="277"/>
      <c r="M47" s="277"/>
      <c r="N47" s="278"/>
      <c r="O47" s="191"/>
      <c r="P47" s="191"/>
      <c r="Q47" s="191"/>
      <c r="R47" s="191"/>
      <c r="S47" s="276"/>
      <c r="T47" s="276"/>
      <c r="U47" s="279"/>
      <c r="V47" s="188"/>
      <c r="W47" s="224">
        <f t="shared" si="15"/>
        <v>0</v>
      </c>
      <c r="X47" s="225">
        <f t="shared" si="16"/>
        <v>0</v>
      </c>
      <c r="Y47" s="188"/>
      <c r="Z47" s="188"/>
      <c r="AA47" s="191"/>
      <c r="AB47" s="193" t="s">
        <v>65</v>
      </c>
    </row>
    <row r="48" spans="1:28" ht="36.75" hidden="1" thickBot="1">
      <c r="A48" s="280" t="s">
        <v>66</v>
      </c>
      <c r="B48" s="281" t="s">
        <v>67</v>
      </c>
      <c r="C48" s="281" t="s">
        <v>68</v>
      </c>
      <c r="D48" s="281" t="s">
        <v>69</v>
      </c>
      <c r="E48" s="281" t="s">
        <v>70</v>
      </c>
      <c r="F48" s="282" t="s">
        <v>71</v>
      </c>
      <c r="G48" s="283" t="s">
        <v>72</v>
      </c>
      <c r="H48" s="283" t="s">
        <v>73</v>
      </c>
      <c r="I48" s="283" t="s">
        <v>74</v>
      </c>
      <c r="J48" s="281" t="s">
        <v>75</v>
      </c>
      <c r="K48" s="283" t="s">
        <v>400</v>
      </c>
      <c r="L48" s="283" t="s">
        <v>361</v>
      </c>
      <c r="M48" s="283" t="s">
        <v>76</v>
      </c>
      <c r="N48" s="283" t="s">
        <v>388</v>
      </c>
      <c r="O48" s="283" t="s">
        <v>77</v>
      </c>
      <c r="P48" s="283" t="s">
        <v>40</v>
      </c>
      <c r="Q48" s="283" t="s">
        <v>326</v>
      </c>
      <c r="R48" s="283" t="s">
        <v>14</v>
      </c>
      <c r="S48" s="283" t="s">
        <v>53</v>
      </c>
      <c r="T48" s="284" t="s">
        <v>78</v>
      </c>
      <c r="U48" s="285" t="s">
        <v>79</v>
      </c>
      <c r="V48" s="286" t="s">
        <v>38</v>
      </c>
      <c r="W48" s="224" t="e">
        <f t="shared" si="15"/>
        <v>#VALUE!</v>
      </c>
      <c r="X48" s="225" t="e">
        <f t="shared" si="16"/>
        <v>#VALUE!</v>
      </c>
      <c r="Y48" s="287" t="s">
        <v>266</v>
      </c>
      <c r="Z48" s="288" t="s">
        <v>82</v>
      </c>
      <c r="AA48" s="287" t="s">
        <v>83</v>
      </c>
      <c r="AB48" s="289" t="s">
        <v>84</v>
      </c>
    </row>
    <row r="49" spans="1:28" hidden="1">
      <c r="A49" s="1257"/>
      <c r="B49" s="1243"/>
      <c r="C49" s="1243"/>
      <c r="D49" s="1243"/>
      <c r="E49" s="1243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90"/>
      <c r="V49" s="208"/>
      <c r="W49" s="224">
        <f t="shared" si="15"/>
        <v>0</v>
      </c>
      <c r="X49" s="225">
        <f t="shared" si="16"/>
        <v>0</v>
      </c>
      <c r="Y49" s="208"/>
      <c r="Z49" s="208"/>
      <c r="AA49" s="208"/>
      <c r="AB49" s="208"/>
    </row>
    <row r="50" spans="1:28" ht="18" hidden="1" customHeight="1">
      <c r="A50" s="1258">
        <v>1</v>
      </c>
      <c r="B50" s="254" t="s">
        <v>87</v>
      </c>
      <c r="C50" s="255">
        <v>1</v>
      </c>
      <c r="D50" s="255">
        <v>1</v>
      </c>
      <c r="E50" s="291" t="s">
        <v>86</v>
      </c>
      <c r="F50" s="259">
        <f t="shared" ref="F50:S50" si="39">SUM(F51:F62)</f>
        <v>0</v>
      </c>
      <c r="G50" s="259">
        <f t="shared" si="39"/>
        <v>0</v>
      </c>
      <c r="H50" s="259">
        <f>SUM(H51:H62)</f>
        <v>0</v>
      </c>
      <c r="I50" s="259">
        <f t="shared" si="39"/>
        <v>0</v>
      </c>
      <c r="J50" s="259">
        <f t="shared" si="39"/>
        <v>0</v>
      </c>
      <c r="K50" s="259">
        <f t="shared" si="39"/>
        <v>0</v>
      </c>
      <c r="L50" s="259">
        <f t="shared" si="39"/>
        <v>0</v>
      </c>
      <c r="M50" s="259">
        <f t="shared" si="39"/>
        <v>0</v>
      </c>
      <c r="N50" s="259">
        <f t="shared" si="39"/>
        <v>0</v>
      </c>
      <c r="O50" s="259">
        <f t="shared" si="39"/>
        <v>0</v>
      </c>
      <c r="P50" s="259"/>
      <c r="Q50" s="259">
        <f t="shared" si="39"/>
        <v>0</v>
      </c>
      <c r="R50" s="259">
        <f t="shared" si="39"/>
        <v>0</v>
      </c>
      <c r="S50" s="259">
        <f t="shared" si="39"/>
        <v>0</v>
      </c>
      <c r="T50" s="292">
        <f>SUM(T51:T62)</f>
        <v>0</v>
      </c>
      <c r="U50" s="293"/>
      <c r="V50" s="217">
        <f>SUM(V51:V62)</f>
        <v>0</v>
      </c>
      <c r="W50" s="224">
        <f t="shared" si="15"/>
        <v>0</v>
      </c>
      <c r="X50" s="225">
        <f t="shared" si="16"/>
        <v>0</v>
      </c>
      <c r="Y50" s="214">
        <f t="shared" ref="Y50:AB50" si="40">SUM(Y51:Y62)</f>
        <v>0</v>
      </c>
      <c r="Z50" s="214">
        <f>SUM(Z51:Z62)</f>
        <v>0</v>
      </c>
      <c r="AA50" s="214">
        <f t="shared" si="40"/>
        <v>0</v>
      </c>
      <c r="AB50" s="266">
        <f t="shared" si="40"/>
        <v>0</v>
      </c>
    </row>
    <row r="51" spans="1:28" hidden="1">
      <c r="A51" s="1258"/>
      <c r="B51" s="239" t="s">
        <v>396</v>
      </c>
      <c r="C51" s="240"/>
      <c r="D51" s="240"/>
      <c r="E51" s="241" t="s">
        <v>273</v>
      </c>
      <c r="F51" s="294"/>
      <c r="G51" s="242"/>
      <c r="H51" s="294"/>
      <c r="I51" s="294"/>
      <c r="J51" s="242"/>
      <c r="K51" s="242"/>
      <c r="L51" s="242"/>
      <c r="M51" s="221"/>
      <c r="N51" s="242"/>
      <c r="O51" s="242"/>
      <c r="P51" s="242"/>
      <c r="Q51" s="242"/>
      <c r="R51" s="242"/>
      <c r="S51" s="243"/>
      <c r="T51" s="295"/>
      <c r="U51" s="296"/>
      <c r="V51" s="224">
        <f>ROUNDUP(T51*1/12,-1)</f>
        <v>0</v>
      </c>
      <c r="W51" s="224">
        <f t="shared" si="15"/>
        <v>0</v>
      </c>
      <c r="X51" s="225">
        <f t="shared" si="16"/>
        <v>0</v>
      </c>
      <c r="Y51" s="225">
        <f>ROUNDUP(X51*6.55%,-1)</f>
        <v>0</v>
      </c>
      <c r="Z51" s="225">
        <f>ROUND(T51*0.8%,-1)</f>
        <v>0</v>
      </c>
      <c r="AA51" s="225">
        <f>ROUND(T51*0.785%,-1)</f>
        <v>0</v>
      </c>
      <c r="AB51" s="252">
        <f t="shared" ref="AB51:AB62" si="41">SUM(V51:AA51)</f>
        <v>0</v>
      </c>
    </row>
    <row r="52" spans="1:28" hidden="1">
      <c r="A52" s="1258"/>
      <c r="B52" s="211"/>
      <c r="C52" s="212"/>
      <c r="D52" s="212"/>
      <c r="E52" s="219" t="s">
        <v>274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2"/>
      <c r="T52" s="295"/>
      <c r="U52" s="297"/>
      <c r="V52" s="224">
        <f t="shared" ref="V52:V62" si="42">ROUNDUP(T52*1/12,-1)</f>
        <v>0</v>
      </c>
      <c r="W52" s="224">
        <f t="shared" si="15"/>
        <v>0</v>
      </c>
      <c r="X52" s="225">
        <f t="shared" si="16"/>
        <v>0</v>
      </c>
      <c r="Y52" s="225">
        <f t="shared" ref="Y52:Y62" si="43">ROUNDUP(X52*6.55%,-1)</f>
        <v>0</v>
      </c>
      <c r="Z52" s="225">
        <f t="shared" ref="Z52:Z62" si="44">ROUND(T52*0.8%,-1)</f>
        <v>0</v>
      </c>
      <c r="AA52" s="225">
        <f t="shared" ref="AA52:AA62" si="45">ROUND(T52*0.785%,-1)</f>
        <v>0</v>
      </c>
      <c r="AB52" s="252">
        <f t="shared" si="41"/>
        <v>0</v>
      </c>
    </row>
    <row r="53" spans="1:28" hidden="1">
      <c r="A53" s="1258"/>
      <c r="B53" s="211"/>
      <c r="C53" s="212"/>
      <c r="D53" s="212"/>
      <c r="E53" s="219" t="s">
        <v>275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2"/>
      <c r="T53" s="295"/>
      <c r="U53" s="297"/>
      <c r="V53" s="224">
        <f t="shared" si="42"/>
        <v>0</v>
      </c>
      <c r="W53" s="224">
        <f t="shared" si="15"/>
        <v>0</v>
      </c>
      <c r="X53" s="225">
        <f t="shared" si="16"/>
        <v>0</v>
      </c>
      <c r="Y53" s="225">
        <f t="shared" si="43"/>
        <v>0</v>
      </c>
      <c r="Z53" s="225">
        <f t="shared" si="44"/>
        <v>0</v>
      </c>
      <c r="AA53" s="225">
        <f t="shared" si="45"/>
        <v>0</v>
      </c>
      <c r="AB53" s="252">
        <f t="shared" si="41"/>
        <v>0</v>
      </c>
    </row>
    <row r="54" spans="1:28" hidden="1">
      <c r="A54" s="1258"/>
      <c r="B54" s="211"/>
      <c r="C54" s="212"/>
      <c r="D54" s="212"/>
      <c r="E54" s="219" t="s">
        <v>276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2"/>
      <c r="T54" s="295"/>
      <c r="U54" s="297"/>
      <c r="V54" s="224">
        <f t="shared" si="42"/>
        <v>0</v>
      </c>
      <c r="W54" s="224">
        <f t="shared" si="15"/>
        <v>0</v>
      </c>
      <c r="X54" s="225">
        <f t="shared" si="16"/>
        <v>0</v>
      </c>
      <c r="Y54" s="225">
        <f t="shared" si="43"/>
        <v>0</v>
      </c>
      <c r="Z54" s="225">
        <f t="shared" si="44"/>
        <v>0</v>
      </c>
      <c r="AA54" s="225">
        <f t="shared" si="45"/>
        <v>0</v>
      </c>
      <c r="AB54" s="252">
        <f t="shared" si="41"/>
        <v>0</v>
      </c>
    </row>
    <row r="55" spans="1:28" hidden="1">
      <c r="A55" s="1258"/>
      <c r="B55" s="211"/>
      <c r="C55" s="212"/>
      <c r="D55" s="212"/>
      <c r="E55" s="219" t="s">
        <v>277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2"/>
      <c r="T55" s="295"/>
      <c r="U55" s="297"/>
      <c r="V55" s="224">
        <f t="shared" si="42"/>
        <v>0</v>
      </c>
      <c r="W55" s="224">
        <f t="shared" si="15"/>
        <v>0</v>
      </c>
      <c r="X55" s="225">
        <f t="shared" si="16"/>
        <v>0</v>
      </c>
      <c r="Y55" s="225">
        <f t="shared" si="43"/>
        <v>0</v>
      </c>
      <c r="Z55" s="225">
        <f t="shared" si="44"/>
        <v>0</v>
      </c>
      <c r="AA55" s="225">
        <f>ROUND(T55*0.785%,-1)</f>
        <v>0</v>
      </c>
      <c r="AB55" s="252">
        <f t="shared" si="41"/>
        <v>0</v>
      </c>
    </row>
    <row r="56" spans="1:28" hidden="1">
      <c r="A56" s="1258"/>
      <c r="B56" s="211"/>
      <c r="C56" s="212"/>
      <c r="D56" s="212"/>
      <c r="E56" s="219" t="s">
        <v>278</v>
      </c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2"/>
      <c r="T56" s="295"/>
      <c r="U56" s="297"/>
      <c r="V56" s="224">
        <f t="shared" si="42"/>
        <v>0</v>
      </c>
      <c r="W56" s="224">
        <f t="shared" si="15"/>
        <v>0</v>
      </c>
      <c r="X56" s="225">
        <f t="shared" si="16"/>
        <v>0</v>
      </c>
      <c r="Y56" s="225">
        <f t="shared" si="43"/>
        <v>0</v>
      </c>
      <c r="Z56" s="225">
        <f t="shared" si="44"/>
        <v>0</v>
      </c>
      <c r="AA56" s="225">
        <f t="shared" si="45"/>
        <v>0</v>
      </c>
      <c r="AB56" s="252">
        <f t="shared" si="41"/>
        <v>0</v>
      </c>
    </row>
    <row r="57" spans="1:28" hidden="1">
      <c r="A57" s="1258"/>
      <c r="B57" s="211"/>
      <c r="C57" s="212">
        <v>1</v>
      </c>
      <c r="D57" s="212"/>
      <c r="E57" s="219" t="s">
        <v>279</v>
      </c>
      <c r="F57" s="220"/>
      <c r="G57" s="221"/>
      <c r="H57" s="220"/>
      <c r="I57" s="222"/>
      <c r="J57" s="221"/>
      <c r="K57" s="221"/>
      <c r="L57" s="221"/>
      <c r="M57" s="221"/>
      <c r="N57" s="221"/>
      <c r="O57" s="221"/>
      <c r="P57" s="221"/>
      <c r="Q57" s="221"/>
      <c r="R57" s="221"/>
      <c r="S57" s="222"/>
      <c r="T57" s="295"/>
      <c r="U57" s="297"/>
      <c r="V57" s="224">
        <f t="shared" si="42"/>
        <v>0</v>
      </c>
      <c r="W57" s="224">
        <f t="shared" si="15"/>
        <v>0</v>
      </c>
      <c r="X57" s="225">
        <f t="shared" si="16"/>
        <v>0</v>
      </c>
      <c r="Y57" s="225">
        <f t="shared" si="43"/>
        <v>0</v>
      </c>
      <c r="Z57" s="225">
        <f t="shared" si="44"/>
        <v>0</v>
      </c>
      <c r="AA57" s="225">
        <f t="shared" si="45"/>
        <v>0</v>
      </c>
      <c r="AB57" s="252">
        <f t="shared" si="41"/>
        <v>0</v>
      </c>
    </row>
    <row r="58" spans="1:28" hidden="1">
      <c r="A58" s="1258"/>
      <c r="B58" s="211"/>
      <c r="C58" s="212"/>
      <c r="D58" s="212"/>
      <c r="E58" s="219" t="s">
        <v>280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2"/>
      <c r="T58" s="295"/>
      <c r="U58" s="297"/>
      <c r="V58" s="224">
        <f t="shared" si="42"/>
        <v>0</v>
      </c>
      <c r="W58" s="224">
        <f t="shared" si="15"/>
        <v>0</v>
      </c>
      <c r="X58" s="225">
        <f t="shared" si="16"/>
        <v>0</v>
      </c>
      <c r="Y58" s="225">
        <f t="shared" si="43"/>
        <v>0</v>
      </c>
      <c r="Z58" s="225">
        <f t="shared" si="44"/>
        <v>0</v>
      </c>
      <c r="AA58" s="225">
        <f t="shared" si="45"/>
        <v>0</v>
      </c>
      <c r="AB58" s="252">
        <f t="shared" si="41"/>
        <v>0</v>
      </c>
    </row>
    <row r="59" spans="1:28" hidden="1">
      <c r="A59" s="1258"/>
      <c r="B59" s="211"/>
      <c r="C59" s="212"/>
      <c r="D59" s="212"/>
      <c r="E59" s="219" t="s">
        <v>54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2"/>
      <c r="T59" s="295"/>
      <c r="U59" s="297"/>
      <c r="V59" s="224">
        <f t="shared" si="42"/>
        <v>0</v>
      </c>
      <c r="W59" s="224">
        <f t="shared" si="15"/>
        <v>0</v>
      </c>
      <c r="X59" s="225">
        <f t="shared" si="16"/>
        <v>0</v>
      </c>
      <c r="Y59" s="225">
        <f t="shared" si="43"/>
        <v>0</v>
      </c>
      <c r="Z59" s="225">
        <f t="shared" si="44"/>
        <v>0</v>
      </c>
      <c r="AA59" s="225">
        <f t="shared" si="45"/>
        <v>0</v>
      </c>
      <c r="AB59" s="252">
        <f t="shared" si="41"/>
        <v>0</v>
      </c>
    </row>
    <row r="60" spans="1:28" hidden="1">
      <c r="A60" s="1258"/>
      <c r="B60" s="211"/>
      <c r="C60" s="212"/>
      <c r="D60" s="212"/>
      <c r="E60" s="219" t="s">
        <v>55</v>
      </c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2"/>
      <c r="T60" s="295"/>
      <c r="U60" s="297"/>
      <c r="V60" s="224">
        <f t="shared" si="42"/>
        <v>0</v>
      </c>
      <c r="W60" s="224">
        <f t="shared" si="15"/>
        <v>0</v>
      </c>
      <c r="X60" s="225">
        <f t="shared" si="16"/>
        <v>0</v>
      </c>
      <c r="Y60" s="225">
        <f t="shared" si="43"/>
        <v>0</v>
      </c>
      <c r="Z60" s="225">
        <f t="shared" si="44"/>
        <v>0</v>
      </c>
      <c r="AA60" s="225">
        <f t="shared" si="45"/>
        <v>0</v>
      </c>
      <c r="AB60" s="252">
        <f t="shared" si="41"/>
        <v>0</v>
      </c>
    </row>
    <row r="61" spans="1:28" hidden="1">
      <c r="A61" s="1258"/>
      <c r="B61" s="211"/>
      <c r="C61" s="212"/>
      <c r="D61" s="212"/>
      <c r="E61" s="219" t="s">
        <v>56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2"/>
      <c r="T61" s="295"/>
      <c r="U61" s="297"/>
      <c r="V61" s="224">
        <f t="shared" si="42"/>
        <v>0</v>
      </c>
      <c r="W61" s="224">
        <f t="shared" si="15"/>
        <v>0</v>
      </c>
      <c r="X61" s="225">
        <f t="shared" si="16"/>
        <v>0</v>
      </c>
      <c r="Y61" s="225">
        <f t="shared" si="43"/>
        <v>0</v>
      </c>
      <c r="Z61" s="225">
        <f t="shared" si="44"/>
        <v>0</v>
      </c>
      <c r="AA61" s="225">
        <f t="shared" si="45"/>
        <v>0</v>
      </c>
      <c r="AB61" s="252">
        <f t="shared" si="41"/>
        <v>0</v>
      </c>
    </row>
    <row r="62" spans="1:28" hidden="1">
      <c r="A62" s="1259"/>
      <c r="B62" s="254"/>
      <c r="C62" s="255"/>
      <c r="D62" s="255"/>
      <c r="E62" s="256" t="s">
        <v>281</v>
      </c>
      <c r="F62" s="257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8"/>
      <c r="T62" s="295"/>
      <c r="U62" s="293"/>
      <c r="V62" s="262">
        <f t="shared" si="42"/>
        <v>0</v>
      </c>
      <c r="W62" s="224">
        <f t="shared" si="15"/>
        <v>0</v>
      </c>
      <c r="X62" s="225">
        <f t="shared" si="16"/>
        <v>0</v>
      </c>
      <c r="Y62" s="263">
        <f t="shared" si="43"/>
        <v>0</v>
      </c>
      <c r="Z62" s="225">
        <f t="shared" si="44"/>
        <v>0</v>
      </c>
      <c r="AA62" s="225">
        <f t="shared" si="45"/>
        <v>0</v>
      </c>
      <c r="AB62" s="264">
        <f t="shared" si="41"/>
        <v>0</v>
      </c>
    </row>
    <row r="63" spans="1:28" ht="18" hidden="1" customHeight="1">
      <c r="A63" s="1260"/>
      <c r="B63" s="254"/>
      <c r="C63" s="255"/>
      <c r="D63" s="255"/>
      <c r="E63" s="291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92"/>
      <c r="U63" s="293"/>
      <c r="V63" s="217"/>
      <c r="W63" s="224">
        <f t="shared" si="15"/>
        <v>0</v>
      </c>
      <c r="X63" s="225">
        <f t="shared" si="16"/>
        <v>0</v>
      </c>
      <c r="Y63" s="214"/>
      <c r="Z63" s="214"/>
      <c r="AA63" s="214"/>
      <c r="AB63" s="266"/>
    </row>
    <row r="64" spans="1:28" hidden="1">
      <c r="A64" s="1258"/>
      <c r="B64" s="239"/>
      <c r="C64" s="240"/>
      <c r="D64" s="240"/>
      <c r="E64" s="241"/>
      <c r="F64" s="294"/>
      <c r="G64" s="242"/>
      <c r="H64" s="294"/>
      <c r="I64" s="294"/>
      <c r="J64" s="242"/>
      <c r="K64" s="242"/>
      <c r="L64" s="242"/>
      <c r="M64" s="242"/>
      <c r="N64" s="221"/>
      <c r="O64" s="242"/>
      <c r="P64" s="221"/>
      <c r="Q64" s="242"/>
      <c r="R64" s="242"/>
      <c r="S64" s="243"/>
      <c r="T64" s="295"/>
      <c r="U64" s="296"/>
      <c r="V64" s="224"/>
      <c r="W64" s="224">
        <f t="shared" si="15"/>
        <v>0</v>
      </c>
      <c r="X64" s="225">
        <f t="shared" si="16"/>
        <v>0</v>
      </c>
      <c r="Y64" s="225"/>
      <c r="Z64" s="225"/>
      <c r="AA64" s="225"/>
      <c r="AB64" s="252"/>
    </row>
    <row r="65" spans="1:28" hidden="1">
      <c r="A65" s="1258"/>
      <c r="B65" s="211"/>
      <c r="C65" s="212"/>
      <c r="D65" s="212"/>
      <c r="E65" s="219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2"/>
      <c r="T65" s="295"/>
      <c r="U65" s="297"/>
      <c r="V65" s="224"/>
      <c r="W65" s="224">
        <f t="shared" si="15"/>
        <v>0</v>
      </c>
      <c r="X65" s="225">
        <f t="shared" si="16"/>
        <v>0</v>
      </c>
      <c r="Y65" s="225"/>
      <c r="Z65" s="225"/>
      <c r="AA65" s="225"/>
      <c r="AB65" s="252"/>
    </row>
    <row r="66" spans="1:28" hidden="1">
      <c r="A66" s="1258"/>
      <c r="B66" s="211"/>
      <c r="C66" s="212"/>
      <c r="D66" s="212"/>
      <c r="E66" s="219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2"/>
      <c r="T66" s="295"/>
      <c r="U66" s="297"/>
      <c r="V66" s="224"/>
      <c r="W66" s="224">
        <f t="shared" si="15"/>
        <v>0</v>
      </c>
      <c r="X66" s="225">
        <f t="shared" si="16"/>
        <v>0</v>
      </c>
      <c r="Y66" s="225"/>
      <c r="Z66" s="225"/>
      <c r="AA66" s="225"/>
      <c r="AB66" s="252"/>
    </row>
    <row r="67" spans="1:28" hidden="1">
      <c r="A67" s="1258"/>
      <c r="B67" s="211"/>
      <c r="C67" s="212"/>
      <c r="D67" s="212"/>
      <c r="E67" s="219">
        <v>0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2"/>
      <c r="T67" s="295"/>
      <c r="U67" s="297"/>
      <c r="V67" s="224"/>
      <c r="W67" s="224">
        <f t="shared" si="15"/>
        <v>0</v>
      </c>
      <c r="X67" s="225">
        <f t="shared" si="16"/>
        <v>0</v>
      </c>
      <c r="Y67" s="225"/>
      <c r="Z67" s="225"/>
      <c r="AA67" s="225"/>
      <c r="AB67" s="252"/>
    </row>
    <row r="68" spans="1:28" hidden="1">
      <c r="A68" s="1258"/>
      <c r="B68" s="211"/>
      <c r="C68" s="212"/>
      <c r="D68" s="212"/>
      <c r="E68" s="219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2"/>
      <c r="T68" s="295"/>
      <c r="U68" s="297"/>
      <c r="V68" s="224"/>
      <c r="W68" s="224">
        <f t="shared" si="15"/>
        <v>0</v>
      </c>
      <c r="X68" s="225">
        <f t="shared" si="16"/>
        <v>0</v>
      </c>
      <c r="Y68" s="225"/>
      <c r="Z68" s="225"/>
      <c r="AA68" s="225"/>
      <c r="AB68" s="252"/>
    </row>
    <row r="69" spans="1:28" hidden="1">
      <c r="A69" s="1258"/>
      <c r="B69" s="211"/>
      <c r="C69" s="212"/>
      <c r="D69" s="212"/>
      <c r="E69" s="219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2"/>
      <c r="T69" s="295"/>
      <c r="U69" s="297"/>
      <c r="V69" s="224"/>
      <c r="W69" s="224">
        <f t="shared" si="15"/>
        <v>0</v>
      </c>
      <c r="X69" s="225">
        <f t="shared" si="16"/>
        <v>0</v>
      </c>
      <c r="Y69" s="225"/>
      <c r="Z69" s="225"/>
      <c r="AA69" s="225"/>
      <c r="AB69" s="252"/>
    </row>
    <row r="70" spans="1:28" hidden="1">
      <c r="A70" s="1258"/>
      <c r="B70" s="211"/>
      <c r="C70" s="212"/>
      <c r="D70" s="212"/>
      <c r="E70" s="219"/>
      <c r="F70" s="221"/>
      <c r="G70" s="221"/>
      <c r="H70" s="220"/>
      <c r="I70" s="222"/>
      <c r="J70" s="221"/>
      <c r="K70" s="221"/>
      <c r="L70" s="221"/>
      <c r="M70" s="221"/>
      <c r="N70" s="221"/>
      <c r="O70" s="221"/>
      <c r="P70" s="221"/>
      <c r="Q70" s="221"/>
      <c r="R70" s="221"/>
      <c r="S70" s="222"/>
      <c r="T70" s="295"/>
      <c r="U70" s="297"/>
      <c r="V70" s="224"/>
      <c r="W70" s="224">
        <f t="shared" si="15"/>
        <v>0</v>
      </c>
      <c r="X70" s="225">
        <f t="shared" si="16"/>
        <v>0</v>
      </c>
      <c r="Y70" s="225"/>
      <c r="Z70" s="225"/>
      <c r="AA70" s="225"/>
      <c r="AB70" s="252"/>
    </row>
    <row r="71" spans="1:28" hidden="1">
      <c r="A71" s="1258"/>
      <c r="B71" s="211"/>
      <c r="C71" s="212"/>
      <c r="D71" s="212"/>
      <c r="E71" s="219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2"/>
      <c r="T71" s="295"/>
      <c r="U71" s="297"/>
      <c r="V71" s="224"/>
      <c r="W71" s="224">
        <f t="shared" si="15"/>
        <v>0</v>
      </c>
      <c r="X71" s="225">
        <f t="shared" si="16"/>
        <v>0</v>
      </c>
      <c r="Y71" s="225"/>
      <c r="Z71" s="225"/>
      <c r="AA71" s="225"/>
      <c r="AB71" s="252"/>
    </row>
    <row r="72" spans="1:28" hidden="1">
      <c r="A72" s="1258"/>
      <c r="B72" s="211"/>
      <c r="C72" s="212"/>
      <c r="D72" s="212"/>
      <c r="E72" s="219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2"/>
      <c r="T72" s="295"/>
      <c r="U72" s="297"/>
      <c r="V72" s="224"/>
      <c r="W72" s="224">
        <f t="shared" ref="W72:W126" si="46">ROUNDUP((S72-J72)*3.12%,-1)</f>
        <v>0</v>
      </c>
      <c r="X72" s="225">
        <f t="shared" ref="X72:X126" si="47">ROUNDUP(W72*7.38%,-1)</f>
        <v>0</v>
      </c>
      <c r="Y72" s="225"/>
      <c r="Z72" s="225"/>
      <c r="AA72" s="225"/>
      <c r="AB72" s="252"/>
    </row>
    <row r="73" spans="1:28" hidden="1">
      <c r="A73" s="1258"/>
      <c r="B73" s="211"/>
      <c r="C73" s="212"/>
      <c r="D73" s="212"/>
      <c r="E73" s="219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2"/>
      <c r="T73" s="295"/>
      <c r="U73" s="297"/>
      <c r="V73" s="224"/>
      <c r="W73" s="224">
        <f t="shared" si="46"/>
        <v>0</v>
      </c>
      <c r="X73" s="225">
        <f t="shared" si="47"/>
        <v>0</v>
      </c>
      <c r="Y73" s="225"/>
      <c r="Z73" s="225"/>
      <c r="AA73" s="225"/>
      <c r="AB73" s="252"/>
    </row>
    <row r="74" spans="1:28" hidden="1">
      <c r="A74" s="1258"/>
      <c r="B74" s="211"/>
      <c r="C74" s="212"/>
      <c r="D74" s="212"/>
      <c r="E74" s="219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2"/>
      <c r="T74" s="295"/>
      <c r="U74" s="297"/>
      <c r="V74" s="224"/>
      <c r="W74" s="224">
        <f t="shared" si="46"/>
        <v>0</v>
      </c>
      <c r="X74" s="225">
        <f t="shared" si="47"/>
        <v>0</v>
      </c>
      <c r="Y74" s="225"/>
      <c r="Z74" s="225"/>
      <c r="AA74" s="225"/>
      <c r="AB74" s="252"/>
    </row>
    <row r="75" spans="1:28" hidden="1">
      <c r="A75" s="1259"/>
      <c r="B75" s="254"/>
      <c r="C75" s="255"/>
      <c r="D75" s="255"/>
      <c r="E75" s="256"/>
      <c r="F75" s="221"/>
      <c r="G75" s="257"/>
      <c r="H75" s="257"/>
      <c r="I75" s="257"/>
      <c r="J75" s="257"/>
      <c r="K75" s="221"/>
      <c r="L75" s="257"/>
      <c r="M75" s="257"/>
      <c r="N75" s="221"/>
      <c r="O75" s="221"/>
      <c r="P75" s="221"/>
      <c r="Q75" s="257"/>
      <c r="R75" s="257"/>
      <c r="S75" s="258"/>
      <c r="T75" s="295"/>
      <c r="U75" s="293"/>
      <c r="V75" s="262"/>
      <c r="W75" s="224">
        <f t="shared" si="46"/>
        <v>0</v>
      </c>
      <c r="X75" s="225">
        <f t="shared" si="47"/>
        <v>0</v>
      </c>
      <c r="Y75" s="263"/>
      <c r="Z75" s="225"/>
      <c r="AA75" s="225"/>
      <c r="AB75" s="264"/>
    </row>
    <row r="76" spans="1:28" ht="18" hidden="1" customHeight="1">
      <c r="A76" s="1260"/>
      <c r="B76" s="254"/>
      <c r="C76" s="255"/>
      <c r="D76" s="255"/>
      <c r="E76" s="291"/>
      <c r="F76" s="259"/>
      <c r="G76" s="259"/>
      <c r="H76" s="259"/>
      <c r="I76" s="259"/>
      <c r="J76" s="259"/>
      <c r="K76" s="259"/>
      <c r="L76" s="259"/>
      <c r="M76" s="259"/>
      <c r="N76" s="259"/>
      <c r="O76" s="259"/>
      <c r="P76" s="259"/>
      <c r="Q76" s="259"/>
      <c r="R76" s="259"/>
      <c r="S76" s="259"/>
      <c r="T76" s="292"/>
      <c r="U76" s="293"/>
      <c r="V76" s="217"/>
      <c r="W76" s="224">
        <f t="shared" si="46"/>
        <v>0</v>
      </c>
      <c r="X76" s="225">
        <f t="shared" si="47"/>
        <v>0</v>
      </c>
      <c r="Y76" s="214"/>
      <c r="Z76" s="214"/>
      <c r="AA76" s="214"/>
      <c r="AB76" s="266"/>
    </row>
    <row r="77" spans="1:28" hidden="1">
      <c r="A77" s="1258"/>
      <c r="B77" s="239"/>
      <c r="C77" s="240"/>
      <c r="D77" s="240"/>
      <c r="E77" s="241"/>
      <c r="F77" s="294"/>
      <c r="G77" s="242"/>
      <c r="H77" s="294"/>
      <c r="I77" s="294"/>
      <c r="J77" s="242"/>
      <c r="K77" s="242"/>
      <c r="L77" s="242"/>
      <c r="M77" s="242"/>
      <c r="N77" s="242"/>
      <c r="O77" s="242"/>
      <c r="P77" s="242"/>
      <c r="Q77" s="242"/>
      <c r="R77" s="242"/>
      <c r="S77" s="243"/>
      <c r="T77" s="295"/>
      <c r="U77" s="296"/>
      <c r="V77" s="224"/>
      <c r="W77" s="224">
        <f t="shared" si="46"/>
        <v>0</v>
      </c>
      <c r="X77" s="225">
        <f t="shared" si="47"/>
        <v>0</v>
      </c>
      <c r="Y77" s="225"/>
      <c r="Z77" s="225"/>
      <c r="AA77" s="225"/>
      <c r="AB77" s="252"/>
    </row>
    <row r="78" spans="1:28" hidden="1">
      <c r="A78" s="1258"/>
      <c r="B78" s="211"/>
      <c r="C78" s="212"/>
      <c r="D78" s="212"/>
      <c r="E78" s="219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2"/>
      <c r="T78" s="295"/>
      <c r="U78" s="297"/>
      <c r="V78" s="224"/>
      <c r="W78" s="224">
        <f t="shared" si="46"/>
        <v>0</v>
      </c>
      <c r="X78" s="225">
        <f t="shared" si="47"/>
        <v>0</v>
      </c>
      <c r="Y78" s="225"/>
      <c r="Z78" s="225"/>
      <c r="AA78" s="225"/>
      <c r="AB78" s="252"/>
    </row>
    <row r="79" spans="1:28" hidden="1">
      <c r="A79" s="1258"/>
      <c r="B79" s="211"/>
      <c r="C79" s="212"/>
      <c r="D79" s="212"/>
      <c r="E79" s="219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2"/>
      <c r="T79" s="295"/>
      <c r="U79" s="297"/>
      <c r="V79" s="224"/>
      <c r="W79" s="224">
        <f t="shared" si="46"/>
        <v>0</v>
      </c>
      <c r="X79" s="225">
        <f t="shared" si="47"/>
        <v>0</v>
      </c>
      <c r="Y79" s="225"/>
      <c r="Z79" s="225"/>
      <c r="AA79" s="225"/>
      <c r="AB79" s="252"/>
    </row>
    <row r="80" spans="1:28" hidden="1">
      <c r="A80" s="1258"/>
      <c r="B80" s="211"/>
      <c r="C80" s="212"/>
      <c r="D80" s="212"/>
      <c r="E80" s="219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2"/>
      <c r="T80" s="295"/>
      <c r="U80" s="297"/>
      <c r="V80" s="224"/>
      <c r="W80" s="224">
        <f t="shared" si="46"/>
        <v>0</v>
      </c>
      <c r="X80" s="225">
        <f t="shared" si="47"/>
        <v>0</v>
      </c>
      <c r="Y80" s="225"/>
      <c r="Z80" s="225"/>
      <c r="AA80" s="225"/>
      <c r="AB80" s="252"/>
    </row>
    <row r="81" spans="1:28" hidden="1">
      <c r="A81" s="1258"/>
      <c r="B81" s="211"/>
      <c r="C81" s="212"/>
      <c r="D81" s="212"/>
      <c r="E81" s="219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2"/>
      <c r="T81" s="295"/>
      <c r="U81" s="297"/>
      <c r="V81" s="224"/>
      <c r="W81" s="224">
        <f t="shared" si="46"/>
        <v>0</v>
      </c>
      <c r="X81" s="225">
        <f t="shared" si="47"/>
        <v>0</v>
      </c>
      <c r="Y81" s="225"/>
      <c r="Z81" s="225"/>
      <c r="AA81" s="225"/>
      <c r="AB81" s="252"/>
    </row>
    <row r="82" spans="1:28" hidden="1">
      <c r="A82" s="1258"/>
      <c r="B82" s="211"/>
      <c r="C82" s="212"/>
      <c r="D82" s="212"/>
      <c r="E82" s="219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2"/>
      <c r="T82" s="295"/>
      <c r="U82" s="297"/>
      <c r="V82" s="224"/>
      <c r="W82" s="224">
        <f t="shared" si="46"/>
        <v>0</v>
      </c>
      <c r="X82" s="225">
        <f t="shared" si="47"/>
        <v>0</v>
      </c>
      <c r="Y82" s="225"/>
      <c r="Z82" s="225"/>
      <c r="AA82" s="225"/>
      <c r="AB82" s="252"/>
    </row>
    <row r="83" spans="1:28" hidden="1">
      <c r="A83" s="1258"/>
      <c r="B83" s="211"/>
      <c r="C83" s="212"/>
      <c r="D83" s="212"/>
      <c r="E83" s="219"/>
      <c r="F83" s="221"/>
      <c r="G83" s="221"/>
      <c r="H83" s="220"/>
      <c r="I83" s="222"/>
      <c r="J83" s="221"/>
      <c r="K83" s="221"/>
      <c r="L83" s="221"/>
      <c r="M83" s="221"/>
      <c r="N83" s="221"/>
      <c r="O83" s="221"/>
      <c r="P83" s="221"/>
      <c r="Q83" s="221"/>
      <c r="R83" s="221"/>
      <c r="S83" s="222"/>
      <c r="T83" s="295"/>
      <c r="U83" s="297"/>
      <c r="V83" s="224"/>
      <c r="W83" s="224">
        <f t="shared" si="46"/>
        <v>0</v>
      </c>
      <c r="X83" s="225">
        <f t="shared" si="47"/>
        <v>0</v>
      </c>
      <c r="Y83" s="225"/>
      <c r="Z83" s="225"/>
      <c r="AA83" s="225"/>
      <c r="AB83" s="252"/>
    </row>
    <row r="84" spans="1:28" hidden="1">
      <c r="A84" s="1258"/>
      <c r="B84" s="211"/>
      <c r="C84" s="212"/>
      <c r="D84" s="212"/>
      <c r="E84" s="219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2"/>
      <c r="T84" s="295"/>
      <c r="U84" s="297"/>
      <c r="V84" s="224"/>
      <c r="W84" s="224">
        <f t="shared" si="46"/>
        <v>0</v>
      </c>
      <c r="X84" s="225">
        <f t="shared" si="47"/>
        <v>0</v>
      </c>
      <c r="Y84" s="225"/>
      <c r="Z84" s="225"/>
      <c r="AA84" s="225"/>
      <c r="AB84" s="252"/>
    </row>
    <row r="85" spans="1:28" hidden="1">
      <c r="A85" s="1258"/>
      <c r="B85" s="211"/>
      <c r="C85" s="212"/>
      <c r="D85" s="212"/>
      <c r="E85" s="219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2"/>
      <c r="T85" s="295"/>
      <c r="U85" s="297"/>
      <c r="V85" s="224"/>
      <c r="W85" s="224">
        <f t="shared" si="46"/>
        <v>0</v>
      </c>
      <c r="X85" s="225">
        <f t="shared" si="47"/>
        <v>0</v>
      </c>
      <c r="Y85" s="225"/>
      <c r="Z85" s="225"/>
      <c r="AA85" s="225"/>
      <c r="AB85" s="252"/>
    </row>
    <row r="86" spans="1:28" hidden="1">
      <c r="A86" s="1258"/>
      <c r="B86" s="211"/>
      <c r="C86" s="212"/>
      <c r="D86" s="212"/>
      <c r="E86" s="219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2"/>
      <c r="T86" s="295"/>
      <c r="U86" s="297"/>
      <c r="V86" s="224"/>
      <c r="W86" s="224">
        <f t="shared" si="46"/>
        <v>0</v>
      </c>
      <c r="X86" s="225">
        <f t="shared" si="47"/>
        <v>0</v>
      </c>
      <c r="Y86" s="225"/>
      <c r="Z86" s="225"/>
      <c r="AA86" s="225"/>
      <c r="AB86" s="252"/>
    </row>
    <row r="87" spans="1:28" hidden="1">
      <c r="A87" s="1258"/>
      <c r="B87" s="211"/>
      <c r="C87" s="212"/>
      <c r="D87" s="212"/>
      <c r="E87" s="219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2"/>
      <c r="T87" s="295"/>
      <c r="U87" s="297"/>
      <c r="V87" s="224"/>
      <c r="W87" s="224">
        <f t="shared" si="46"/>
        <v>0</v>
      </c>
      <c r="X87" s="225">
        <f t="shared" si="47"/>
        <v>0</v>
      </c>
      <c r="Y87" s="225"/>
      <c r="Z87" s="225"/>
      <c r="AA87" s="225"/>
      <c r="AB87" s="252"/>
    </row>
    <row r="88" spans="1:28" hidden="1">
      <c r="A88" s="1259"/>
      <c r="B88" s="254"/>
      <c r="C88" s="255"/>
      <c r="D88" s="255"/>
      <c r="E88" s="256"/>
      <c r="F88" s="221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8"/>
      <c r="T88" s="295"/>
      <c r="U88" s="293"/>
      <c r="V88" s="262"/>
      <c r="W88" s="224">
        <f t="shared" si="46"/>
        <v>0</v>
      </c>
      <c r="X88" s="225">
        <f t="shared" si="47"/>
        <v>0</v>
      </c>
      <c r="Y88" s="263"/>
      <c r="Z88" s="225"/>
      <c r="AA88" s="225"/>
      <c r="AB88" s="264"/>
    </row>
    <row r="89" spans="1:28" ht="18" hidden="1" customHeight="1">
      <c r="A89" s="1261">
        <v>1</v>
      </c>
      <c r="B89" s="298" t="s">
        <v>87</v>
      </c>
      <c r="C89" s="255">
        <v>1</v>
      </c>
      <c r="D89" s="255">
        <v>1</v>
      </c>
      <c r="E89" s="291" t="s">
        <v>86</v>
      </c>
      <c r="F89" s="259">
        <f t="shared" ref="F89:O89" si="48">SUM(F90:F101)</f>
        <v>0</v>
      </c>
      <c r="G89" s="259">
        <f t="shared" si="48"/>
        <v>0</v>
      </c>
      <c r="H89" s="259">
        <f t="shared" si="48"/>
        <v>0</v>
      </c>
      <c r="I89" s="259">
        <f t="shared" si="48"/>
        <v>0</v>
      </c>
      <c r="J89" s="259">
        <f t="shared" si="48"/>
        <v>0</v>
      </c>
      <c r="K89" s="259">
        <f t="shared" si="48"/>
        <v>0</v>
      </c>
      <c r="L89" s="259">
        <f t="shared" si="48"/>
        <v>0</v>
      </c>
      <c r="M89" s="259">
        <f t="shared" si="48"/>
        <v>0</v>
      </c>
      <c r="N89" s="259">
        <f t="shared" si="48"/>
        <v>0</v>
      </c>
      <c r="O89" s="259">
        <f t="shared" si="48"/>
        <v>0</v>
      </c>
      <c r="P89" s="259"/>
      <c r="Q89" s="259">
        <f>SUM(Q90:Q101)</f>
        <v>0</v>
      </c>
      <c r="R89" s="259">
        <f>SUM(R90:R101)</f>
        <v>0</v>
      </c>
      <c r="S89" s="259">
        <f>SUM(S90:S101)</f>
        <v>0</v>
      </c>
      <c r="T89" s="292">
        <f>SUM(T90:T101)</f>
        <v>0</v>
      </c>
      <c r="U89" s="293"/>
      <c r="V89" s="217">
        <f>SUM(V90:V101)</f>
        <v>0</v>
      </c>
      <c r="W89" s="224">
        <f t="shared" si="46"/>
        <v>0</v>
      </c>
      <c r="X89" s="225">
        <f t="shared" si="47"/>
        <v>0</v>
      </c>
      <c r="Y89" s="214">
        <f t="shared" ref="Y89:AB89" si="49">SUM(Y90:Y101)</f>
        <v>0</v>
      </c>
      <c r="Z89" s="214">
        <f t="shared" si="49"/>
        <v>0</v>
      </c>
      <c r="AA89" s="214">
        <f t="shared" si="49"/>
        <v>0</v>
      </c>
      <c r="AB89" s="266">
        <f t="shared" si="49"/>
        <v>0</v>
      </c>
    </row>
    <row r="90" spans="1:28" hidden="1">
      <c r="A90" s="1261"/>
      <c r="B90" s="299" t="s">
        <v>397</v>
      </c>
      <c r="C90" s="240"/>
      <c r="D90" s="240"/>
      <c r="E90" s="241" t="s">
        <v>273</v>
      </c>
      <c r="F90" s="294"/>
      <c r="G90" s="242"/>
      <c r="H90" s="294"/>
      <c r="I90" s="294"/>
      <c r="J90" s="242"/>
      <c r="K90" s="242"/>
      <c r="L90" s="242"/>
      <c r="M90" s="221"/>
      <c r="N90" s="242"/>
      <c r="O90" s="242"/>
      <c r="P90" s="242"/>
      <c r="Q90" s="242"/>
      <c r="R90" s="242"/>
      <c r="S90" s="243"/>
      <c r="T90" s="295"/>
      <c r="U90" s="296"/>
      <c r="V90" s="224"/>
      <c r="W90" s="224">
        <f t="shared" si="46"/>
        <v>0</v>
      </c>
      <c r="X90" s="225">
        <f t="shared" si="47"/>
        <v>0</v>
      </c>
      <c r="Y90" s="225"/>
      <c r="Z90" s="225"/>
      <c r="AA90" s="225"/>
      <c r="AB90" s="252"/>
    </row>
    <row r="91" spans="1:28" hidden="1">
      <c r="A91" s="1261"/>
      <c r="B91" s="300"/>
      <c r="C91" s="212"/>
      <c r="D91" s="212"/>
      <c r="E91" s="219" t="s">
        <v>274</v>
      </c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2"/>
      <c r="T91" s="295"/>
      <c r="U91" s="297"/>
      <c r="V91" s="224"/>
      <c r="W91" s="224">
        <f t="shared" si="46"/>
        <v>0</v>
      </c>
      <c r="X91" s="225">
        <f t="shared" si="47"/>
        <v>0</v>
      </c>
      <c r="Y91" s="225"/>
      <c r="Z91" s="225"/>
      <c r="AA91" s="225"/>
      <c r="AB91" s="252"/>
    </row>
    <row r="92" spans="1:28" hidden="1">
      <c r="A92" s="1261"/>
      <c r="B92" s="300"/>
      <c r="C92" s="212"/>
      <c r="D92" s="212"/>
      <c r="E92" s="219" t="s">
        <v>275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2"/>
      <c r="T92" s="295">
        <f t="shared" ref="T92:T101" si="50">SUM(S92,P92,O92,M92,L92,F92)</f>
        <v>0</v>
      </c>
      <c r="U92" s="297"/>
      <c r="V92" s="224"/>
      <c r="W92" s="224">
        <f t="shared" si="46"/>
        <v>0</v>
      </c>
      <c r="X92" s="225">
        <f t="shared" si="47"/>
        <v>0</v>
      </c>
      <c r="Y92" s="225"/>
      <c r="Z92" s="225"/>
      <c r="AA92" s="225"/>
      <c r="AB92" s="252"/>
    </row>
    <row r="93" spans="1:28" hidden="1">
      <c r="A93" s="1261"/>
      <c r="B93" s="300"/>
      <c r="C93" s="212"/>
      <c r="D93" s="212"/>
      <c r="E93" s="219" t="s">
        <v>276</v>
      </c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2"/>
      <c r="T93" s="295">
        <f t="shared" si="50"/>
        <v>0</v>
      </c>
      <c r="U93" s="297"/>
      <c r="V93" s="224"/>
      <c r="W93" s="224">
        <f t="shared" si="46"/>
        <v>0</v>
      </c>
      <c r="X93" s="225">
        <f t="shared" si="47"/>
        <v>0</v>
      </c>
      <c r="Y93" s="225"/>
      <c r="Z93" s="225"/>
      <c r="AA93" s="225"/>
      <c r="AB93" s="252"/>
    </row>
    <row r="94" spans="1:28" hidden="1">
      <c r="A94" s="1261"/>
      <c r="B94" s="300"/>
      <c r="C94" s="212"/>
      <c r="D94" s="212"/>
      <c r="E94" s="219" t="s">
        <v>277</v>
      </c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2"/>
      <c r="T94" s="295">
        <f t="shared" si="50"/>
        <v>0</v>
      </c>
      <c r="U94" s="297"/>
      <c r="V94" s="224">
        <f t="shared" ref="V94:V101" si="51">ROUNDUP(T94*1/12,-1)</f>
        <v>0</v>
      </c>
      <c r="W94" s="224">
        <f t="shared" si="46"/>
        <v>0</v>
      </c>
      <c r="X94" s="225">
        <f t="shared" si="47"/>
        <v>0</v>
      </c>
      <c r="Y94" s="225">
        <f t="shared" ref="Y94:Y101" si="52">ROUNDUP(X94*6.55%,-1)</f>
        <v>0</v>
      </c>
      <c r="Z94" s="225">
        <f t="shared" ref="Z94:Z101" si="53">ROUND(T94*0.8%,-1)</f>
        <v>0</v>
      </c>
      <c r="AA94" s="225">
        <f t="shared" ref="AA94:AA101" si="54">ROUND(T94*0.785%,-1)</f>
        <v>0</v>
      </c>
      <c r="AB94" s="252">
        <f t="shared" ref="AB94:AB101" si="55">SUM(V94:AA94)</f>
        <v>0</v>
      </c>
    </row>
    <row r="95" spans="1:28" hidden="1">
      <c r="A95" s="1261"/>
      <c r="B95" s="300"/>
      <c r="C95" s="212"/>
      <c r="D95" s="212"/>
      <c r="E95" s="219" t="s">
        <v>278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2"/>
      <c r="T95" s="295">
        <f t="shared" si="50"/>
        <v>0</v>
      </c>
      <c r="U95" s="297"/>
      <c r="V95" s="224">
        <f t="shared" si="51"/>
        <v>0</v>
      </c>
      <c r="W95" s="224">
        <f t="shared" si="46"/>
        <v>0</v>
      </c>
      <c r="X95" s="225">
        <f t="shared" si="47"/>
        <v>0</v>
      </c>
      <c r="Y95" s="225">
        <f t="shared" si="52"/>
        <v>0</v>
      </c>
      <c r="Z95" s="225">
        <f t="shared" si="53"/>
        <v>0</v>
      </c>
      <c r="AA95" s="225">
        <f t="shared" si="54"/>
        <v>0</v>
      </c>
      <c r="AB95" s="252">
        <f t="shared" si="55"/>
        <v>0</v>
      </c>
    </row>
    <row r="96" spans="1:28" hidden="1">
      <c r="A96" s="1261"/>
      <c r="B96" s="300"/>
      <c r="C96" s="212"/>
      <c r="D96" s="212"/>
      <c r="E96" s="219" t="s">
        <v>279</v>
      </c>
      <c r="F96" s="221"/>
      <c r="G96" s="221"/>
      <c r="H96" s="220"/>
      <c r="I96" s="222"/>
      <c r="J96" s="221"/>
      <c r="K96" s="221"/>
      <c r="L96" s="221"/>
      <c r="M96" s="221"/>
      <c r="N96" s="221"/>
      <c r="O96" s="221"/>
      <c r="P96" s="221"/>
      <c r="Q96" s="221"/>
      <c r="R96" s="221"/>
      <c r="S96" s="222"/>
      <c r="T96" s="295">
        <f t="shared" si="50"/>
        <v>0</v>
      </c>
      <c r="U96" s="297"/>
      <c r="V96" s="224">
        <f t="shared" si="51"/>
        <v>0</v>
      </c>
      <c r="W96" s="224">
        <f t="shared" si="46"/>
        <v>0</v>
      </c>
      <c r="X96" s="225">
        <f t="shared" si="47"/>
        <v>0</v>
      </c>
      <c r="Y96" s="225">
        <f t="shared" si="52"/>
        <v>0</v>
      </c>
      <c r="Z96" s="225">
        <f t="shared" si="53"/>
        <v>0</v>
      </c>
      <c r="AA96" s="225">
        <f t="shared" si="54"/>
        <v>0</v>
      </c>
      <c r="AB96" s="252">
        <f t="shared" si="55"/>
        <v>0</v>
      </c>
    </row>
    <row r="97" spans="1:28" hidden="1">
      <c r="A97" s="1261"/>
      <c r="B97" s="300"/>
      <c r="C97" s="212"/>
      <c r="D97" s="212"/>
      <c r="E97" s="219" t="s">
        <v>280</v>
      </c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2"/>
      <c r="T97" s="295">
        <f t="shared" si="50"/>
        <v>0</v>
      </c>
      <c r="U97" s="297"/>
      <c r="V97" s="224">
        <f t="shared" si="51"/>
        <v>0</v>
      </c>
      <c r="W97" s="224">
        <f t="shared" si="46"/>
        <v>0</v>
      </c>
      <c r="X97" s="225">
        <f t="shared" si="47"/>
        <v>0</v>
      </c>
      <c r="Y97" s="225">
        <f t="shared" si="52"/>
        <v>0</v>
      </c>
      <c r="Z97" s="225">
        <f t="shared" si="53"/>
        <v>0</v>
      </c>
      <c r="AA97" s="225">
        <f t="shared" si="54"/>
        <v>0</v>
      </c>
      <c r="AB97" s="252">
        <f t="shared" si="55"/>
        <v>0</v>
      </c>
    </row>
    <row r="98" spans="1:28" hidden="1">
      <c r="A98" s="1261"/>
      <c r="B98" s="300"/>
      <c r="C98" s="212"/>
      <c r="D98" s="212"/>
      <c r="E98" s="219" t="s">
        <v>54</v>
      </c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2"/>
      <c r="T98" s="295">
        <f t="shared" si="50"/>
        <v>0</v>
      </c>
      <c r="U98" s="297"/>
      <c r="V98" s="224">
        <f t="shared" si="51"/>
        <v>0</v>
      </c>
      <c r="W98" s="224">
        <f t="shared" si="46"/>
        <v>0</v>
      </c>
      <c r="X98" s="225">
        <f t="shared" si="47"/>
        <v>0</v>
      </c>
      <c r="Y98" s="225">
        <f t="shared" si="52"/>
        <v>0</v>
      </c>
      <c r="Z98" s="225">
        <f t="shared" si="53"/>
        <v>0</v>
      </c>
      <c r="AA98" s="225">
        <f t="shared" si="54"/>
        <v>0</v>
      </c>
      <c r="AB98" s="252">
        <f t="shared" si="55"/>
        <v>0</v>
      </c>
    </row>
    <row r="99" spans="1:28" hidden="1">
      <c r="A99" s="1261"/>
      <c r="B99" s="300"/>
      <c r="C99" s="212"/>
      <c r="D99" s="212"/>
      <c r="E99" s="219" t="s">
        <v>55</v>
      </c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2"/>
      <c r="T99" s="295">
        <f t="shared" si="50"/>
        <v>0</v>
      </c>
      <c r="U99" s="297"/>
      <c r="V99" s="224">
        <f t="shared" si="51"/>
        <v>0</v>
      </c>
      <c r="W99" s="224">
        <f t="shared" si="46"/>
        <v>0</v>
      </c>
      <c r="X99" s="225">
        <f t="shared" si="47"/>
        <v>0</v>
      </c>
      <c r="Y99" s="225">
        <f t="shared" si="52"/>
        <v>0</v>
      </c>
      <c r="Z99" s="225">
        <f t="shared" si="53"/>
        <v>0</v>
      </c>
      <c r="AA99" s="225">
        <f t="shared" si="54"/>
        <v>0</v>
      </c>
      <c r="AB99" s="252">
        <f t="shared" si="55"/>
        <v>0</v>
      </c>
    </row>
    <row r="100" spans="1:28" hidden="1">
      <c r="A100" s="1261"/>
      <c r="B100" s="300"/>
      <c r="C100" s="212"/>
      <c r="D100" s="212"/>
      <c r="E100" s="219" t="s">
        <v>56</v>
      </c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2"/>
      <c r="T100" s="295">
        <f t="shared" si="50"/>
        <v>0</v>
      </c>
      <c r="U100" s="297"/>
      <c r="V100" s="224">
        <f t="shared" si="51"/>
        <v>0</v>
      </c>
      <c r="W100" s="224">
        <f t="shared" si="46"/>
        <v>0</v>
      </c>
      <c r="X100" s="225">
        <f t="shared" si="47"/>
        <v>0</v>
      </c>
      <c r="Y100" s="225">
        <f t="shared" si="52"/>
        <v>0</v>
      </c>
      <c r="Z100" s="225">
        <f t="shared" si="53"/>
        <v>0</v>
      </c>
      <c r="AA100" s="225">
        <f t="shared" si="54"/>
        <v>0</v>
      </c>
      <c r="AB100" s="252">
        <f t="shared" si="55"/>
        <v>0</v>
      </c>
    </row>
    <row r="101" spans="1:28" hidden="1">
      <c r="A101" s="1261"/>
      <c r="B101" s="298"/>
      <c r="C101" s="255"/>
      <c r="D101" s="255"/>
      <c r="E101" s="256" t="s">
        <v>281</v>
      </c>
      <c r="F101" s="221"/>
      <c r="G101" s="257"/>
      <c r="H101" s="257"/>
      <c r="I101" s="257"/>
      <c r="J101" s="257"/>
      <c r="K101" s="257"/>
      <c r="L101" s="221"/>
      <c r="M101" s="257"/>
      <c r="N101" s="257"/>
      <c r="O101" s="257"/>
      <c r="P101" s="257"/>
      <c r="Q101" s="257"/>
      <c r="R101" s="257"/>
      <c r="S101" s="258"/>
      <c r="T101" s="295">
        <f t="shared" si="50"/>
        <v>0</v>
      </c>
      <c r="U101" s="293"/>
      <c r="V101" s="262">
        <f t="shared" si="51"/>
        <v>0</v>
      </c>
      <c r="W101" s="224">
        <f t="shared" si="46"/>
        <v>0</v>
      </c>
      <c r="X101" s="225">
        <f t="shared" si="47"/>
        <v>0</v>
      </c>
      <c r="Y101" s="263">
        <f t="shared" si="52"/>
        <v>0</v>
      </c>
      <c r="Z101" s="263">
        <f t="shared" si="53"/>
        <v>0</v>
      </c>
      <c r="AA101" s="263">
        <f t="shared" si="54"/>
        <v>0</v>
      </c>
      <c r="AB101" s="264">
        <f t="shared" si="55"/>
        <v>0</v>
      </c>
    </row>
    <row r="102" spans="1:28" ht="18" hidden="1" customHeight="1">
      <c r="A102" s="1261">
        <v>2</v>
      </c>
      <c r="B102" s="298" t="s">
        <v>87</v>
      </c>
      <c r="C102" s="255">
        <v>1</v>
      </c>
      <c r="D102" s="255">
        <v>1</v>
      </c>
      <c r="E102" s="291" t="s">
        <v>86</v>
      </c>
      <c r="F102" s="259">
        <f t="shared" ref="F102:O102" si="56">SUM(F103:F114)</f>
        <v>0</v>
      </c>
      <c r="G102" s="259">
        <f t="shared" si="56"/>
        <v>0</v>
      </c>
      <c r="H102" s="259">
        <f t="shared" si="56"/>
        <v>0</v>
      </c>
      <c r="I102" s="259">
        <f t="shared" si="56"/>
        <v>0</v>
      </c>
      <c r="J102" s="259">
        <f t="shared" si="56"/>
        <v>0</v>
      </c>
      <c r="K102" s="259">
        <f t="shared" si="56"/>
        <v>0</v>
      </c>
      <c r="L102" s="259">
        <f t="shared" si="56"/>
        <v>0</v>
      </c>
      <c r="M102" s="259">
        <f t="shared" si="56"/>
        <v>0</v>
      </c>
      <c r="N102" s="259">
        <f t="shared" si="56"/>
        <v>0</v>
      </c>
      <c r="O102" s="259">
        <f t="shared" si="56"/>
        <v>0</v>
      </c>
      <c r="P102" s="259"/>
      <c r="Q102" s="259">
        <f>SUM(Q103:Q114)</f>
        <v>0</v>
      </c>
      <c r="R102" s="259">
        <f>SUM(R103:R114)</f>
        <v>0</v>
      </c>
      <c r="S102" s="259">
        <f>SUM(S103:S114)</f>
        <v>0</v>
      </c>
      <c r="T102" s="292">
        <f>SUM(T103:T114)</f>
        <v>0</v>
      </c>
      <c r="U102" s="293"/>
      <c r="V102" s="217">
        <f>SUM(V103:V114)</f>
        <v>0</v>
      </c>
      <c r="W102" s="224">
        <f t="shared" si="46"/>
        <v>0</v>
      </c>
      <c r="X102" s="225">
        <f t="shared" si="47"/>
        <v>0</v>
      </c>
      <c r="Y102" s="214">
        <f t="shared" ref="Y102:AB102" si="57">SUM(Y103:Y114)</f>
        <v>0</v>
      </c>
      <c r="Z102" s="244">
        <f t="shared" si="57"/>
        <v>0</v>
      </c>
      <c r="AA102" s="244">
        <f t="shared" si="57"/>
        <v>0</v>
      </c>
      <c r="AB102" s="266">
        <f t="shared" si="57"/>
        <v>0</v>
      </c>
    </row>
    <row r="103" spans="1:28" hidden="1">
      <c r="A103" s="1261"/>
      <c r="B103" s="299" t="s">
        <v>398</v>
      </c>
      <c r="C103" s="240"/>
      <c r="D103" s="240"/>
      <c r="E103" s="241" t="s">
        <v>273</v>
      </c>
      <c r="F103" s="294"/>
      <c r="G103" s="242"/>
      <c r="H103" s="294"/>
      <c r="I103" s="294"/>
      <c r="J103" s="242"/>
      <c r="K103" s="242"/>
      <c r="L103" s="242"/>
      <c r="M103" s="242"/>
      <c r="N103" s="242"/>
      <c r="O103" s="242"/>
      <c r="P103" s="242"/>
      <c r="Q103" s="242"/>
      <c r="R103" s="242"/>
      <c r="S103" s="243"/>
      <c r="T103" s="295"/>
      <c r="U103" s="296"/>
      <c r="V103" s="224"/>
      <c r="W103" s="224">
        <f t="shared" si="46"/>
        <v>0</v>
      </c>
      <c r="X103" s="225">
        <f t="shared" si="47"/>
        <v>0</v>
      </c>
      <c r="Y103" s="225"/>
      <c r="Z103" s="225"/>
      <c r="AA103" s="225"/>
      <c r="AB103" s="252"/>
    </row>
    <row r="104" spans="1:28" hidden="1">
      <c r="A104" s="1261"/>
      <c r="B104" s="300"/>
      <c r="C104" s="212"/>
      <c r="D104" s="212"/>
      <c r="E104" s="219" t="s">
        <v>274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2"/>
      <c r="T104" s="295"/>
      <c r="U104" s="297"/>
      <c r="V104" s="224"/>
      <c r="W104" s="224">
        <f t="shared" si="46"/>
        <v>0</v>
      </c>
      <c r="X104" s="225">
        <f t="shared" si="47"/>
        <v>0</v>
      </c>
      <c r="Y104" s="225"/>
      <c r="Z104" s="225"/>
      <c r="AA104" s="225"/>
      <c r="AB104" s="252"/>
    </row>
    <row r="105" spans="1:28" hidden="1">
      <c r="A105" s="1261"/>
      <c r="B105" s="300"/>
      <c r="C105" s="212"/>
      <c r="D105" s="212"/>
      <c r="E105" s="219" t="s">
        <v>275</v>
      </c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2"/>
      <c r="T105" s="295"/>
      <c r="U105" s="297"/>
      <c r="V105" s="224"/>
      <c r="W105" s="224">
        <f t="shared" si="46"/>
        <v>0</v>
      </c>
      <c r="X105" s="225">
        <f t="shared" si="47"/>
        <v>0</v>
      </c>
      <c r="Y105" s="225"/>
      <c r="Z105" s="225"/>
      <c r="AA105" s="225"/>
      <c r="AB105" s="252"/>
    </row>
    <row r="106" spans="1:28" hidden="1">
      <c r="A106" s="1261"/>
      <c r="B106" s="300"/>
      <c r="C106" s="212"/>
      <c r="D106" s="212"/>
      <c r="E106" s="219" t="s">
        <v>276</v>
      </c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2"/>
      <c r="T106" s="295"/>
      <c r="U106" s="297"/>
      <c r="V106" s="224"/>
      <c r="W106" s="224">
        <f t="shared" si="46"/>
        <v>0</v>
      </c>
      <c r="X106" s="225">
        <f t="shared" si="47"/>
        <v>0</v>
      </c>
      <c r="Y106" s="225"/>
      <c r="Z106" s="225"/>
      <c r="AA106" s="225"/>
      <c r="AB106" s="252"/>
    </row>
    <row r="107" spans="1:28" hidden="1">
      <c r="A107" s="1261"/>
      <c r="B107" s="300"/>
      <c r="C107" s="212"/>
      <c r="D107" s="212"/>
      <c r="E107" s="219" t="s">
        <v>277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2"/>
      <c r="T107" s="295"/>
      <c r="U107" s="297"/>
      <c r="V107" s="224"/>
      <c r="W107" s="224">
        <f t="shared" si="46"/>
        <v>0</v>
      </c>
      <c r="X107" s="225">
        <f t="shared" si="47"/>
        <v>0</v>
      </c>
      <c r="Y107" s="225"/>
      <c r="Z107" s="225"/>
      <c r="AA107" s="225"/>
      <c r="AB107" s="252"/>
    </row>
    <row r="108" spans="1:28" hidden="1">
      <c r="A108" s="1261"/>
      <c r="B108" s="300"/>
      <c r="C108" s="212"/>
      <c r="D108" s="212"/>
      <c r="E108" s="219" t="s">
        <v>278</v>
      </c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2"/>
      <c r="T108" s="295">
        <f t="shared" ref="T108:T114" si="58">SUM(S108,P108,O108,M108,L108,F108)</f>
        <v>0</v>
      </c>
      <c r="U108" s="297"/>
      <c r="V108" s="224">
        <f t="shared" ref="V108:V114" si="59">ROUNDUP(T108*1/12,-1)</f>
        <v>0</v>
      </c>
      <c r="W108" s="224">
        <f t="shared" si="46"/>
        <v>0</v>
      </c>
      <c r="X108" s="225">
        <f t="shared" si="47"/>
        <v>0</v>
      </c>
      <c r="Y108" s="225">
        <f t="shared" ref="Y108:Y114" si="60">ROUNDUP(X108*6.55%,-1)</f>
        <v>0</v>
      </c>
      <c r="Z108" s="225">
        <f t="shared" ref="Z108:Z114" si="61">ROUND(T108*0.8%,-1)</f>
        <v>0</v>
      </c>
      <c r="AA108" s="225">
        <f t="shared" ref="AA108:AA114" si="62">ROUND(T108*0.785%,-1)</f>
        <v>0</v>
      </c>
      <c r="AB108" s="252">
        <f t="shared" ref="AB108:AB114" si="63">SUM(V108:AA108)</f>
        <v>0</v>
      </c>
    </row>
    <row r="109" spans="1:28" hidden="1">
      <c r="A109" s="1261"/>
      <c r="B109" s="300"/>
      <c r="C109" s="212"/>
      <c r="D109" s="212"/>
      <c r="E109" s="219" t="s">
        <v>279</v>
      </c>
      <c r="F109" s="221"/>
      <c r="G109" s="221"/>
      <c r="H109" s="220"/>
      <c r="I109" s="222"/>
      <c r="J109" s="221"/>
      <c r="K109" s="221"/>
      <c r="L109" s="221"/>
      <c r="M109" s="221"/>
      <c r="N109" s="221"/>
      <c r="O109" s="221"/>
      <c r="P109" s="221"/>
      <c r="Q109" s="221"/>
      <c r="R109" s="221"/>
      <c r="S109" s="222"/>
      <c r="T109" s="295">
        <f t="shared" si="58"/>
        <v>0</v>
      </c>
      <c r="U109" s="297"/>
      <c r="V109" s="224">
        <f t="shared" si="59"/>
        <v>0</v>
      </c>
      <c r="W109" s="224">
        <f t="shared" si="46"/>
        <v>0</v>
      </c>
      <c r="X109" s="225">
        <f t="shared" si="47"/>
        <v>0</v>
      </c>
      <c r="Y109" s="225">
        <f t="shared" si="60"/>
        <v>0</v>
      </c>
      <c r="Z109" s="225">
        <f t="shared" si="61"/>
        <v>0</v>
      </c>
      <c r="AA109" s="225">
        <f t="shared" si="62"/>
        <v>0</v>
      </c>
      <c r="AB109" s="252">
        <f t="shared" si="63"/>
        <v>0</v>
      </c>
    </row>
    <row r="110" spans="1:28" hidden="1">
      <c r="A110" s="1261"/>
      <c r="B110" s="300"/>
      <c r="C110" s="212"/>
      <c r="D110" s="212"/>
      <c r="E110" s="219" t="s">
        <v>280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2"/>
      <c r="T110" s="295">
        <f t="shared" si="58"/>
        <v>0</v>
      </c>
      <c r="U110" s="297"/>
      <c r="V110" s="224">
        <f t="shared" si="59"/>
        <v>0</v>
      </c>
      <c r="W110" s="224">
        <f t="shared" si="46"/>
        <v>0</v>
      </c>
      <c r="X110" s="225">
        <f t="shared" si="47"/>
        <v>0</v>
      </c>
      <c r="Y110" s="225">
        <f t="shared" si="60"/>
        <v>0</v>
      </c>
      <c r="Z110" s="225">
        <f t="shared" si="61"/>
        <v>0</v>
      </c>
      <c r="AA110" s="225">
        <f t="shared" si="62"/>
        <v>0</v>
      </c>
      <c r="AB110" s="252">
        <f t="shared" si="63"/>
        <v>0</v>
      </c>
    </row>
    <row r="111" spans="1:28" hidden="1">
      <c r="A111" s="1261"/>
      <c r="B111" s="300"/>
      <c r="C111" s="212"/>
      <c r="D111" s="212"/>
      <c r="E111" s="219" t="s">
        <v>54</v>
      </c>
      <c r="F111" s="221"/>
      <c r="G111" s="22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2"/>
      <c r="T111" s="295">
        <f t="shared" si="58"/>
        <v>0</v>
      </c>
      <c r="U111" s="297"/>
      <c r="V111" s="224">
        <f t="shared" si="59"/>
        <v>0</v>
      </c>
      <c r="W111" s="224">
        <f t="shared" si="46"/>
        <v>0</v>
      </c>
      <c r="X111" s="225">
        <f t="shared" si="47"/>
        <v>0</v>
      </c>
      <c r="Y111" s="225">
        <f t="shared" si="60"/>
        <v>0</v>
      </c>
      <c r="Z111" s="225">
        <f t="shared" si="61"/>
        <v>0</v>
      </c>
      <c r="AA111" s="225">
        <f t="shared" si="62"/>
        <v>0</v>
      </c>
      <c r="AB111" s="252">
        <f t="shared" si="63"/>
        <v>0</v>
      </c>
    </row>
    <row r="112" spans="1:28" hidden="1">
      <c r="A112" s="1261"/>
      <c r="B112" s="300"/>
      <c r="C112" s="212"/>
      <c r="D112" s="212"/>
      <c r="E112" s="219" t="s">
        <v>55</v>
      </c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2"/>
      <c r="T112" s="295">
        <f t="shared" si="58"/>
        <v>0</v>
      </c>
      <c r="U112" s="297"/>
      <c r="V112" s="224">
        <f t="shared" si="59"/>
        <v>0</v>
      </c>
      <c r="W112" s="224">
        <f t="shared" si="46"/>
        <v>0</v>
      </c>
      <c r="X112" s="225">
        <f t="shared" si="47"/>
        <v>0</v>
      </c>
      <c r="Y112" s="225">
        <f t="shared" si="60"/>
        <v>0</v>
      </c>
      <c r="Z112" s="225">
        <f t="shared" si="61"/>
        <v>0</v>
      </c>
      <c r="AA112" s="225">
        <f t="shared" si="62"/>
        <v>0</v>
      </c>
      <c r="AB112" s="252">
        <f t="shared" si="63"/>
        <v>0</v>
      </c>
    </row>
    <row r="113" spans="1:28" hidden="1">
      <c r="A113" s="1261"/>
      <c r="B113" s="300"/>
      <c r="C113" s="212"/>
      <c r="D113" s="212"/>
      <c r="E113" s="219" t="s">
        <v>56</v>
      </c>
      <c r="F113" s="221"/>
      <c r="G113" s="221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2"/>
      <c r="T113" s="295">
        <f t="shared" si="58"/>
        <v>0</v>
      </c>
      <c r="U113" s="297"/>
      <c r="V113" s="224">
        <f t="shared" si="59"/>
        <v>0</v>
      </c>
      <c r="W113" s="224">
        <f t="shared" si="46"/>
        <v>0</v>
      </c>
      <c r="X113" s="225">
        <f t="shared" si="47"/>
        <v>0</v>
      </c>
      <c r="Y113" s="225">
        <f t="shared" si="60"/>
        <v>0</v>
      </c>
      <c r="Z113" s="225">
        <f t="shared" si="61"/>
        <v>0</v>
      </c>
      <c r="AA113" s="225">
        <f t="shared" si="62"/>
        <v>0</v>
      </c>
      <c r="AB113" s="252">
        <f t="shared" si="63"/>
        <v>0</v>
      </c>
    </row>
    <row r="114" spans="1:28" hidden="1">
      <c r="A114" s="1262"/>
      <c r="B114" s="298"/>
      <c r="C114" s="255"/>
      <c r="D114" s="255"/>
      <c r="E114" s="256" t="s">
        <v>281</v>
      </c>
      <c r="F114" s="221"/>
      <c r="G114" s="257"/>
      <c r="H114" s="257"/>
      <c r="I114" s="257"/>
      <c r="J114" s="257"/>
      <c r="K114" s="257"/>
      <c r="L114" s="221"/>
      <c r="M114" s="257"/>
      <c r="N114" s="257"/>
      <c r="O114" s="257"/>
      <c r="P114" s="257"/>
      <c r="Q114" s="257"/>
      <c r="R114" s="257"/>
      <c r="S114" s="258"/>
      <c r="T114" s="295">
        <f t="shared" si="58"/>
        <v>0</v>
      </c>
      <c r="U114" s="293"/>
      <c r="V114" s="262">
        <f t="shared" si="59"/>
        <v>0</v>
      </c>
      <c r="W114" s="224">
        <f t="shared" si="46"/>
        <v>0</v>
      </c>
      <c r="X114" s="225">
        <f t="shared" si="47"/>
        <v>0</v>
      </c>
      <c r="Y114" s="263">
        <f t="shared" si="60"/>
        <v>0</v>
      </c>
      <c r="Z114" s="263">
        <f t="shared" si="61"/>
        <v>0</v>
      </c>
      <c r="AA114" s="263">
        <f t="shared" si="62"/>
        <v>0</v>
      </c>
      <c r="AB114" s="264">
        <f t="shared" si="63"/>
        <v>0</v>
      </c>
    </row>
    <row r="115" spans="1:28" hidden="1">
      <c r="A115" s="1255"/>
      <c r="B115" s="299"/>
      <c r="C115" s="240"/>
      <c r="D115" s="240"/>
      <c r="E115" s="241"/>
      <c r="F115" s="294"/>
      <c r="G115" s="242"/>
      <c r="H115" s="294"/>
      <c r="I115" s="294"/>
      <c r="J115" s="242"/>
      <c r="K115" s="242"/>
      <c r="L115" s="242"/>
      <c r="M115" s="242"/>
      <c r="N115" s="242"/>
      <c r="O115" s="242"/>
      <c r="P115" s="242"/>
      <c r="Q115" s="242"/>
      <c r="R115" s="242"/>
      <c r="S115" s="243"/>
      <c r="T115" s="295"/>
      <c r="U115" s="296"/>
      <c r="V115" s="224"/>
      <c r="W115" s="224">
        <f t="shared" si="46"/>
        <v>0</v>
      </c>
      <c r="X115" s="225">
        <f t="shared" si="47"/>
        <v>0</v>
      </c>
      <c r="Y115" s="225"/>
      <c r="Z115" s="225"/>
      <c r="AA115" s="225"/>
      <c r="AB115" s="252"/>
    </row>
    <row r="116" spans="1:28" hidden="1">
      <c r="A116" s="1255"/>
      <c r="B116" s="300"/>
      <c r="C116" s="212"/>
      <c r="D116" s="212"/>
      <c r="E116" s="219"/>
      <c r="F116" s="221"/>
      <c r="G116" s="221"/>
      <c r="H116" s="221"/>
      <c r="I116" s="221"/>
      <c r="J116" s="221"/>
      <c r="K116" s="221"/>
      <c r="L116" s="221"/>
      <c r="M116" s="221"/>
      <c r="N116" s="221"/>
      <c r="O116" s="221"/>
      <c r="P116" s="221"/>
      <c r="Q116" s="221"/>
      <c r="R116" s="221"/>
      <c r="S116" s="222"/>
      <c r="T116" s="295"/>
      <c r="U116" s="297"/>
      <c r="V116" s="224"/>
      <c r="W116" s="224">
        <f t="shared" si="46"/>
        <v>0</v>
      </c>
      <c r="X116" s="225">
        <f t="shared" si="47"/>
        <v>0</v>
      </c>
      <c r="Y116" s="225"/>
      <c r="Z116" s="225"/>
      <c r="AA116" s="225"/>
      <c r="AB116" s="252"/>
    </row>
    <row r="117" spans="1:28" hidden="1">
      <c r="A117" s="1255"/>
      <c r="B117" s="300"/>
      <c r="C117" s="212"/>
      <c r="D117" s="212"/>
      <c r="E117" s="219"/>
      <c r="F117" s="221"/>
      <c r="G117" s="221"/>
      <c r="H117" s="221"/>
      <c r="I117" s="221"/>
      <c r="J117" s="221"/>
      <c r="K117" s="221"/>
      <c r="L117" s="221"/>
      <c r="M117" s="221"/>
      <c r="N117" s="221"/>
      <c r="O117" s="221"/>
      <c r="P117" s="221"/>
      <c r="Q117" s="221"/>
      <c r="R117" s="221"/>
      <c r="S117" s="222"/>
      <c r="T117" s="295"/>
      <c r="U117" s="297"/>
      <c r="V117" s="224"/>
      <c r="W117" s="224">
        <f t="shared" si="46"/>
        <v>0</v>
      </c>
      <c r="X117" s="225">
        <f t="shared" si="47"/>
        <v>0</v>
      </c>
      <c r="Y117" s="225"/>
      <c r="Z117" s="225"/>
      <c r="AA117" s="225"/>
      <c r="AB117" s="252"/>
    </row>
    <row r="118" spans="1:28" hidden="1">
      <c r="A118" s="1255"/>
      <c r="B118" s="300"/>
      <c r="C118" s="212"/>
      <c r="D118" s="212"/>
      <c r="E118" s="219"/>
      <c r="F118" s="221"/>
      <c r="G118" s="221"/>
      <c r="H118" s="221"/>
      <c r="I118" s="221"/>
      <c r="J118" s="221"/>
      <c r="K118" s="221"/>
      <c r="L118" s="221"/>
      <c r="M118" s="221"/>
      <c r="N118" s="221"/>
      <c r="O118" s="221"/>
      <c r="P118" s="221"/>
      <c r="Q118" s="221"/>
      <c r="R118" s="221"/>
      <c r="S118" s="222"/>
      <c r="T118" s="295"/>
      <c r="U118" s="297"/>
      <c r="V118" s="224"/>
      <c r="W118" s="224">
        <f t="shared" si="46"/>
        <v>0</v>
      </c>
      <c r="X118" s="225">
        <f t="shared" si="47"/>
        <v>0</v>
      </c>
      <c r="Y118" s="225"/>
      <c r="Z118" s="225"/>
      <c r="AA118" s="225"/>
      <c r="AB118" s="252"/>
    </row>
    <row r="119" spans="1:28" hidden="1">
      <c r="A119" s="1255"/>
      <c r="B119" s="300"/>
      <c r="C119" s="212"/>
      <c r="D119" s="212"/>
      <c r="E119" s="219"/>
      <c r="F119" s="221"/>
      <c r="G119" s="221"/>
      <c r="H119" s="221"/>
      <c r="I119" s="221"/>
      <c r="J119" s="221"/>
      <c r="K119" s="221"/>
      <c r="L119" s="221"/>
      <c r="M119" s="221"/>
      <c r="N119" s="221"/>
      <c r="O119" s="221"/>
      <c r="P119" s="221"/>
      <c r="Q119" s="221"/>
      <c r="R119" s="221"/>
      <c r="S119" s="222"/>
      <c r="T119" s="295"/>
      <c r="U119" s="297"/>
      <c r="V119" s="224"/>
      <c r="W119" s="224">
        <f t="shared" si="46"/>
        <v>0</v>
      </c>
      <c r="X119" s="225">
        <f t="shared" si="47"/>
        <v>0</v>
      </c>
      <c r="Y119" s="225"/>
      <c r="Z119" s="225"/>
      <c r="AA119" s="225"/>
      <c r="AB119" s="252"/>
    </row>
    <row r="120" spans="1:28" hidden="1">
      <c r="A120" s="1255"/>
      <c r="B120" s="300"/>
      <c r="C120" s="212"/>
      <c r="D120" s="212"/>
      <c r="E120" s="219"/>
      <c r="F120" s="221"/>
      <c r="G120" s="221"/>
      <c r="H120" s="221"/>
      <c r="I120" s="221"/>
      <c r="J120" s="221"/>
      <c r="K120" s="221"/>
      <c r="L120" s="221"/>
      <c r="M120" s="221"/>
      <c r="N120" s="221"/>
      <c r="O120" s="221"/>
      <c r="P120" s="221"/>
      <c r="Q120" s="221"/>
      <c r="R120" s="221"/>
      <c r="S120" s="222"/>
      <c r="T120" s="295"/>
      <c r="U120" s="297"/>
      <c r="V120" s="224"/>
      <c r="W120" s="224">
        <f t="shared" si="46"/>
        <v>0</v>
      </c>
      <c r="X120" s="225">
        <f t="shared" si="47"/>
        <v>0</v>
      </c>
      <c r="Y120" s="225"/>
      <c r="Z120" s="225"/>
      <c r="AA120" s="225"/>
      <c r="AB120" s="252"/>
    </row>
    <row r="121" spans="1:28" hidden="1">
      <c r="A121" s="1255"/>
      <c r="B121" s="300"/>
      <c r="C121" s="212"/>
      <c r="D121" s="212"/>
      <c r="E121" s="219"/>
      <c r="F121" s="221"/>
      <c r="G121" s="221"/>
      <c r="H121" s="220"/>
      <c r="I121" s="222"/>
      <c r="J121" s="221"/>
      <c r="K121" s="221"/>
      <c r="L121" s="221"/>
      <c r="M121" s="221"/>
      <c r="N121" s="221"/>
      <c r="O121" s="221"/>
      <c r="P121" s="221"/>
      <c r="Q121" s="221"/>
      <c r="R121" s="221"/>
      <c r="S121" s="222"/>
      <c r="T121" s="295"/>
      <c r="U121" s="297"/>
      <c r="V121" s="224"/>
      <c r="W121" s="224">
        <f t="shared" si="46"/>
        <v>0</v>
      </c>
      <c r="X121" s="225">
        <f t="shared" si="47"/>
        <v>0</v>
      </c>
      <c r="Y121" s="225"/>
      <c r="Z121" s="225"/>
      <c r="AA121" s="225"/>
      <c r="AB121" s="252"/>
    </row>
    <row r="122" spans="1:28" hidden="1">
      <c r="A122" s="1255"/>
      <c r="B122" s="300"/>
      <c r="C122" s="212"/>
      <c r="D122" s="212"/>
      <c r="E122" s="219"/>
      <c r="F122" s="221"/>
      <c r="G122" s="221"/>
      <c r="H122" s="221"/>
      <c r="I122" s="221"/>
      <c r="J122" s="221"/>
      <c r="K122" s="221"/>
      <c r="L122" s="221"/>
      <c r="M122" s="221"/>
      <c r="N122" s="221"/>
      <c r="O122" s="221"/>
      <c r="P122" s="221"/>
      <c r="Q122" s="221"/>
      <c r="R122" s="221"/>
      <c r="S122" s="222"/>
      <c r="T122" s="295"/>
      <c r="U122" s="297"/>
      <c r="V122" s="224"/>
      <c r="W122" s="224">
        <f t="shared" si="46"/>
        <v>0</v>
      </c>
      <c r="X122" s="225">
        <f t="shared" si="47"/>
        <v>0</v>
      </c>
      <c r="Y122" s="225"/>
      <c r="Z122" s="225"/>
      <c r="AA122" s="225"/>
      <c r="AB122" s="252"/>
    </row>
    <row r="123" spans="1:28" hidden="1">
      <c r="A123" s="1255"/>
      <c r="B123" s="300"/>
      <c r="C123" s="212"/>
      <c r="D123" s="212"/>
      <c r="E123" s="219"/>
      <c r="F123" s="221"/>
      <c r="G123" s="221"/>
      <c r="H123" s="221"/>
      <c r="I123" s="221"/>
      <c r="J123" s="221"/>
      <c r="K123" s="221"/>
      <c r="L123" s="221"/>
      <c r="M123" s="221"/>
      <c r="N123" s="221"/>
      <c r="O123" s="221"/>
      <c r="P123" s="221"/>
      <c r="Q123" s="221"/>
      <c r="R123" s="221"/>
      <c r="S123" s="222"/>
      <c r="T123" s="295"/>
      <c r="U123" s="297"/>
      <c r="V123" s="224"/>
      <c r="W123" s="224">
        <f t="shared" si="46"/>
        <v>0</v>
      </c>
      <c r="X123" s="225">
        <f t="shared" si="47"/>
        <v>0</v>
      </c>
      <c r="Y123" s="225"/>
      <c r="Z123" s="225"/>
      <c r="AA123" s="225"/>
      <c r="AB123" s="252"/>
    </row>
    <row r="124" spans="1:28" hidden="1">
      <c r="A124" s="1255"/>
      <c r="B124" s="300"/>
      <c r="C124" s="212"/>
      <c r="D124" s="212"/>
      <c r="E124" s="219"/>
      <c r="F124" s="221"/>
      <c r="G124" s="221"/>
      <c r="H124" s="221"/>
      <c r="I124" s="221"/>
      <c r="J124" s="221"/>
      <c r="K124" s="221"/>
      <c r="L124" s="221"/>
      <c r="M124" s="221"/>
      <c r="N124" s="221"/>
      <c r="O124" s="221"/>
      <c r="P124" s="221"/>
      <c r="Q124" s="221"/>
      <c r="R124" s="221"/>
      <c r="S124" s="222"/>
      <c r="T124" s="295"/>
      <c r="U124" s="297"/>
      <c r="V124" s="224"/>
      <c r="W124" s="224">
        <f t="shared" si="46"/>
        <v>0</v>
      </c>
      <c r="X124" s="225">
        <f t="shared" si="47"/>
        <v>0</v>
      </c>
      <c r="Y124" s="225"/>
      <c r="Z124" s="225"/>
      <c r="AA124" s="225"/>
      <c r="AB124" s="252"/>
    </row>
    <row r="125" spans="1:28" hidden="1">
      <c r="A125" s="1255"/>
      <c r="B125" s="300"/>
      <c r="C125" s="212"/>
      <c r="D125" s="212"/>
      <c r="E125" s="219"/>
      <c r="F125" s="221"/>
      <c r="G125" s="221"/>
      <c r="H125" s="221"/>
      <c r="I125" s="221"/>
      <c r="J125" s="221"/>
      <c r="K125" s="221"/>
      <c r="L125" s="221"/>
      <c r="M125" s="221"/>
      <c r="N125" s="221"/>
      <c r="O125" s="221"/>
      <c r="P125" s="221"/>
      <c r="Q125" s="221"/>
      <c r="R125" s="221"/>
      <c r="S125" s="222"/>
      <c r="T125" s="295"/>
      <c r="U125" s="297"/>
      <c r="V125" s="224"/>
      <c r="W125" s="224">
        <f t="shared" si="46"/>
        <v>0</v>
      </c>
      <c r="X125" s="225">
        <f t="shared" si="47"/>
        <v>0</v>
      </c>
      <c r="Y125" s="225"/>
      <c r="Z125" s="225"/>
      <c r="AA125" s="225"/>
      <c r="AB125" s="252"/>
    </row>
    <row r="126" spans="1:28" ht="14.25" hidden="1" thickBot="1">
      <c r="A126" s="1256"/>
      <c r="B126" s="301"/>
      <c r="C126" s="228"/>
      <c r="D126" s="228"/>
      <c r="E126" s="229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0"/>
      <c r="Q126" s="230"/>
      <c r="R126" s="230"/>
      <c r="S126" s="231"/>
      <c r="T126" s="302"/>
      <c r="U126" s="303"/>
      <c r="V126" s="262"/>
      <c r="W126" s="235">
        <f t="shared" si="46"/>
        <v>0</v>
      </c>
      <c r="X126" s="236">
        <f t="shared" si="47"/>
        <v>0</v>
      </c>
      <c r="Y126" s="263"/>
      <c r="Z126" s="263"/>
      <c r="AA126" s="263"/>
      <c r="AB126" s="264"/>
    </row>
  </sheetData>
  <mergeCells count="13">
    <mergeCell ref="A115:A126"/>
    <mergeCell ref="A49:E49"/>
    <mergeCell ref="A50:A62"/>
    <mergeCell ref="A63:A75"/>
    <mergeCell ref="A76:A88"/>
    <mergeCell ref="A89:A101"/>
    <mergeCell ref="A102:A114"/>
    <mergeCell ref="A47:E47"/>
    <mergeCell ref="A3:E3"/>
    <mergeCell ref="A5:E5"/>
    <mergeCell ref="A6:A11"/>
    <mergeCell ref="A19:A31"/>
    <mergeCell ref="A32:A44"/>
  </mergeCells>
  <phoneticPr fontId="2" type="noConversion"/>
  <pageMargins left="0.4" right="0.16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"/>
  <sheetViews>
    <sheetView zoomScaleNormal="100" workbookViewId="0">
      <pane xSplit="5" ySplit="5" topLeftCell="F6" activePane="bottomRight" state="frozen"/>
      <selection activeCell="A16" sqref="A16"/>
      <selection pane="topRight" activeCell="A16" sqref="A16"/>
      <selection pane="bottomLeft" activeCell="A16" sqref="A16"/>
      <selection pane="bottomRight" activeCell="T141" sqref="T141"/>
    </sheetView>
  </sheetViews>
  <sheetFormatPr defaultRowHeight="13.5"/>
  <cols>
    <col min="1" max="1" width="3.6640625" style="271" customWidth="1"/>
    <col min="2" max="2" width="10.33203125" style="271" hidden="1" customWidth="1"/>
    <col min="3" max="3" width="5.109375" style="271" hidden="1" customWidth="1"/>
    <col min="4" max="4" width="3" style="271" customWidth="1"/>
    <col min="5" max="5" width="8.88671875" style="271"/>
    <col min="6" max="6" width="15.77734375" style="271" customWidth="1"/>
    <col min="7" max="11" width="15.77734375" style="271" hidden="1" customWidth="1"/>
    <col min="12" max="12" width="15.77734375" style="271" customWidth="1"/>
    <col min="13" max="18" width="15.77734375" style="271" hidden="1" customWidth="1"/>
    <col min="19" max="19" width="15.77734375" style="271" customWidth="1"/>
    <col min="20" max="20" width="15.77734375" style="304" customWidth="1"/>
    <col min="21" max="21" width="12.33203125" style="271" customWidth="1"/>
    <col min="22" max="27" width="13" style="271" hidden="1" customWidth="1"/>
    <col min="28" max="28" width="13.21875" style="271" hidden="1" customWidth="1"/>
    <col min="29" max="16384" width="8.88671875" style="271"/>
  </cols>
  <sheetData>
    <row r="1" spans="1:27" s="187" customFormat="1" ht="36" customHeight="1">
      <c r="A1" s="184" t="s">
        <v>1016</v>
      </c>
      <c r="B1" s="184"/>
      <c r="C1" s="184"/>
      <c r="D1" s="184"/>
      <c r="E1" s="184"/>
      <c r="F1" s="184"/>
      <c r="G1" s="184"/>
      <c r="H1" s="184"/>
      <c r="I1" s="184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6"/>
      <c r="U1" s="185"/>
      <c r="V1" s="185"/>
      <c r="W1" s="185"/>
      <c r="X1" s="185"/>
      <c r="Y1" s="185"/>
      <c r="Z1" s="185"/>
      <c r="AA1" s="185"/>
    </row>
    <row r="2" spans="1:27" s="187" customFormat="1" ht="14.25" customHeight="1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6"/>
      <c r="U2" s="185"/>
      <c r="V2" s="185"/>
      <c r="W2" s="185"/>
      <c r="X2" s="185"/>
      <c r="Y2" s="185"/>
      <c r="Z2" s="185"/>
      <c r="AA2" s="185"/>
    </row>
    <row r="3" spans="1:27" s="187" customFormat="1" ht="27.75" customHeight="1" thickBot="1">
      <c r="A3" s="1241" t="s">
        <v>404</v>
      </c>
      <c r="B3" s="1241"/>
      <c r="C3" s="1241"/>
      <c r="D3" s="1241"/>
      <c r="E3" s="1241"/>
      <c r="F3" s="188"/>
      <c r="G3" s="188"/>
      <c r="H3" s="188"/>
      <c r="I3" s="188"/>
      <c r="J3" s="188"/>
      <c r="K3" s="189"/>
      <c r="L3" s="189"/>
      <c r="M3" s="189"/>
      <c r="N3" s="190"/>
      <c r="O3" s="191"/>
      <c r="P3" s="191"/>
      <c r="Q3" s="191"/>
      <c r="R3" s="188"/>
      <c r="S3" s="188"/>
      <c r="T3" s="192"/>
      <c r="U3" s="188"/>
      <c r="V3" s="188"/>
      <c r="W3" s="188"/>
      <c r="X3" s="188"/>
      <c r="Y3" s="188"/>
      <c r="Z3" s="191"/>
      <c r="AA3" s="193" t="s">
        <v>65</v>
      </c>
    </row>
    <row r="4" spans="1:27" s="204" customFormat="1" ht="44.25" customHeight="1" thickBot="1">
      <c r="A4" s="194" t="s">
        <v>66</v>
      </c>
      <c r="B4" s="195" t="s">
        <v>67</v>
      </c>
      <c r="C4" s="195" t="s">
        <v>68</v>
      </c>
      <c r="D4" s="195" t="s">
        <v>69</v>
      </c>
      <c r="E4" s="195" t="s">
        <v>70</v>
      </c>
      <c r="F4" s="196" t="s">
        <v>71</v>
      </c>
      <c r="G4" s="197" t="s">
        <v>72</v>
      </c>
      <c r="H4" s="197" t="s">
        <v>73</v>
      </c>
      <c r="I4" s="197" t="s">
        <v>74</v>
      </c>
      <c r="J4" s="195" t="s">
        <v>75</v>
      </c>
      <c r="K4" s="197" t="s">
        <v>400</v>
      </c>
      <c r="L4" s="197" t="s">
        <v>965</v>
      </c>
      <c r="M4" s="197" t="s">
        <v>76</v>
      </c>
      <c r="N4" s="197" t="s">
        <v>388</v>
      </c>
      <c r="O4" s="197" t="s">
        <v>77</v>
      </c>
      <c r="P4" s="197" t="s">
        <v>401</v>
      </c>
      <c r="Q4" s="197" t="s">
        <v>326</v>
      </c>
      <c r="R4" s="197" t="s">
        <v>53</v>
      </c>
      <c r="S4" s="198" t="s">
        <v>78</v>
      </c>
      <c r="T4" s="489" t="s">
        <v>79</v>
      </c>
      <c r="U4" s="490" t="s">
        <v>38</v>
      </c>
      <c r="V4" s="286" t="s">
        <v>80</v>
      </c>
      <c r="W4" s="288" t="s">
        <v>81</v>
      </c>
      <c r="X4" s="287" t="s">
        <v>266</v>
      </c>
      <c r="Y4" s="288" t="s">
        <v>82</v>
      </c>
      <c r="Z4" s="287" t="s">
        <v>83</v>
      </c>
      <c r="AA4" s="289" t="s">
        <v>84</v>
      </c>
    </row>
    <row r="5" spans="1:27" s="210" customFormat="1" ht="41.25" customHeight="1" thickTop="1">
      <c r="A5" s="1249" t="s">
        <v>85</v>
      </c>
      <c r="B5" s="1243"/>
      <c r="C5" s="1243"/>
      <c r="D5" s="1243"/>
      <c r="E5" s="1243"/>
      <c r="F5" s="205">
        <f>SUM(F115)</f>
        <v>9600000</v>
      </c>
      <c r="G5" s="205">
        <f t="shared" ref="G5:R5" si="0">G6+G19+G32</f>
        <v>0</v>
      </c>
      <c r="H5" s="205">
        <f t="shared" si="0"/>
        <v>0</v>
      </c>
      <c r="I5" s="205">
        <f t="shared" si="0"/>
        <v>0</v>
      </c>
      <c r="J5" s="205">
        <f t="shared" si="0"/>
        <v>0</v>
      </c>
      <c r="K5" s="205">
        <f t="shared" si="0"/>
        <v>0</v>
      </c>
      <c r="L5" s="205">
        <f t="shared" si="0"/>
        <v>0</v>
      </c>
      <c r="M5" s="205">
        <f t="shared" si="0"/>
        <v>0</v>
      </c>
      <c r="N5" s="205">
        <f t="shared" si="0"/>
        <v>0</v>
      </c>
      <c r="O5" s="205">
        <f t="shared" si="0"/>
        <v>0</v>
      </c>
      <c r="P5" s="205">
        <f t="shared" si="0"/>
        <v>0</v>
      </c>
      <c r="Q5" s="205">
        <f t="shared" si="0"/>
        <v>0</v>
      </c>
      <c r="R5" s="205">
        <f t="shared" si="0"/>
        <v>0</v>
      </c>
      <c r="S5" s="205">
        <f>SUM(S6,S115)</f>
        <v>0</v>
      </c>
      <c r="T5" s="308"/>
      <c r="U5" s="206">
        <f t="shared" ref="U5:AA5" si="1">U6+U19+U32</f>
        <v>0</v>
      </c>
      <c r="V5" s="208">
        <f t="shared" si="1"/>
        <v>0</v>
      </c>
      <c r="W5" s="205">
        <f t="shared" si="1"/>
        <v>0</v>
      </c>
      <c r="X5" s="205">
        <f t="shared" si="1"/>
        <v>0</v>
      </c>
      <c r="Y5" s="205">
        <f t="shared" si="1"/>
        <v>0</v>
      </c>
      <c r="Z5" s="205">
        <f t="shared" si="1"/>
        <v>0</v>
      </c>
      <c r="AA5" s="491">
        <f t="shared" si="1"/>
        <v>0</v>
      </c>
    </row>
    <row r="6" spans="1:27" s="204" customFormat="1" ht="41.25" hidden="1" customHeight="1">
      <c r="A6" s="1250">
        <v>1</v>
      </c>
      <c r="B6" s="211" t="s">
        <v>387</v>
      </c>
      <c r="C6" s="212"/>
      <c r="D6" s="212">
        <v>11</v>
      </c>
      <c r="E6" s="213" t="s">
        <v>283</v>
      </c>
      <c r="F6" s="214">
        <f t="shared" ref="F6:S6" si="2">SUM(F7:F18)</f>
        <v>0</v>
      </c>
      <c r="G6" s="214">
        <f t="shared" si="2"/>
        <v>0</v>
      </c>
      <c r="H6" s="214">
        <f t="shared" si="2"/>
        <v>0</v>
      </c>
      <c r="I6" s="214">
        <f t="shared" si="2"/>
        <v>0</v>
      </c>
      <c r="J6" s="214">
        <f t="shared" si="2"/>
        <v>0</v>
      </c>
      <c r="K6" s="214">
        <f t="shared" si="2"/>
        <v>0</v>
      </c>
      <c r="L6" s="214">
        <f t="shared" si="2"/>
        <v>0</v>
      </c>
      <c r="M6" s="214">
        <f t="shared" si="2"/>
        <v>0</v>
      </c>
      <c r="N6" s="214">
        <f t="shared" si="2"/>
        <v>0</v>
      </c>
      <c r="O6" s="214">
        <f t="shared" si="2"/>
        <v>0</v>
      </c>
      <c r="P6" s="214">
        <f t="shared" si="2"/>
        <v>0</v>
      </c>
      <c r="Q6" s="214">
        <f t="shared" si="2"/>
        <v>0</v>
      </c>
      <c r="R6" s="214">
        <f t="shared" si="2"/>
        <v>0</v>
      </c>
      <c r="S6" s="214">
        <f t="shared" si="2"/>
        <v>0</v>
      </c>
      <c r="T6" s="250"/>
      <c r="U6" s="265">
        <f t="shared" ref="U6:AA6" si="3">SUM(U7:U18)</f>
        <v>0</v>
      </c>
      <c r="V6" s="217">
        <f t="shared" si="3"/>
        <v>0</v>
      </c>
      <c r="W6" s="214">
        <f t="shared" si="3"/>
        <v>0</v>
      </c>
      <c r="X6" s="214">
        <f t="shared" si="3"/>
        <v>0</v>
      </c>
      <c r="Y6" s="214">
        <f t="shared" si="3"/>
        <v>0</v>
      </c>
      <c r="Z6" s="214">
        <f t="shared" si="3"/>
        <v>0</v>
      </c>
      <c r="AA6" s="266">
        <f t="shared" si="3"/>
        <v>0</v>
      </c>
    </row>
    <row r="7" spans="1:27" s="204" customFormat="1" ht="18" hidden="1" customHeight="1">
      <c r="A7" s="1251"/>
      <c r="B7" s="211" t="s">
        <v>382</v>
      </c>
      <c r="C7" s="212"/>
      <c r="D7" s="212">
        <v>1</v>
      </c>
      <c r="E7" s="219" t="s">
        <v>363</v>
      </c>
      <c r="F7" s="220"/>
      <c r="G7" s="221"/>
      <c r="H7" s="220"/>
      <c r="I7" s="222"/>
      <c r="J7" s="221"/>
      <c r="K7" s="221"/>
      <c r="L7" s="221"/>
      <c r="M7" s="221"/>
      <c r="N7" s="221"/>
      <c r="O7" s="221"/>
      <c r="P7" s="221"/>
      <c r="Q7" s="221"/>
      <c r="R7" s="222"/>
      <c r="S7" s="214">
        <f>SUM(F7:R7)</f>
        <v>0</v>
      </c>
      <c r="T7" s="250"/>
      <c r="U7" s="251">
        <f>ROUND(S7*1/12,-1)</f>
        <v>0</v>
      </c>
      <c r="V7" s="224"/>
      <c r="W7" s="225"/>
      <c r="X7" s="225">
        <f>ROUND(W7*6.55%,-1)</f>
        <v>0</v>
      </c>
      <c r="Y7" s="225"/>
      <c r="Z7" s="225"/>
      <c r="AA7" s="252">
        <f>SUM(U7:Z7)</f>
        <v>0</v>
      </c>
    </row>
    <row r="8" spans="1:27" s="204" customFormat="1" ht="18" hidden="1" customHeight="1">
      <c r="A8" s="1251"/>
      <c r="B8" s="211" t="s">
        <v>383</v>
      </c>
      <c r="C8" s="212"/>
      <c r="D8" s="212">
        <v>1</v>
      </c>
      <c r="E8" s="219" t="s">
        <v>364</v>
      </c>
      <c r="F8" s="221"/>
      <c r="G8" s="221"/>
      <c r="H8" s="221"/>
      <c r="I8" s="221"/>
      <c r="J8" s="221"/>
      <c r="K8" s="221"/>
      <c r="L8" s="221"/>
      <c r="M8" s="221"/>
      <c r="N8" s="221"/>
      <c r="O8" s="221"/>
      <c r="P8" s="221"/>
      <c r="Q8" s="221"/>
      <c r="R8" s="222"/>
      <c r="S8" s="214">
        <f>SUM(F8:R8)</f>
        <v>0</v>
      </c>
      <c r="T8" s="250"/>
      <c r="U8" s="251">
        <f>ROUND(S8*1/12,-1)</f>
        <v>0</v>
      </c>
      <c r="V8" s="224"/>
      <c r="W8" s="225"/>
      <c r="X8" s="225">
        <f>ROUND(W8*6.55%,-1)</f>
        <v>0</v>
      </c>
      <c r="Y8" s="225"/>
      <c r="Z8" s="225"/>
      <c r="AA8" s="252">
        <f>SUM(U8:Z8)</f>
        <v>0</v>
      </c>
    </row>
    <row r="9" spans="1:27" s="204" customFormat="1" ht="18" hidden="1" customHeight="1">
      <c r="A9" s="1251"/>
      <c r="B9" s="211" t="s">
        <v>384</v>
      </c>
      <c r="C9" s="212"/>
      <c r="D9" s="212">
        <v>1</v>
      </c>
      <c r="E9" s="219" t="s">
        <v>379</v>
      </c>
      <c r="F9" s="221"/>
      <c r="G9" s="221"/>
      <c r="H9" s="221"/>
      <c r="I9" s="221"/>
      <c r="J9" s="221"/>
      <c r="K9" s="221"/>
      <c r="L9" s="221"/>
      <c r="M9" s="221"/>
      <c r="N9" s="221"/>
      <c r="O9" s="221"/>
      <c r="P9" s="221"/>
      <c r="Q9" s="221"/>
      <c r="R9" s="222"/>
      <c r="S9" s="214">
        <f>SUM(F9:R9)</f>
        <v>0</v>
      </c>
      <c r="T9" s="250"/>
      <c r="U9" s="251">
        <f>ROUND(S9*1/12,-1)</f>
        <v>0</v>
      </c>
      <c r="V9" s="224"/>
      <c r="W9" s="225"/>
      <c r="X9" s="225">
        <f>ROUND(W9*6.55%,-1)</f>
        <v>0</v>
      </c>
      <c r="Y9" s="225"/>
      <c r="Z9" s="225"/>
      <c r="AA9" s="252">
        <f>SUM(U9:Z9)</f>
        <v>0</v>
      </c>
    </row>
    <row r="10" spans="1:27" s="204" customFormat="1" ht="18" hidden="1" customHeight="1">
      <c r="A10" s="1251"/>
      <c r="B10" s="211" t="s">
        <v>385</v>
      </c>
      <c r="C10" s="212"/>
      <c r="D10" s="212">
        <v>1</v>
      </c>
      <c r="E10" s="219" t="s">
        <v>599</v>
      </c>
      <c r="F10" s="222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/>
      <c r="R10" s="222"/>
      <c r="S10" s="214">
        <f>SUM(F10:R10)</f>
        <v>0</v>
      </c>
      <c r="T10" s="250"/>
      <c r="U10" s="251">
        <f>ROUND(S10*1/12,-1)</f>
        <v>0</v>
      </c>
      <c r="V10" s="224"/>
      <c r="W10" s="225"/>
      <c r="X10" s="225">
        <f>ROUND(W10*6.55%,-1)</f>
        <v>0</v>
      </c>
      <c r="Y10" s="225"/>
      <c r="Z10" s="225"/>
      <c r="AA10" s="252">
        <f>SUM(U10:Z10)</f>
        <v>0</v>
      </c>
    </row>
    <row r="11" spans="1:27" s="204" customFormat="1" ht="18" hidden="1" customHeight="1">
      <c r="A11" s="1251"/>
      <c r="B11" s="211" t="s">
        <v>386</v>
      </c>
      <c r="C11" s="212"/>
      <c r="D11" s="212">
        <v>7</v>
      </c>
      <c r="E11" s="219" t="s">
        <v>380</v>
      </c>
      <c r="F11" s="221"/>
      <c r="G11" s="221"/>
      <c r="H11" s="221"/>
      <c r="I11" s="221"/>
      <c r="J11" s="221"/>
      <c r="K11" s="221"/>
      <c r="L11" s="221"/>
      <c r="M11" s="221"/>
      <c r="N11" s="221"/>
      <c r="O11" s="221"/>
      <c r="P11" s="221"/>
      <c r="Q11" s="221"/>
      <c r="R11" s="222"/>
      <c r="S11" s="214">
        <f>SUM(F11:R11)</f>
        <v>0</v>
      </c>
      <c r="T11" s="250"/>
      <c r="U11" s="251">
        <f>ROUND(S11*1/12,-1)</f>
        <v>0</v>
      </c>
      <c r="V11" s="224"/>
      <c r="W11" s="225"/>
      <c r="X11" s="225">
        <f>ROUND(W11*6.55%,-1)</f>
        <v>0</v>
      </c>
      <c r="Y11" s="225"/>
      <c r="Z11" s="225"/>
      <c r="AA11" s="252">
        <f>SUM(U11:Z11)</f>
        <v>0</v>
      </c>
    </row>
    <row r="12" spans="1:27" s="204" customFormat="1" ht="16.5" hidden="1" customHeight="1">
      <c r="A12" s="238"/>
      <c r="B12" s="211"/>
      <c r="C12" s="212"/>
      <c r="D12" s="212"/>
      <c r="E12" s="219"/>
      <c r="F12" s="221">
        <f>F11</f>
        <v>0</v>
      </c>
      <c r="G12" s="221">
        <f>F12*50%</f>
        <v>0</v>
      </c>
      <c r="H12" s="221">
        <v>0</v>
      </c>
      <c r="I12" s="221">
        <f>I7</f>
        <v>0</v>
      </c>
      <c r="J12" s="221">
        <v>0</v>
      </c>
      <c r="K12" s="221">
        <f>K11</f>
        <v>0</v>
      </c>
      <c r="L12" s="221">
        <v>0</v>
      </c>
      <c r="M12" s="221">
        <v>0</v>
      </c>
      <c r="N12" s="221">
        <f>N7</f>
        <v>0</v>
      </c>
      <c r="O12" s="221">
        <f>O7</f>
        <v>0</v>
      </c>
      <c r="P12" s="221">
        <f t="shared" ref="P12:P17" si="4">ROUND((F12)*1/209*1.5*40,-1)</f>
        <v>0</v>
      </c>
      <c r="Q12" s="221"/>
      <c r="R12" s="222">
        <f t="shared" ref="R12:R18" si="5">R11</f>
        <v>0</v>
      </c>
      <c r="S12" s="214">
        <f t="shared" ref="S12:S18" si="6">SUM(F12:R12)</f>
        <v>0</v>
      </c>
      <c r="T12" s="250"/>
      <c r="U12" s="251">
        <f t="shared" ref="U12:U18" si="7">ROUND(S12*1/12,-1)</f>
        <v>0</v>
      </c>
      <c r="V12" s="224">
        <f t="shared" ref="V12:V18" si="8">ROUND(S12*4.5%,-1)</f>
        <v>0</v>
      </c>
      <c r="W12" s="225">
        <f t="shared" ref="W12:W18" si="9">ROUND(S12*2.665%,-1)</f>
        <v>0</v>
      </c>
      <c r="X12" s="225">
        <f t="shared" ref="X12:X18" si="10">ROUND(W12*6.55%,-1)</f>
        <v>0</v>
      </c>
      <c r="Y12" s="225">
        <f t="shared" ref="Y12:Y18" si="11">ROUND(S12*0.7%,-1)</f>
        <v>0</v>
      </c>
      <c r="Z12" s="225">
        <f t="shared" ref="Z12:Z18" si="12">ROUND(S12*0.7%,-1)</f>
        <v>0</v>
      </c>
      <c r="AA12" s="252">
        <f t="shared" ref="AA12:AA18" si="13">SUM(U12:Z12)</f>
        <v>0</v>
      </c>
    </row>
    <row r="13" spans="1:27" s="204" customFormat="1" ht="16.5" hidden="1" customHeight="1">
      <c r="A13" s="238"/>
      <c r="B13" s="211"/>
      <c r="C13" s="212"/>
      <c r="D13" s="212"/>
      <c r="E13" s="219"/>
      <c r="F13" s="225">
        <f>F12</f>
        <v>0</v>
      </c>
      <c r="G13" s="221">
        <v>0</v>
      </c>
      <c r="H13" s="220">
        <f>F13*90%</f>
        <v>0</v>
      </c>
      <c r="I13" s="220" t="s">
        <v>60</v>
      </c>
      <c r="J13" s="221">
        <v>0</v>
      </c>
      <c r="K13" s="221">
        <f t="shared" ref="K13:L17" si="14">K12</f>
        <v>0</v>
      </c>
      <c r="L13" s="221">
        <f t="shared" si="14"/>
        <v>0</v>
      </c>
      <c r="M13" s="221">
        <v>0</v>
      </c>
      <c r="N13" s="221">
        <f>N12</f>
        <v>0</v>
      </c>
      <c r="O13" s="221">
        <f>O12</f>
        <v>0</v>
      </c>
      <c r="P13" s="221">
        <f t="shared" si="4"/>
        <v>0</v>
      </c>
      <c r="Q13" s="221"/>
      <c r="R13" s="222">
        <f t="shared" si="5"/>
        <v>0</v>
      </c>
      <c r="S13" s="214">
        <f t="shared" si="6"/>
        <v>0</v>
      </c>
      <c r="T13" s="250"/>
      <c r="U13" s="251">
        <f t="shared" si="7"/>
        <v>0</v>
      </c>
      <c r="V13" s="224">
        <f t="shared" si="8"/>
        <v>0</v>
      </c>
      <c r="W13" s="225">
        <f t="shared" si="9"/>
        <v>0</v>
      </c>
      <c r="X13" s="225">
        <f t="shared" si="10"/>
        <v>0</v>
      </c>
      <c r="Y13" s="225">
        <f t="shared" si="11"/>
        <v>0</v>
      </c>
      <c r="Z13" s="225">
        <f t="shared" si="12"/>
        <v>0</v>
      </c>
      <c r="AA13" s="252">
        <f t="shared" si="13"/>
        <v>0</v>
      </c>
    </row>
    <row r="14" spans="1:27" s="204" customFormat="1" ht="16.5" hidden="1" customHeight="1">
      <c r="A14" s="238"/>
      <c r="B14" s="211"/>
      <c r="C14" s="212"/>
      <c r="D14" s="212"/>
      <c r="E14" s="219"/>
      <c r="F14" s="221">
        <f>F13</f>
        <v>0</v>
      </c>
      <c r="G14" s="221">
        <v>0</v>
      </c>
      <c r="H14" s="221">
        <v>0</v>
      </c>
      <c r="I14" s="221" t="str">
        <f>I13</f>
        <v>-</v>
      </c>
      <c r="J14" s="221">
        <v>0</v>
      </c>
      <c r="K14" s="221">
        <f t="shared" si="14"/>
        <v>0</v>
      </c>
      <c r="L14" s="221">
        <f t="shared" si="14"/>
        <v>0</v>
      </c>
      <c r="M14" s="221">
        <v>0</v>
      </c>
      <c r="N14" s="221">
        <f>N13</f>
        <v>0</v>
      </c>
      <c r="O14" s="221">
        <f>O13</f>
        <v>0</v>
      </c>
      <c r="P14" s="221">
        <f t="shared" si="4"/>
        <v>0</v>
      </c>
      <c r="Q14" s="221"/>
      <c r="R14" s="222">
        <f t="shared" si="5"/>
        <v>0</v>
      </c>
      <c r="S14" s="214">
        <f t="shared" si="6"/>
        <v>0</v>
      </c>
      <c r="T14" s="250"/>
      <c r="U14" s="251">
        <f t="shared" si="7"/>
        <v>0</v>
      </c>
      <c r="V14" s="224">
        <f t="shared" si="8"/>
        <v>0</v>
      </c>
      <c r="W14" s="225">
        <f t="shared" si="9"/>
        <v>0</v>
      </c>
      <c r="X14" s="225">
        <f t="shared" si="10"/>
        <v>0</v>
      </c>
      <c r="Y14" s="225">
        <f t="shared" si="11"/>
        <v>0</v>
      </c>
      <c r="Z14" s="225">
        <f t="shared" si="12"/>
        <v>0</v>
      </c>
      <c r="AA14" s="252">
        <f t="shared" si="13"/>
        <v>0</v>
      </c>
    </row>
    <row r="15" spans="1:27" s="204" customFormat="1" ht="16.5" hidden="1" customHeight="1">
      <c r="A15" s="238"/>
      <c r="B15" s="211"/>
      <c r="C15" s="212"/>
      <c r="D15" s="212"/>
      <c r="E15" s="219"/>
      <c r="F15" s="221">
        <f>F13</f>
        <v>0</v>
      </c>
      <c r="G15" s="221">
        <f>F15*50%</f>
        <v>0</v>
      </c>
      <c r="H15" s="221">
        <v>0</v>
      </c>
      <c r="I15" s="221" t="str">
        <f>I13</f>
        <v>-</v>
      </c>
      <c r="J15" s="221">
        <v>0</v>
      </c>
      <c r="K15" s="221">
        <f t="shared" si="14"/>
        <v>0</v>
      </c>
      <c r="L15" s="221">
        <f t="shared" si="14"/>
        <v>0</v>
      </c>
      <c r="M15" s="221">
        <f>F15*50%</f>
        <v>0</v>
      </c>
      <c r="N15" s="221">
        <f>N13</f>
        <v>0</v>
      </c>
      <c r="O15" s="221">
        <f>O13</f>
        <v>0</v>
      </c>
      <c r="P15" s="221">
        <f t="shared" si="4"/>
        <v>0</v>
      </c>
      <c r="Q15" s="221"/>
      <c r="R15" s="222">
        <f t="shared" si="5"/>
        <v>0</v>
      </c>
      <c r="S15" s="214">
        <f t="shared" si="6"/>
        <v>0</v>
      </c>
      <c r="T15" s="250"/>
      <c r="U15" s="251">
        <f t="shared" si="7"/>
        <v>0</v>
      </c>
      <c r="V15" s="224">
        <f t="shared" si="8"/>
        <v>0</v>
      </c>
      <c r="W15" s="225">
        <f t="shared" si="9"/>
        <v>0</v>
      </c>
      <c r="X15" s="225">
        <f t="shared" si="10"/>
        <v>0</v>
      </c>
      <c r="Y15" s="225">
        <f t="shared" si="11"/>
        <v>0</v>
      </c>
      <c r="Z15" s="225">
        <f t="shared" si="12"/>
        <v>0</v>
      </c>
      <c r="AA15" s="252">
        <f t="shared" si="13"/>
        <v>0</v>
      </c>
    </row>
    <row r="16" spans="1:27" s="204" customFormat="1" ht="16.5" hidden="1" customHeight="1">
      <c r="A16" s="238"/>
      <c r="B16" s="211"/>
      <c r="C16" s="212"/>
      <c r="D16" s="212"/>
      <c r="E16" s="219"/>
      <c r="F16" s="221">
        <f>F13</f>
        <v>0</v>
      </c>
      <c r="G16" s="221">
        <v>0</v>
      </c>
      <c r="H16" s="221">
        <v>0</v>
      </c>
      <c r="I16" s="221" t="str">
        <f>I13</f>
        <v>-</v>
      </c>
      <c r="J16" s="221">
        <f>F16*50%</f>
        <v>0</v>
      </c>
      <c r="K16" s="221">
        <f t="shared" si="14"/>
        <v>0</v>
      </c>
      <c r="L16" s="221">
        <f t="shared" si="14"/>
        <v>0</v>
      </c>
      <c r="M16" s="221">
        <v>0</v>
      </c>
      <c r="N16" s="221">
        <f>N13</f>
        <v>0</v>
      </c>
      <c r="O16" s="221">
        <f>O13</f>
        <v>0</v>
      </c>
      <c r="P16" s="221">
        <f t="shared" si="4"/>
        <v>0</v>
      </c>
      <c r="Q16" s="221"/>
      <c r="R16" s="222">
        <f t="shared" si="5"/>
        <v>0</v>
      </c>
      <c r="S16" s="214">
        <f t="shared" si="6"/>
        <v>0</v>
      </c>
      <c r="T16" s="250"/>
      <c r="U16" s="251">
        <f t="shared" si="7"/>
        <v>0</v>
      </c>
      <c r="V16" s="224">
        <f t="shared" si="8"/>
        <v>0</v>
      </c>
      <c r="W16" s="225">
        <f t="shared" si="9"/>
        <v>0</v>
      </c>
      <c r="X16" s="225">
        <f t="shared" si="10"/>
        <v>0</v>
      </c>
      <c r="Y16" s="225">
        <f t="shared" si="11"/>
        <v>0</v>
      </c>
      <c r="Z16" s="225">
        <f t="shared" si="12"/>
        <v>0</v>
      </c>
      <c r="AA16" s="252">
        <f t="shared" si="13"/>
        <v>0</v>
      </c>
    </row>
    <row r="17" spans="1:27" s="204" customFormat="1" ht="16.5" hidden="1" customHeight="1">
      <c r="A17" s="238"/>
      <c r="B17" s="211"/>
      <c r="C17" s="212"/>
      <c r="D17" s="212"/>
      <c r="E17" s="219"/>
      <c r="F17" s="221">
        <f>F13</f>
        <v>0</v>
      </c>
      <c r="G17" s="221">
        <v>0</v>
      </c>
      <c r="H17" s="221">
        <v>0</v>
      </c>
      <c r="I17" s="221" t="str">
        <f>I13</f>
        <v>-</v>
      </c>
      <c r="J17" s="221">
        <f>F17*50%</f>
        <v>0</v>
      </c>
      <c r="K17" s="221">
        <f t="shared" si="14"/>
        <v>0</v>
      </c>
      <c r="L17" s="221">
        <f t="shared" si="14"/>
        <v>0</v>
      </c>
      <c r="M17" s="221">
        <v>0</v>
      </c>
      <c r="N17" s="221">
        <f>N13</f>
        <v>0</v>
      </c>
      <c r="O17" s="221">
        <f>O13</f>
        <v>0</v>
      </c>
      <c r="P17" s="221">
        <f t="shared" si="4"/>
        <v>0</v>
      </c>
      <c r="Q17" s="221"/>
      <c r="R17" s="222">
        <f t="shared" si="5"/>
        <v>0</v>
      </c>
      <c r="S17" s="214">
        <f t="shared" si="6"/>
        <v>0</v>
      </c>
      <c r="T17" s="250"/>
      <c r="U17" s="251">
        <f t="shared" si="7"/>
        <v>0</v>
      </c>
      <c r="V17" s="224">
        <f t="shared" si="8"/>
        <v>0</v>
      </c>
      <c r="W17" s="225">
        <f t="shared" si="9"/>
        <v>0</v>
      </c>
      <c r="X17" s="225">
        <f t="shared" si="10"/>
        <v>0</v>
      </c>
      <c r="Y17" s="225">
        <f t="shared" si="11"/>
        <v>0</v>
      </c>
      <c r="Z17" s="225">
        <f t="shared" si="12"/>
        <v>0</v>
      </c>
      <c r="AA17" s="252">
        <f t="shared" si="13"/>
        <v>0</v>
      </c>
    </row>
    <row r="18" spans="1:27" s="204" customFormat="1" ht="16.5" hidden="1" customHeight="1">
      <c r="A18" s="253"/>
      <c r="B18" s="254"/>
      <c r="C18" s="255"/>
      <c r="D18" s="255"/>
      <c r="E18" s="256"/>
      <c r="F18" s="257">
        <f>F13</f>
        <v>0</v>
      </c>
      <c r="G18" s="257">
        <f>F18*50%</f>
        <v>0</v>
      </c>
      <c r="H18" s="257">
        <v>0</v>
      </c>
      <c r="I18" s="257" t="str">
        <f>I13</f>
        <v>-</v>
      </c>
      <c r="J18" s="257">
        <v>0</v>
      </c>
      <c r="K18" s="257">
        <f>K17</f>
        <v>0</v>
      </c>
      <c r="L18" s="257">
        <f>L17</f>
        <v>0</v>
      </c>
      <c r="M18" s="257">
        <v>0</v>
      </c>
      <c r="N18" s="257">
        <f>N13</f>
        <v>0</v>
      </c>
      <c r="O18" s="257">
        <f>O13</f>
        <v>0</v>
      </c>
      <c r="P18" s="257">
        <f>ROUND((F18)*1/209*1.5*40*2,-1)</f>
        <v>0</v>
      </c>
      <c r="Q18" s="257"/>
      <c r="R18" s="258">
        <f t="shared" si="5"/>
        <v>0</v>
      </c>
      <c r="S18" s="259">
        <f t="shared" si="6"/>
        <v>0</v>
      </c>
      <c r="T18" s="260"/>
      <c r="U18" s="261">
        <f t="shared" si="7"/>
        <v>0</v>
      </c>
      <c r="V18" s="262">
        <f t="shared" si="8"/>
        <v>0</v>
      </c>
      <c r="W18" s="263">
        <f t="shared" si="9"/>
        <v>0</v>
      </c>
      <c r="X18" s="263">
        <f t="shared" si="10"/>
        <v>0</v>
      </c>
      <c r="Y18" s="263">
        <f t="shared" si="11"/>
        <v>0</v>
      </c>
      <c r="Z18" s="263">
        <f t="shared" si="12"/>
        <v>0</v>
      </c>
      <c r="AA18" s="264">
        <f t="shared" si="13"/>
        <v>0</v>
      </c>
    </row>
    <row r="19" spans="1:27" s="204" customFormat="1" ht="41.25" hidden="1" customHeight="1">
      <c r="A19" s="1250">
        <v>1</v>
      </c>
      <c r="B19" s="211" t="s">
        <v>352</v>
      </c>
      <c r="C19" s="212" t="s">
        <v>282</v>
      </c>
      <c r="D19" s="212">
        <v>1</v>
      </c>
      <c r="E19" s="213" t="s">
        <v>86</v>
      </c>
      <c r="F19" s="214">
        <f t="shared" ref="F19:S19" si="15">SUM(F20:F31)</f>
        <v>0</v>
      </c>
      <c r="G19" s="214">
        <f t="shared" si="15"/>
        <v>0</v>
      </c>
      <c r="H19" s="214">
        <f t="shared" si="15"/>
        <v>0</v>
      </c>
      <c r="I19" s="214">
        <f t="shared" si="15"/>
        <v>0</v>
      </c>
      <c r="J19" s="214">
        <f t="shared" si="15"/>
        <v>0</v>
      </c>
      <c r="K19" s="214">
        <f t="shared" si="15"/>
        <v>0</v>
      </c>
      <c r="L19" s="214">
        <f t="shared" si="15"/>
        <v>0</v>
      </c>
      <c r="M19" s="214">
        <f t="shared" si="15"/>
        <v>0</v>
      </c>
      <c r="N19" s="214">
        <f t="shared" si="15"/>
        <v>0</v>
      </c>
      <c r="O19" s="214">
        <f t="shared" si="15"/>
        <v>0</v>
      </c>
      <c r="P19" s="214">
        <f t="shared" si="15"/>
        <v>0</v>
      </c>
      <c r="Q19" s="214">
        <f t="shared" si="15"/>
        <v>0</v>
      </c>
      <c r="R19" s="214">
        <f t="shared" si="15"/>
        <v>0</v>
      </c>
      <c r="S19" s="214">
        <f t="shared" si="15"/>
        <v>0</v>
      </c>
      <c r="T19" s="250" t="s">
        <v>371</v>
      </c>
      <c r="U19" s="265">
        <f t="shared" ref="U19:AA19" si="16">SUM(U20:U31)</f>
        <v>0</v>
      </c>
      <c r="V19" s="217">
        <f t="shared" si="16"/>
        <v>0</v>
      </c>
      <c r="W19" s="244">
        <f t="shared" si="16"/>
        <v>0</v>
      </c>
      <c r="X19" s="244">
        <f t="shared" si="16"/>
        <v>0</v>
      </c>
      <c r="Y19" s="214">
        <f t="shared" si="16"/>
        <v>0</v>
      </c>
      <c r="Z19" s="244">
        <f t="shared" si="16"/>
        <v>0</v>
      </c>
      <c r="AA19" s="266">
        <f t="shared" si="16"/>
        <v>0</v>
      </c>
    </row>
    <row r="20" spans="1:27" s="204" customFormat="1" ht="16.5" hidden="1" customHeight="1">
      <c r="A20" s="1253"/>
      <c r="B20" s="211"/>
      <c r="C20" s="212">
        <v>3</v>
      </c>
      <c r="D20" s="212"/>
      <c r="E20" s="219" t="s">
        <v>273</v>
      </c>
      <c r="F20" s="220"/>
      <c r="G20" s="221"/>
      <c r="H20" s="220"/>
      <c r="I20" s="222"/>
      <c r="J20" s="221"/>
      <c r="K20" s="221"/>
      <c r="L20" s="221"/>
      <c r="M20" s="221"/>
      <c r="N20" s="221"/>
      <c r="O20" s="221"/>
      <c r="P20" s="221"/>
      <c r="Q20" s="221"/>
      <c r="R20" s="222" t="s">
        <v>60</v>
      </c>
      <c r="S20" s="214">
        <f t="shared" ref="S20:S31" si="17">SUM(F20:R20)</f>
        <v>0</v>
      </c>
      <c r="T20" s="250"/>
      <c r="U20" s="251">
        <f t="shared" ref="U20:U31" si="18">ROUND(S20*1/12,-1)</f>
        <v>0</v>
      </c>
      <c r="V20" s="224">
        <f t="shared" ref="V20:V31" si="19">ROUND(S20*4.5%,-1)</f>
        <v>0</v>
      </c>
      <c r="W20" s="225">
        <f>ROUND(S20*2.665%,-1)</f>
        <v>0</v>
      </c>
      <c r="X20" s="225">
        <f>ROUND(W20*6.55%,-1)</f>
        <v>0</v>
      </c>
      <c r="Y20" s="225">
        <f t="shared" ref="Y20:Y31" si="20">ROUND(S20*0.7%,-1)</f>
        <v>0</v>
      </c>
      <c r="Z20" s="225">
        <f>ROUND(S20*0.7%,-1)</f>
        <v>0</v>
      </c>
      <c r="AA20" s="252">
        <f t="shared" ref="AA20:AA31" si="21">SUM(U20:Z20)</f>
        <v>0</v>
      </c>
    </row>
    <row r="21" spans="1:27" s="204" customFormat="1" ht="16.5" hidden="1" customHeight="1">
      <c r="A21" s="1253"/>
      <c r="B21" s="211"/>
      <c r="C21" s="212"/>
      <c r="D21" s="212"/>
      <c r="E21" s="219" t="s">
        <v>274</v>
      </c>
      <c r="F21" s="221"/>
      <c r="G21" s="221"/>
      <c r="H21" s="221"/>
      <c r="I21" s="221"/>
      <c r="J21" s="221"/>
      <c r="K21" s="221"/>
      <c r="L21" s="221"/>
      <c r="M21" s="221"/>
      <c r="N21" s="221"/>
      <c r="O21" s="221"/>
      <c r="P21" s="221"/>
      <c r="Q21" s="221"/>
      <c r="R21" s="222" t="str">
        <f t="shared" ref="R21:R31" si="22">R20</f>
        <v>-</v>
      </c>
      <c r="S21" s="214">
        <f t="shared" si="17"/>
        <v>0</v>
      </c>
      <c r="T21" s="250"/>
      <c r="U21" s="251">
        <f t="shared" si="18"/>
        <v>0</v>
      </c>
      <c r="V21" s="224">
        <f t="shared" si="19"/>
        <v>0</v>
      </c>
      <c r="W21" s="225">
        <f t="shared" ref="W21:W31" si="23">ROUND(S21*2.665%,-1)</f>
        <v>0</v>
      </c>
      <c r="X21" s="225">
        <f t="shared" ref="X21:X31" si="24">ROUND(W21*6.55%,-1)</f>
        <v>0</v>
      </c>
      <c r="Y21" s="225">
        <f t="shared" si="20"/>
        <v>0</v>
      </c>
      <c r="Z21" s="225">
        <f t="shared" ref="Z21:Z31" si="25">ROUND(S21*0.7%,-1)</f>
        <v>0</v>
      </c>
      <c r="AA21" s="252">
        <f t="shared" si="21"/>
        <v>0</v>
      </c>
    </row>
    <row r="22" spans="1:27" s="204" customFormat="1" ht="16.5" hidden="1" customHeight="1">
      <c r="A22" s="1253"/>
      <c r="B22" s="211"/>
      <c r="C22" s="212"/>
      <c r="D22" s="212"/>
      <c r="E22" s="219" t="s">
        <v>275</v>
      </c>
      <c r="F22" s="221"/>
      <c r="G22" s="221"/>
      <c r="H22" s="221"/>
      <c r="I22" s="221"/>
      <c r="J22" s="221"/>
      <c r="K22" s="221"/>
      <c r="L22" s="221"/>
      <c r="M22" s="221"/>
      <c r="N22" s="221"/>
      <c r="O22" s="221"/>
      <c r="P22" s="221"/>
      <c r="Q22" s="221"/>
      <c r="R22" s="222" t="str">
        <f t="shared" si="22"/>
        <v>-</v>
      </c>
      <c r="S22" s="214">
        <f t="shared" si="17"/>
        <v>0</v>
      </c>
      <c r="T22" s="250"/>
      <c r="U22" s="251">
        <f t="shared" si="18"/>
        <v>0</v>
      </c>
      <c r="V22" s="224">
        <f t="shared" si="19"/>
        <v>0</v>
      </c>
      <c r="W22" s="225">
        <f t="shared" si="23"/>
        <v>0</v>
      </c>
      <c r="X22" s="225">
        <f t="shared" si="24"/>
        <v>0</v>
      </c>
      <c r="Y22" s="225">
        <f t="shared" si="20"/>
        <v>0</v>
      </c>
      <c r="Z22" s="225">
        <f t="shared" si="25"/>
        <v>0</v>
      </c>
      <c r="AA22" s="252">
        <f t="shared" si="21"/>
        <v>0</v>
      </c>
    </row>
    <row r="23" spans="1:27" s="204" customFormat="1" ht="16.5" hidden="1" customHeight="1">
      <c r="A23" s="1253"/>
      <c r="B23" s="211"/>
      <c r="C23" s="212"/>
      <c r="D23" s="212"/>
      <c r="E23" s="219" t="s">
        <v>276</v>
      </c>
      <c r="F23" s="222"/>
      <c r="G23" s="221"/>
      <c r="H23" s="221"/>
      <c r="I23" s="221"/>
      <c r="J23" s="221"/>
      <c r="K23" s="221"/>
      <c r="L23" s="221"/>
      <c r="M23" s="221"/>
      <c r="N23" s="221"/>
      <c r="O23" s="221"/>
      <c r="P23" s="221"/>
      <c r="Q23" s="221"/>
      <c r="R23" s="222" t="str">
        <f t="shared" si="22"/>
        <v>-</v>
      </c>
      <c r="S23" s="214">
        <f t="shared" si="17"/>
        <v>0</v>
      </c>
      <c r="T23" s="250"/>
      <c r="U23" s="251">
        <f t="shared" si="18"/>
        <v>0</v>
      </c>
      <c r="V23" s="224">
        <f t="shared" si="19"/>
        <v>0</v>
      </c>
      <c r="W23" s="225">
        <f t="shared" si="23"/>
        <v>0</v>
      </c>
      <c r="X23" s="225">
        <f t="shared" si="24"/>
        <v>0</v>
      </c>
      <c r="Y23" s="225">
        <f t="shared" si="20"/>
        <v>0</v>
      </c>
      <c r="Z23" s="225">
        <f t="shared" si="25"/>
        <v>0</v>
      </c>
      <c r="AA23" s="252">
        <f t="shared" si="21"/>
        <v>0</v>
      </c>
    </row>
    <row r="24" spans="1:27" s="204" customFormat="1" ht="16.5" hidden="1" customHeight="1">
      <c r="A24" s="1253"/>
      <c r="B24" s="211"/>
      <c r="C24" s="212"/>
      <c r="D24" s="212"/>
      <c r="E24" s="219" t="s">
        <v>277</v>
      </c>
      <c r="F24" s="221"/>
      <c r="G24" s="221"/>
      <c r="H24" s="221"/>
      <c r="I24" s="221"/>
      <c r="J24" s="221"/>
      <c r="K24" s="221"/>
      <c r="L24" s="221"/>
      <c r="M24" s="221"/>
      <c r="N24" s="221"/>
      <c r="O24" s="221"/>
      <c r="P24" s="221"/>
      <c r="Q24" s="221"/>
      <c r="R24" s="222" t="str">
        <f t="shared" si="22"/>
        <v>-</v>
      </c>
      <c r="S24" s="214">
        <f t="shared" si="17"/>
        <v>0</v>
      </c>
      <c r="T24" s="250"/>
      <c r="U24" s="251">
        <f t="shared" si="18"/>
        <v>0</v>
      </c>
      <c r="V24" s="224">
        <f t="shared" si="19"/>
        <v>0</v>
      </c>
      <c r="W24" s="225">
        <f t="shared" si="23"/>
        <v>0</v>
      </c>
      <c r="X24" s="225">
        <f t="shared" si="24"/>
        <v>0</v>
      </c>
      <c r="Y24" s="225">
        <f t="shared" si="20"/>
        <v>0</v>
      </c>
      <c r="Z24" s="225">
        <f t="shared" si="25"/>
        <v>0</v>
      </c>
      <c r="AA24" s="252">
        <f t="shared" si="21"/>
        <v>0</v>
      </c>
    </row>
    <row r="25" spans="1:27" s="204" customFormat="1" ht="16.5" hidden="1" customHeight="1">
      <c r="A25" s="1253"/>
      <c r="B25" s="211"/>
      <c r="C25" s="212"/>
      <c r="D25" s="212"/>
      <c r="E25" s="219" t="s">
        <v>278</v>
      </c>
      <c r="F25" s="221"/>
      <c r="G25" s="221"/>
      <c r="H25" s="221"/>
      <c r="I25" s="221"/>
      <c r="J25" s="221"/>
      <c r="K25" s="221"/>
      <c r="L25" s="221"/>
      <c r="M25" s="221"/>
      <c r="N25" s="221"/>
      <c r="O25" s="221"/>
      <c r="P25" s="221"/>
      <c r="Q25" s="221"/>
      <c r="R25" s="222" t="str">
        <f t="shared" si="22"/>
        <v>-</v>
      </c>
      <c r="S25" s="214">
        <f t="shared" si="17"/>
        <v>0</v>
      </c>
      <c r="T25" s="250"/>
      <c r="U25" s="251">
        <f t="shared" si="18"/>
        <v>0</v>
      </c>
      <c r="V25" s="224">
        <f t="shared" si="19"/>
        <v>0</v>
      </c>
      <c r="W25" s="225">
        <f t="shared" si="23"/>
        <v>0</v>
      </c>
      <c r="X25" s="225">
        <f t="shared" si="24"/>
        <v>0</v>
      </c>
      <c r="Y25" s="225">
        <f t="shared" si="20"/>
        <v>0</v>
      </c>
      <c r="Z25" s="225">
        <f t="shared" si="25"/>
        <v>0</v>
      </c>
      <c r="AA25" s="252">
        <f t="shared" si="21"/>
        <v>0</v>
      </c>
    </row>
    <row r="26" spans="1:27" s="204" customFormat="1" ht="16.5" hidden="1" customHeight="1">
      <c r="A26" s="1253"/>
      <c r="B26" s="211"/>
      <c r="C26" s="212"/>
      <c r="D26" s="212"/>
      <c r="E26" s="219" t="s">
        <v>279</v>
      </c>
      <c r="F26" s="225"/>
      <c r="G26" s="221"/>
      <c r="H26" s="220"/>
      <c r="I26" s="222"/>
      <c r="J26" s="221"/>
      <c r="K26" s="221"/>
      <c r="L26" s="221"/>
      <c r="M26" s="221"/>
      <c r="N26" s="221"/>
      <c r="O26" s="221"/>
      <c r="P26" s="221"/>
      <c r="Q26" s="221"/>
      <c r="R26" s="222" t="str">
        <f t="shared" si="22"/>
        <v>-</v>
      </c>
      <c r="S26" s="214">
        <f t="shared" si="17"/>
        <v>0</v>
      </c>
      <c r="T26" s="250"/>
      <c r="U26" s="251">
        <f t="shared" si="18"/>
        <v>0</v>
      </c>
      <c r="V26" s="224">
        <f t="shared" si="19"/>
        <v>0</v>
      </c>
      <c r="W26" s="225">
        <f t="shared" si="23"/>
        <v>0</v>
      </c>
      <c r="X26" s="225">
        <f t="shared" si="24"/>
        <v>0</v>
      </c>
      <c r="Y26" s="225">
        <f t="shared" si="20"/>
        <v>0</v>
      </c>
      <c r="Z26" s="225">
        <f t="shared" si="25"/>
        <v>0</v>
      </c>
      <c r="AA26" s="252">
        <f t="shared" si="21"/>
        <v>0</v>
      </c>
    </row>
    <row r="27" spans="1:27" s="204" customFormat="1" ht="16.5" hidden="1" customHeight="1">
      <c r="A27" s="1253"/>
      <c r="B27" s="211"/>
      <c r="C27" s="212"/>
      <c r="D27" s="212"/>
      <c r="E27" s="219" t="s">
        <v>280</v>
      </c>
      <c r="F27" s="221"/>
      <c r="G27" s="221"/>
      <c r="H27" s="221"/>
      <c r="I27" s="221"/>
      <c r="J27" s="221"/>
      <c r="K27" s="221"/>
      <c r="L27" s="221"/>
      <c r="M27" s="221"/>
      <c r="N27" s="221"/>
      <c r="O27" s="221"/>
      <c r="P27" s="221"/>
      <c r="Q27" s="221"/>
      <c r="R27" s="222" t="str">
        <f t="shared" si="22"/>
        <v>-</v>
      </c>
      <c r="S27" s="214">
        <f t="shared" si="17"/>
        <v>0</v>
      </c>
      <c r="T27" s="250"/>
      <c r="U27" s="251">
        <f t="shared" si="18"/>
        <v>0</v>
      </c>
      <c r="V27" s="224">
        <f t="shared" si="19"/>
        <v>0</v>
      </c>
      <c r="W27" s="225">
        <f t="shared" si="23"/>
        <v>0</v>
      </c>
      <c r="X27" s="225">
        <f t="shared" si="24"/>
        <v>0</v>
      </c>
      <c r="Y27" s="225">
        <f t="shared" si="20"/>
        <v>0</v>
      </c>
      <c r="Z27" s="225">
        <f t="shared" si="25"/>
        <v>0</v>
      </c>
      <c r="AA27" s="252">
        <f t="shared" si="21"/>
        <v>0</v>
      </c>
    </row>
    <row r="28" spans="1:27" s="204" customFormat="1" ht="16.5" hidden="1" customHeight="1">
      <c r="A28" s="1253"/>
      <c r="B28" s="211"/>
      <c r="C28" s="212"/>
      <c r="D28" s="212"/>
      <c r="E28" s="219" t="s">
        <v>54</v>
      </c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2" t="str">
        <f t="shared" si="22"/>
        <v>-</v>
      </c>
      <c r="S28" s="214">
        <f t="shared" si="17"/>
        <v>0</v>
      </c>
      <c r="T28" s="250"/>
      <c r="U28" s="251">
        <f t="shared" si="18"/>
        <v>0</v>
      </c>
      <c r="V28" s="224">
        <f t="shared" si="19"/>
        <v>0</v>
      </c>
      <c r="W28" s="225">
        <f t="shared" si="23"/>
        <v>0</v>
      </c>
      <c r="X28" s="225">
        <f t="shared" si="24"/>
        <v>0</v>
      </c>
      <c r="Y28" s="225">
        <f t="shared" si="20"/>
        <v>0</v>
      </c>
      <c r="Z28" s="225">
        <f t="shared" si="25"/>
        <v>0</v>
      </c>
      <c r="AA28" s="252">
        <f t="shared" si="21"/>
        <v>0</v>
      </c>
    </row>
    <row r="29" spans="1:27" s="204" customFormat="1" ht="16.5" hidden="1" customHeight="1">
      <c r="A29" s="1253"/>
      <c r="B29" s="211"/>
      <c r="C29" s="212">
        <v>4</v>
      </c>
      <c r="D29" s="212"/>
      <c r="E29" s="219" t="s">
        <v>55</v>
      </c>
      <c r="F29" s="220"/>
      <c r="G29" s="221"/>
      <c r="H29" s="221"/>
      <c r="I29" s="220"/>
      <c r="J29" s="221"/>
      <c r="K29" s="221"/>
      <c r="L29" s="221"/>
      <c r="M29" s="221"/>
      <c r="N29" s="221"/>
      <c r="O29" s="221"/>
      <c r="P29" s="221"/>
      <c r="Q29" s="221"/>
      <c r="R29" s="222" t="str">
        <f t="shared" si="22"/>
        <v>-</v>
      </c>
      <c r="S29" s="214">
        <f t="shared" si="17"/>
        <v>0</v>
      </c>
      <c r="T29" s="250"/>
      <c r="U29" s="251">
        <f t="shared" si="18"/>
        <v>0</v>
      </c>
      <c r="V29" s="224">
        <f t="shared" si="19"/>
        <v>0</v>
      </c>
      <c r="W29" s="225">
        <f t="shared" si="23"/>
        <v>0</v>
      </c>
      <c r="X29" s="225">
        <f t="shared" si="24"/>
        <v>0</v>
      </c>
      <c r="Y29" s="225">
        <f t="shared" si="20"/>
        <v>0</v>
      </c>
      <c r="Z29" s="225">
        <f t="shared" si="25"/>
        <v>0</v>
      </c>
      <c r="AA29" s="252">
        <f t="shared" si="21"/>
        <v>0</v>
      </c>
    </row>
    <row r="30" spans="1:27" s="204" customFormat="1" ht="16.5" hidden="1" customHeight="1">
      <c r="A30" s="1253"/>
      <c r="B30" s="211"/>
      <c r="C30" s="212"/>
      <c r="D30" s="212"/>
      <c r="E30" s="219" t="s">
        <v>56</v>
      </c>
      <c r="F30" s="221"/>
      <c r="G30" s="221"/>
      <c r="H30" s="221"/>
      <c r="I30" s="221"/>
      <c r="J30" s="221"/>
      <c r="K30" s="221"/>
      <c r="L30" s="221"/>
      <c r="M30" s="221"/>
      <c r="N30" s="221"/>
      <c r="O30" s="221"/>
      <c r="P30" s="221"/>
      <c r="Q30" s="221"/>
      <c r="R30" s="222" t="str">
        <f t="shared" si="22"/>
        <v>-</v>
      </c>
      <c r="S30" s="214">
        <f t="shared" si="17"/>
        <v>0</v>
      </c>
      <c r="T30" s="250"/>
      <c r="U30" s="251">
        <f t="shared" si="18"/>
        <v>0</v>
      </c>
      <c r="V30" s="224">
        <f t="shared" si="19"/>
        <v>0</v>
      </c>
      <c r="W30" s="225">
        <f t="shared" si="23"/>
        <v>0</v>
      </c>
      <c r="X30" s="225">
        <f t="shared" si="24"/>
        <v>0</v>
      </c>
      <c r="Y30" s="225">
        <f t="shared" si="20"/>
        <v>0</v>
      </c>
      <c r="Z30" s="225">
        <f t="shared" si="25"/>
        <v>0</v>
      </c>
      <c r="AA30" s="252">
        <f t="shared" si="21"/>
        <v>0</v>
      </c>
    </row>
    <row r="31" spans="1:27" s="204" customFormat="1" ht="16.5" hidden="1" customHeight="1">
      <c r="A31" s="1254"/>
      <c r="B31" s="254"/>
      <c r="C31" s="255"/>
      <c r="D31" s="255"/>
      <c r="E31" s="256" t="s">
        <v>281</v>
      </c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8" t="str">
        <f t="shared" si="22"/>
        <v>-</v>
      </c>
      <c r="S31" s="259">
        <f t="shared" si="17"/>
        <v>0</v>
      </c>
      <c r="T31" s="260"/>
      <c r="U31" s="261">
        <f t="shared" si="18"/>
        <v>0</v>
      </c>
      <c r="V31" s="262">
        <f t="shared" si="19"/>
        <v>0</v>
      </c>
      <c r="W31" s="263">
        <f t="shared" si="23"/>
        <v>0</v>
      </c>
      <c r="X31" s="263">
        <f t="shared" si="24"/>
        <v>0</v>
      </c>
      <c r="Y31" s="263">
        <f t="shared" si="20"/>
        <v>0</v>
      </c>
      <c r="Z31" s="263">
        <f t="shared" si="25"/>
        <v>0</v>
      </c>
      <c r="AA31" s="264">
        <f t="shared" si="21"/>
        <v>0</v>
      </c>
    </row>
    <row r="32" spans="1:27" s="204" customFormat="1" ht="41.25" hidden="1" customHeight="1">
      <c r="A32" s="1250">
        <v>1</v>
      </c>
      <c r="B32" s="211" t="s">
        <v>362</v>
      </c>
      <c r="C32" s="212"/>
      <c r="D32" s="212">
        <v>9</v>
      </c>
      <c r="E32" s="213" t="s">
        <v>86</v>
      </c>
      <c r="F32" s="214">
        <f t="shared" ref="F32:S32" si="26">SUM(F33:F44)</f>
        <v>0</v>
      </c>
      <c r="G32" s="214">
        <f t="shared" si="26"/>
        <v>0</v>
      </c>
      <c r="H32" s="214">
        <f t="shared" si="26"/>
        <v>0</v>
      </c>
      <c r="I32" s="214">
        <f t="shared" si="26"/>
        <v>0</v>
      </c>
      <c r="J32" s="214">
        <f t="shared" si="26"/>
        <v>0</v>
      </c>
      <c r="K32" s="214">
        <f t="shared" si="26"/>
        <v>0</v>
      </c>
      <c r="L32" s="214">
        <f t="shared" si="26"/>
        <v>0</v>
      </c>
      <c r="M32" s="214">
        <f t="shared" si="26"/>
        <v>0</v>
      </c>
      <c r="N32" s="214">
        <f t="shared" si="26"/>
        <v>0</v>
      </c>
      <c r="O32" s="214">
        <f t="shared" si="26"/>
        <v>0</v>
      </c>
      <c r="P32" s="214">
        <f t="shared" si="26"/>
        <v>0</v>
      </c>
      <c r="Q32" s="214">
        <f t="shared" si="26"/>
        <v>0</v>
      </c>
      <c r="R32" s="214">
        <f t="shared" si="26"/>
        <v>0</v>
      </c>
      <c r="S32" s="214">
        <f t="shared" si="26"/>
        <v>0</v>
      </c>
      <c r="T32" s="250" t="s">
        <v>370</v>
      </c>
      <c r="U32" s="265">
        <f t="shared" ref="U32:AA32" si="27">SUM(U33:U44)</f>
        <v>0</v>
      </c>
      <c r="V32" s="217">
        <f t="shared" si="27"/>
        <v>0</v>
      </c>
      <c r="W32" s="244">
        <f t="shared" si="27"/>
        <v>0</v>
      </c>
      <c r="X32" s="244">
        <f t="shared" si="27"/>
        <v>0</v>
      </c>
      <c r="Y32" s="214">
        <f t="shared" si="27"/>
        <v>0</v>
      </c>
      <c r="Z32" s="244">
        <f t="shared" si="27"/>
        <v>0</v>
      </c>
      <c r="AA32" s="266">
        <f t="shared" si="27"/>
        <v>0</v>
      </c>
    </row>
    <row r="33" spans="1:28" s="204" customFormat="1" ht="16.5" hidden="1" customHeight="1">
      <c r="A33" s="1253"/>
      <c r="B33" s="211"/>
      <c r="C33" s="212"/>
      <c r="D33" s="212"/>
      <c r="E33" s="219" t="s">
        <v>363</v>
      </c>
      <c r="F33" s="220"/>
      <c r="G33" s="221"/>
      <c r="H33" s="220"/>
      <c r="I33" s="222"/>
      <c r="J33" s="221"/>
      <c r="K33" s="221"/>
      <c r="L33" s="221"/>
      <c r="M33" s="221"/>
      <c r="N33" s="221"/>
      <c r="O33" s="221"/>
      <c r="P33" s="221"/>
      <c r="Q33" s="221"/>
      <c r="R33" s="222" t="s">
        <v>60</v>
      </c>
      <c r="S33" s="214">
        <f t="shared" ref="S33:S44" si="28">SUM(F33:R33)</f>
        <v>0</v>
      </c>
      <c r="T33" s="250"/>
      <c r="U33" s="251">
        <f t="shared" ref="U33:U44" si="29">ROUND(S33*1/12,-1)</f>
        <v>0</v>
      </c>
      <c r="V33" s="224">
        <f t="shared" ref="V33:V44" si="30">ROUND(S33*4.5%,-1)</f>
        <v>0</v>
      </c>
      <c r="W33" s="225">
        <f>ROUND(S33*2.665%,-1)</f>
        <v>0</v>
      </c>
      <c r="X33" s="225">
        <f>ROUND(W33*6.55%,-1)</f>
        <v>0</v>
      </c>
      <c r="Y33" s="225">
        <f t="shared" ref="Y33:Y44" si="31">ROUND(S33*0.7%,-1)</f>
        <v>0</v>
      </c>
      <c r="Z33" s="225">
        <f>ROUND(S33*0.7%,-1)</f>
        <v>0</v>
      </c>
      <c r="AA33" s="252">
        <f t="shared" ref="AA33:AA44" si="32">SUM(U33:Z33)</f>
        <v>0</v>
      </c>
    </row>
    <row r="34" spans="1:28" s="204" customFormat="1" ht="16.5" hidden="1" customHeight="1">
      <c r="A34" s="1253"/>
      <c r="B34" s="211"/>
      <c r="C34" s="212"/>
      <c r="D34" s="212"/>
      <c r="E34" s="219" t="s">
        <v>364</v>
      </c>
      <c r="F34" s="221"/>
      <c r="G34" s="221"/>
      <c r="H34" s="221"/>
      <c r="I34" s="221"/>
      <c r="J34" s="221"/>
      <c r="K34" s="221"/>
      <c r="L34" s="221"/>
      <c r="M34" s="221"/>
      <c r="N34" s="221"/>
      <c r="O34" s="221"/>
      <c r="P34" s="221"/>
      <c r="Q34" s="221"/>
      <c r="R34" s="222" t="str">
        <f t="shared" ref="R34:R44" si="33">R33</f>
        <v>-</v>
      </c>
      <c r="S34" s="214">
        <f t="shared" si="28"/>
        <v>0</v>
      </c>
      <c r="T34" s="250"/>
      <c r="U34" s="251">
        <f t="shared" si="29"/>
        <v>0</v>
      </c>
      <c r="V34" s="224">
        <f t="shared" si="30"/>
        <v>0</v>
      </c>
      <c r="W34" s="225">
        <f t="shared" ref="W34:W44" si="34">ROUND(S34*2.665%,-1)</f>
        <v>0</v>
      </c>
      <c r="X34" s="225">
        <f t="shared" ref="X34:X44" si="35">ROUND(W34*6.55%,-1)</f>
        <v>0</v>
      </c>
      <c r="Y34" s="225">
        <f t="shared" si="31"/>
        <v>0</v>
      </c>
      <c r="Z34" s="225">
        <f t="shared" ref="Z34:Z44" si="36">ROUND(S34*0.7%,-1)</f>
        <v>0</v>
      </c>
      <c r="AA34" s="252">
        <f t="shared" si="32"/>
        <v>0</v>
      </c>
    </row>
    <row r="35" spans="1:28" s="204" customFormat="1" ht="16.5" hidden="1" customHeight="1">
      <c r="A35" s="1253"/>
      <c r="B35" s="211"/>
      <c r="C35" s="212"/>
      <c r="D35" s="212"/>
      <c r="E35" s="219" t="s">
        <v>365</v>
      </c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2" t="str">
        <f t="shared" si="33"/>
        <v>-</v>
      </c>
      <c r="S35" s="214">
        <f t="shared" si="28"/>
        <v>0</v>
      </c>
      <c r="T35" s="250"/>
      <c r="U35" s="251">
        <f t="shared" si="29"/>
        <v>0</v>
      </c>
      <c r="V35" s="224">
        <f t="shared" si="30"/>
        <v>0</v>
      </c>
      <c r="W35" s="225">
        <f t="shared" si="34"/>
        <v>0</v>
      </c>
      <c r="X35" s="225">
        <f t="shared" si="35"/>
        <v>0</v>
      </c>
      <c r="Y35" s="225">
        <f t="shared" si="31"/>
        <v>0</v>
      </c>
      <c r="Z35" s="225">
        <f t="shared" si="36"/>
        <v>0</v>
      </c>
      <c r="AA35" s="252">
        <f t="shared" si="32"/>
        <v>0</v>
      </c>
    </row>
    <row r="36" spans="1:28" s="204" customFormat="1" ht="16.5" hidden="1" customHeight="1">
      <c r="A36" s="1253"/>
      <c r="B36" s="211"/>
      <c r="C36" s="212"/>
      <c r="D36" s="212"/>
      <c r="E36" s="219" t="s">
        <v>366</v>
      </c>
      <c r="F36" s="222"/>
      <c r="G36" s="221"/>
      <c r="H36" s="221"/>
      <c r="I36" s="221"/>
      <c r="J36" s="221"/>
      <c r="K36" s="221"/>
      <c r="L36" s="221"/>
      <c r="M36" s="221"/>
      <c r="N36" s="221"/>
      <c r="O36" s="221"/>
      <c r="P36" s="221"/>
      <c r="Q36" s="221"/>
      <c r="R36" s="222" t="str">
        <f t="shared" si="33"/>
        <v>-</v>
      </c>
      <c r="S36" s="214">
        <f t="shared" si="28"/>
        <v>0</v>
      </c>
      <c r="T36" s="250"/>
      <c r="U36" s="251">
        <f t="shared" si="29"/>
        <v>0</v>
      </c>
      <c r="V36" s="224">
        <f t="shared" si="30"/>
        <v>0</v>
      </c>
      <c r="W36" s="225">
        <f t="shared" si="34"/>
        <v>0</v>
      </c>
      <c r="X36" s="225">
        <f t="shared" si="35"/>
        <v>0</v>
      </c>
      <c r="Y36" s="225">
        <f t="shared" si="31"/>
        <v>0</v>
      </c>
      <c r="Z36" s="225">
        <f t="shared" si="36"/>
        <v>0</v>
      </c>
      <c r="AA36" s="252">
        <f t="shared" si="32"/>
        <v>0</v>
      </c>
    </row>
    <row r="37" spans="1:28" s="204" customFormat="1" ht="16.5" hidden="1" customHeight="1">
      <c r="A37" s="1253"/>
      <c r="B37" s="211"/>
      <c r="C37" s="212"/>
      <c r="D37" s="212"/>
      <c r="E37" s="219" t="s">
        <v>367</v>
      </c>
      <c r="F37" s="221"/>
      <c r="G37" s="221"/>
      <c r="H37" s="221"/>
      <c r="I37" s="221"/>
      <c r="J37" s="221"/>
      <c r="K37" s="221"/>
      <c r="L37" s="221"/>
      <c r="M37" s="221"/>
      <c r="N37" s="221"/>
      <c r="O37" s="221"/>
      <c r="P37" s="221"/>
      <c r="Q37" s="221"/>
      <c r="R37" s="222" t="str">
        <f t="shared" si="33"/>
        <v>-</v>
      </c>
      <c r="S37" s="214">
        <f t="shared" si="28"/>
        <v>0</v>
      </c>
      <c r="T37" s="250" t="s">
        <v>369</v>
      </c>
      <c r="U37" s="251">
        <f t="shared" si="29"/>
        <v>0</v>
      </c>
      <c r="V37" s="224">
        <f t="shared" si="30"/>
        <v>0</v>
      </c>
      <c r="W37" s="225">
        <f t="shared" si="34"/>
        <v>0</v>
      </c>
      <c r="X37" s="225">
        <f t="shared" si="35"/>
        <v>0</v>
      </c>
      <c r="Y37" s="225">
        <f t="shared" si="31"/>
        <v>0</v>
      </c>
      <c r="Z37" s="225">
        <f t="shared" si="36"/>
        <v>0</v>
      </c>
      <c r="AA37" s="252">
        <f t="shared" si="32"/>
        <v>0</v>
      </c>
    </row>
    <row r="38" spans="1:28" s="204" customFormat="1" ht="16.5" hidden="1" customHeight="1">
      <c r="A38" s="1253"/>
      <c r="B38" s="211"/>
      <c r="C38" s="212"/>
      <c r="D38" s="212"/>
      <c r="E38" s="219"/>
      <c r="F38" s="221"/>
      <c r="G38" s="221"/>
      <c r="H38" s="221"/>
      <c r="I38" s="221"/>
      <c r="J38" s="221"/>
      <c r="K38" s="221"/>
      <c r="L38" s="221"/>
      <c r="M38" s="221"/>
      <c r="N38" s="221"/>
      <c r="O38" s="221"/>
      <c r="P38" s="221"/>
      <c r="Q38" s="221"/>
      <c r="R38" s="222" t="str">
        <f t="shared" si="33"/>
        <v>-</v>
      </c>
      <c r="S38" s="214">
        <f t="shared" si="28"/>
        <v>0</v>
      </c>
      <c r="T38" s="250"/>
      <c r="U38" s="251">
        <f t="shared" si="29"/>
        <v>0</v>
      </c>
      <c r="V38" s="224">
        <f t="shared" si="30"/>
        <v>0</v>
      </c>
      <c r="W38" s="225">
        <f t="shared" si="34"/>
        <v>0</v>
      </c>
      <c r="X38" s="225">
        <f t="shared" si="35"/>
        <v>0</v>
      </c>
      <c r="Y38" s="225">
        <f t="shared" si="31"/>
        <v>0</v>
      </c>
      <c r="Z38" s="225">
        <f t="shared" si="36"/>
        <v>0</v>
      </c>
      <c r="AA38" s="252">
        <f t="shared" si="32"/>
        <v>0</v>
      </c>
    </row>
    <row r="39" spans="1:28" s="204" customFormat="1" ht="16.5" hidden="1" customHeight="1">
      <c r="A39" s="1253"/>
      <c r="B39" s="211"/>
      <c r="C39" s="212"/>
      <c r="D39" s="212"/>
      <c r="E39" s="219"/>
      <c r="F39" s="225"/>
      <c r="G39" s="221"/>
      <c r="H39" s="220"/>
      <c r="I39" s="222"/>
      <c r="J39" s="221"/>
      <c r="K39" s="221"/>
      <c r="L39" s="221"/>
      <c r="M39" s="221"/>
      <c r="N39" s="221"/>
      <c r="O39" s="221"/>
      <c r="P39" s="221"/>
      <c r="Q39" s="221"/>
      <c r="R39" s="222" t="str">
        <f t="shared" si="33"/>
        <v>-</v>
      </c>
      <c r="S39" s="214">
        <f t="shared" si="28"/>
        <v>0</v>
      </c>
      <c r="T39" s="250"/>
      <c r="U39" s="251">
        <f t="shared" si="29"/>
        <v>0</v>
      </c>
      <c r="V39" s="224">
        <f t="shared" si="30"/>
        <v>0</v>
      </c>
      <c r="W39" s="225">
        <f t="shared" si="34"/>
        <v>0</v>
      </c>
      <c r="X39" s="225">
        <f t="shared" si="35"/>
        <v>0</v>
      </c>
      <c r="Y39" s="225">
        <f t="shared" si="31"/>
        <v>0</v>
      </c>
      <c r="Z39" s="225">
        <f t="shared" si="36"/>
        <v>0</v>
      </c>
      <c r="AA39" s="252">
        <f t="shared" si="32"/>
        <v>0</v>
      </c>
    </row>
    <row r="40" spans="1:28" s="204" customFormat="1" ht="16.5" hidden="1" customHeight="1">
      <c r="A40" s="1253"/>
      <c r="B40" s="211"/>
      <c r="C40" s="212"/>
      <c r="D40" s="212"/>
      <c r="E40" s="219"/>
      <c r="F40" s="221"/>
      <c r="G40" s="221"/>
      <c r="H40" s="221"/>
      <c r="I40" s="221"/>
      <c r="J40" s="221"/>
      <c r="K40" s="221"/>
      <c r="L40" s="221"/>
      <c r="M40" s="221"/>
      <c r="N40" s="221"/>
      <c r="O40" s="221"/>
      <c r="P40" s="221"/>
      <c r="Q40" s="221"/>
      <c r="R40" s="222" t="str">
        <f t="shared" si="33"/>
        <v>-</v>
      </c>
      <c r="S40" s="214">
        <f t="shared" si="28"/>
        <v>0</v>
      </c>
      <c r="T40" s="250"/>
      <c r="U40" s="251">
        <f t="shared" si="29"/>
        <v>0</v>
      </c>
      <c r="V40" s="224">
        <f t="shared" si="30"/>
        <v>0</v>
      </c>
      <c r="W40" s="225">
        <f t="shared" si="34"/>
        <v>0</v>
      </c>
      <c r="X40" s="225">
        <f t="shared" si="35"/>
        <v>0</v>
      </c>
      <c r="Y40" s="225">
        <f t="shared" si="31"/>
        <v>0</v>
      </c>
      <c r="Z40" s="225">
        <f t="shared" si="36"/>
        <v>0</v>
      </c>
      <c r="AA40" s="252">
        <f t="shared" si="32"/>
        <v>0</v>
      </c>
    </row>
    <row r="41" spans="1:28" s="204" customFormat="1" ht="16.5" hidden="1" customHeight="1">
      <c r="A41" s="1253"/>
      <c r="B41" s="211"/>
      <c r="C41" s="212"/>
      <c r="D41" s="212"/>
      <c r="E41" s="219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2" t="str">
        <f t="shared" si="33"/>
        <v>-</v>
      </c>
      <c r="S41" s="214">
        <f t="shared" si="28"/>
        <v>0</v>
      </c>
      <c r="T41" s="250"/>
      <c r="U41" s="251">
        <f t="shared" si="29"/>
        <v>0</v>
      </c>
      <c r="V41" s="224">
        <f t="shared" si="30"/>
        <v>0</v>
      </c>
      <c r="W41" s="225">
        <f t="shared" si="34"/>
        <v>0</v>
      </c>
      <c r="X41" s="225">
        <f t="shared" si="35"/>
        <v>0</v>
      </c>
      <c r="Y41" s="225">
        <f t="shared" si="31"/>
        <v>0</v>
      </c>
      <c r="Z41" s="225">
        <f t="shared" si="36"/>
        <v>0</v>
      </c>
      <c r="AA41" s="252">
        <f t="shared" si="32"/>
        <v>0</v>
      </c>
    </row>
    <row r="42" spans="1:28" s="204" customFormat="1" ht="16.5" hidden="1" customHeight="1">
      <c r="A42" s="1253"/>
      <c r="B42" s="211"/>
      <c r="C42" s="212"/>
      <c r="D42" s="212"/>
      <c r="E42" s="219"/>
      <c r="F42" s="220"/>
      <c r="G42" s="221"/>
      <c r="H42" s="221"/>
      <c r="I42" s="220"/>
      <c r="J42" s="221"/>
      <c r="K42" s="221"/>
      <c r="L42" s="221"/>
      <c r="M42" s="221"/>
      <c r="N42" s="221"/>
      <c r="O42" s="221"/>
      <c r="P42" s="221"/>
      <c r="Q42" s="221"/>
      <c r="R42" s="222" t="str">
        <f t="shared" si="33"/>
        <v>-</v>
      </c>
      <c r="S42" s="214">
        <f t="shared" si="28"/>
        <v>0</v>
      </c>
      <c r="T42" s="250"/>
      <c r="U42" s="251">
        <f t="shared" si="29"/>
        <v>0</v>
      </c>
      <c r="V42" s="224">
        <f t="shared" si="30"/>
        <v>0</v>
      </c>
      <c r="W42" s="225">
        <f t="shared" si="34"/>
        <v>0</v>
      </c>
      <c r="X42" s="225">
        <f t="shared" si="35"/>
        <v>0</v>
      </c>
      <c r="Y42" s="225">
        <f t="shared" si="31"/>
        <v>0</v>
      </c>
      <c r="Z42" s="225">
        <f t="shared" si="36"/>
        <v>0</v>
      </c>
      <c r="AA42" s="252">
        <f t="shared" si="32"/>
        <v>0</v>
      </c>
    </row>
    <row r="43" spans="1:28" s="204" customFormat="1" ht="16.5" hidden="1" customHeight="1">
      <c r="A43" s="1253"/>
      <c r="B43" s="211"/>
      <c r="C43" s="212"/>
      <c r="D43" s="212"/>
      <c r="E43" s="219"/>
      <c r="F43" s="221"/>
      <c r="G43" s="221"/>
      <c r="H43" s="221"/>
      <c r="I43" s="221"/>
      <c r="J43" s="221"/>
      <c r="K43" s="221"/>
      <c r="L43" s="221"/>
      <c r="M43" s="221"/>
      <c r="N43" s="221"/>
      <c r="O43" s="221"/>
      <c r="P43" s="221"/>
      <c r="Q43" s="221"/>
      <c r="R43" s="222" t="str">
        <f t="shared" si="33"/>
        <v>-</v>
      </c>
      <c r="S43" s="214">
        <f t="shared" si="28"/>
        <v>0</v>
      </c>
      <c r="T43" s="250"/>
      <c r="U43" s="251">
        <f t="shared" si="29"/>
        <v>0</v>
      </c>
      <c r="V43" s="224">
        <f t="shared" si="30"/>
        <v>0</v>
      </c>
      <c r="W43" s="225">
        <f t="shared" si="34"/>
        <v>0</v>
      </c>
      <c r="X43" s="225">
        <f t="shared" si="35"/>
        <v>0</v>
      </c>
      <c r="Y43" s="225">
        <f t="shared" si="31"/>
        <v>0</v>
      </c>
      <c r="Z43" s="225">
        <f t="shared" si="36"/>
        <v>0</v>
      </c>
      <c r="AA43" s="252">
        <f t="shared" si="32"/>
        <v>0</v>
      </c>
    </row>
    <row r="44" spans="1:28" s="204" customFormat="1" ht="16.5" hidden="1" customHeight="1">
      <c r="A44" s="1254"/>
      <c r="B44" s="254"/>
      <c r="C44" s="255"/>
      <c r="D44" s="255"/>
      <c r="E44" s="256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58" t="str">
        <f t="shared" si="33"/>
        <v>-</v>
      </c>
      <c r="S44" s="259">
        <f t="shared" si="28"/>
        <v>0</v>
      </c>
      <c r="T44" s="260"/>
      <c r="U44" s="261">
        <f t="shared" si="29"/>
        <v>0</v>
      </c>
      <c r="V44" s="262">
        <f t="shared" si="30"/>
        <v>0</v>
      </c>
      <c r="W44" s="263">
        <f t="shared" si="34"/>
        <v>0</v>
      </c>
      <c r="X44" s="263">
        <f t="shared" si="35"/>
        <v>0</v>
      </c>
      <c r="Y44" s="263">
        <f t="shared" si="31"/>
        <v>0</v>
      </c>
      <c r="Z44" s="225">
        <f t="shared" si="36"/>
        <v>0</v>
      </c>
      <c r="AA44" s="264">
        <f t="shared" si="32"/>
        <v>0</v>
      </c>
    </row>
    <row r="45" spans="1:28" hidden="1">
      <c r="A45" s="267"/>
      <c r="B45" s="268"/>
      <c r="C45" s="268"/>
      <c r="D45" s="268"/>
      <c r="E45" s="268"/>
      <c r="F45" s="268"/>
      <c r="G45" s="268"/>
      <c r="H45" s="268"/>
      <c r="I45" s="268"/>
      <c r="J45" s="268"/>
      <c r="K45" s="268"/>
      <c r="L45" s="268"/>
      <c r="M45" s="268"/>
      <c r="N45" s="268"/>
      <c r="O45" s="268"/>
      <c r="P45" s="268"/>
      <c r="Q45" s="268"/>
      <c r="R45" s="268"/>
      <c r="S45" s="268"/>
      <c r="T45" s="269"/>
      <c r="U45" s="270"/>
      <c r="V45" s="268"/>
      <c r="W45" s="268"/>
      <c r="X45" s="268"/>
      <c r="Y45" s="268"/>
      <c r="Z45" s="268"/>
      <c r="AA45" s="268"/>
    </row>
    <row r="46" spans="1:28" hidden="1">
      <c r="A46" s="272"/>
      <c r="B46" s="273"/>
      <c r="C46" s="273"/>
      <c r="D46" s="273"/>
      <c r="E46" s="273"/>
      <c r="F46" s="273"/>
      <c r="G46" s="273"/>
      <c r="H46" s="273"/>
      <c r="I46" s="273"/>
      <c r="J46" s="273"/>
      <c r="K46" s="273"/>
      <c r="L46" s="273"/>
      <c r="M46" s="273"/>
      <c r="N46" s="273"/>
      <c r="O46" s="273"/>
      <c r="P46" s="273"/>
      <c r="Q46" s="273"/>
      <c r="R46" s="273"/>
      <c r="S46" s="273"/>
      <c r="T46" s="274"/>
      <c r="U46" s="275"/>
    </row>
    <row r="47" spans="1:28" ht="14.25" hidden="1">
      <c r="A47" s="1248" t="s">
        <v>405</v>
      </c>
      <c r="B47" s="1244"/>
      <c r="C47" s="1244"/>
      <c r="D47" s="1244"/>
      <c r="E47" s="1244"/>
      <c r="F47" s="276"/>
      <c r="G47" s="276"/>
      <c r="H47" s="276"/>
      <c r="I47" s="276"/>
      <c r="J47" s="276"/>
      <c r="K47" s="277"/>
      <c r="L47" s="277"/>
      <c r="M47" s="277"/>
      <c r="N47" s="278"/>
      <c r="O47" s="191"/>
      <c r="P47" s="191"/>
      <c r="Q47" s="191"/>
      <c r="R47" s="191"/>
      <c r="S47" s="276"/>
      <c r="T47" s="276"/>
      <c r="U47" s="279"/>
      <c r="V47" s="188"/>
      <c r="W47" s="188"/>
      <c r="X47" s="188"/>
      <c r="Y47" s="188"/>
      <c r="Z47" s="188"/>
      <c r="AA47" s="191"/>
      <c r="AB47" s="193" t="s">
        <v>65</v>
      </c>
    </row>
    <row r="48" spans="1:28" ht="36.75" hidden="1" thickBot="1">
      <c r="A48" s="280" t="s">
        <v>66</v>
      </c>
      <c r="B48" s="281" t="s">
        <v>67</v>
      </c>
      <c r="C48" s="281" t="s">
        <v>68</v>
      </c>
      <c r="D48" s="281" t="s">
        <v>69</v>
      </c>
      <c r="E48" s="281" t="s">
        <v>70</v>
      </c>
      <c r="F48" s="282" t="s">
        <v>71</v>
      </c>
      <c r="G48" s="283" t="s">
        <v>72</v>
      </c>
      <c r="H48" s="283" t="s">
        <v>73</v>
      </c>
      <c r="I48" s="283" t="s">
        <v>74</v>
      </c>
      <c r="J48" s="281" t="s">
        <v>75</v>
      </c>
      <c r="K48" s="283" t="s">
        <v>400</v>
      </c>
      <c r="L48" s="283" t="s">
        <v>361</v>
      </c>
      <c r="M48" s="283" t="s">
        <v>76</v>
      </c>
      <c r="N48" s="283" t="s">
        <v>388</v>
      </c>
      <c r="O48" s="283" t="s">
        <v>77</v>
      </c>
      <c r="P48" s="283" t="s">
        <v>40</v>
      </c>
      <c r="Q48" s="283" t="s">
        <v>326</v>
      </c>
      <c r="R48" s="283" t="s">
        <v>14</v>
      </c>
      <c r="S48" s="283" t="s">
        <v>53</v>
      </c>
      <c r="T48" s="284" t="s">
        <v>78</v>
      </c>
      <c r="U48" s="285" t="s">
        <v>79</v>
      </c>
      <c r="V48" s="286" t="s">
        <v>38</v>
      </c>
      <c r="W48" s="288" t="s">
        <v>80</v>
      </c>
      <c r="X48" s="288" t="s">
        <v>81</v>
      </c>
      <c r="Y48" s="287" t="s">
        <v>266</v>
      </c>
      <c r="Z48" s="288" t="s">
        <v>82</v>
      </c>
      <c r="AA48" s="287" t="s">
        <v>83</v>
      </c>
      <c r="AB48" s="289" t="s">
        <v>84</v>
      </c>
    </row>
    <row r="49" spans="1:28" ht="14.25" hidden="1" thickTop="1">
      <c r="A49" s="1257"/>
      <c r="B49" s="1243"/>
      <c r="C49" s="1243"/>
      <c r="D49" s="1243"/>
      <c r="E49" s="1243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90"/>
      <c r="V49" s="208"/>
      <c r="W49" s="208"/>
      <c r="X49" s="208"/>
      <c r="Y49" s="208"/>
      <c r="Z49" s="208"/>
      <c r="AA49" s="208"/>
      <c r="AB49" s="208"/>
    </row>
    <row r="50" spans="1:28" ht="18" hidden="1" customHeight="1">
      <c r="A50" s="1258">
        <v>1</v>
      </c>
      <c r="B50" s="254" t="s">
        <v>87</v>
      </c>
      <c r="C50" s="255">
        <v>1</v>
      </c>
      <c r="D50" s="255">
        <v>1</v>
      </c>
      <c r="E50" s="291" t="s">
        <v>86</v>
      </c>
      <c r="F50" s="259">
        <f t="shared" ref="F50:S50" si="37">SUM(F51:F62)</f>
        <v>0</v>
      </c>
      <c r="G50" s="259">
        <f t="shared" si="37"/>
        <v>0</v>
      </c>
      <c r="H50" s="259">
        <f>SUM(H51:H62)</f>
        <v>0</v>
      </c>
      <c r="I50" s="259">
        <f t="shared" si="37"/>
        <v>0</v>
      </c>
      <c r="J50" s="259">
        <f t="shared" si="37"/>
        <v>0</v>
      </c>
      <c r="K50" s="259">
        <f t="shared" si="37"/>
        <v>0</v>
      </c>
      <c r="L50" s="259">
        <f t="shared" si="37"/>
        <v>0</v>
      </c>
      <c r="M50" s="259">
        <f t="shared" si="37"/>
        <v>0</v>
      </c>
      <c r="N50" s="259">
        <f t="shared" si="37"/>
        <v>0</v>
      </c>
      <c r="O50" s="259">
        <f t="shared" si="37"/>
        <v>0</v>
      </c>
      <c r="P50" s="259"/>
      <c r="Q50" s="259">
        <f t="shared" si="37"/>
        <v>0</v>
      </c>
      <c r="R50" s="259">
        <f t="shared" si="37"/>
        <v>0</v>
      </c>
      <c r="S50" s="259">
        <f t="shared" si="37"/>
        <v>0</v>
      </c>
      <c r="T50" s="292">
        <f>SUM(T51:T62)</f>
        <v>0</v>
      </c>
      <c r="U50" s="293"/>
      <c r="V50" s="217">
        <f>SUM(V51:V62)</f>
        <v>0</v>
      </c>
      <c r="W50" s="214">
        <f t="shared" ref="W50:AB50" si="38">SUM(W51:W62)</f>
        <v>0</v>
      </c>
      <c r="X50" s="214">
        <f t="shared" si="38"/>
        <v>0</v>
      </c>
      <c r="Y50" s="214">
        <f t="shared" si="38"/>
        <v>0</v>
      </c>
      <c r="Z50" s="214">
        <f>SUM(Z51:Z62)</f>
        <v>0</v>
      </c>
      <c r="AA50" s="214">
        <f t="shared" si="38"/>
        <v>0</v>
      </c>
      <c r="AB50" s="266">
        <f t="shared" si="38"/>
        <v>0</v>
      </c>
    </row>
    <row r="51" spans="1:28" hidden="1">
      <c r="A51" s="1258"/>
      <c r="B51" s="239" t="s">
        <v>396</v>
      </c>
      <c r="C51" s="240"/>
      <c r="D51" s="240"/>
      <c r="E51" s="241" t="s">
        <v>273</v>
      </c>
      <c r="F51" s="294"/>
      <c r="G51" s="242"/>
      <c r="H51" s="294"/>
      <c r="I51" s="294"/>
      <c r="J51" s="242"/>
      <c r="K51" s="242"/>
      <c r="L51" s="242"/>
      <c r="M51" s="221"/>
      <c r="N51" s="242"/>
      <c r="O51" s="242"/>
      <c r="P51" s="242"/>
      <c r="Q51" s="242"/>
      <c r="R51" s="242"/>
      <c r="S51" s="243"/>
      <c r="T51" s="295"/>
      <c r="U51" s="296"/>
      <c r="V51" s="224">
        <f>ROUNDUP(T51*1/12,-1)</f>
        <v>0</v>
      </c>
      <c r="W51" s="225">
        <f t="shared" ref="W51:W62" si="39">ROUND(T51*4.5%,-1)</f>
        <v>0</v>
      </c>
      <c r="X51" s="225">
        <f>ROUNDUP((T51-L51)*2.82%,-1)</f>
        <v>0</v>
      </c>
      <c r="Y51" s="225">
        <f>ROUNDUP(X51*6.55%,-1)</f>
        <v>0</v>
      </c>
      <c r="Z51" s="225">
        <f>ROUND(T51*0.8%,-1)</f>
        <v>0</v>
      </c>
      <c r="AA51" s="225">
        <f>ROUND(T51*0.785%,-1)</f>
        <v>0</v>
      </c>
      <c r="AB51" s="252">
        <f t="shared" ref="AB51:AB62" si="40">SUM(V51:AA51)</f>
        <v>0</v>
      </c>
    </row>
    <row r="52" spans="1:28" hidden="1">
      <c r="A52" s="1258"/>
      <c r="B52" s="211"/>
      <c r="C52" s="212"/>
      <c r="D52" s="212"/>
      <c r="E52" s="219" t="s">
        <v>274</v>
      </c>
      <c r="F52" s="221"/>
      <c r="G52" s="221"/>
      <c r="H52" s="221"/>
      <c r="I52" s="221"/>
      <c r="J52" s="221"/>
      <c r="K52" s="221"/>
      <c r="L52" s="221"/>
      <c r="M52" s="221"/>
      <c r="N52" s="221"/>
      <c r="O52" s="221"/>
      <c r="P52" s="221"/>
      <c r="Q52" s="221"/>
      <c r="R52" s="221"/>
      <c r="S52" s="222"/>
      <c r="T52" s="295"/>
      <c r="U52" s="297"/>
      <c r="V52" s="224">
        <f t="shared" ref="V52:V62" si="41">ROUNDUP(T52*1/12,-1)</f>
        <v>0</v>
      </c>
      <c r="W52" s="225">
        <f t="shared" si="39"/>
        <v>0</v>
      </c>
      <c r="X52" s="225">
        <f t="shared" ref="X52:X62" si="42">ROUNDUP((T52-L52)*2.82%,-1)</f>
        <v>0</v>
      </c>
      <c r="Y52" s="225">
        <f t="shared" ref="Y52:Y62" si="43">ROUNDUP(X52*6.55%,-1)</f>
        <v>0</v>
      </c>
      <c r="Z52" s="225">
        <f t="shared" ref="Z52:Z62" si="44">ROUND(T52*0.8%,-1)</f>
        <v>0</v>
      </c>
      <c r="AA52" s="225">
        <f t="shared" ref="AA52:AA62" si="45">ROUND(T52*0.785%,-1)</f>
        <v>0</v>
      </c>
      <c r="AB52" s="252">
        <f t="shared" si="40"/>
        <v>0</v>
      </c>
    </row>
    <row r="53" spans="1:28" hidden="1">
      <c r="A53" s="1258"/>
      <c r="B53" s="211"/>
      <c r="C53" s="212"/>
      <c r="D53" s="212"/>
      <c r="E53" s="219" t="s">
        <v>275</v>
      </c>
      <c r="F53" s="221"/>
      <c r="G53" s="221"/>
      <c r="H53" s="221"/>
      <c r="I53" s="221"/>
      <c r="J53" s="221"/>
      <c r="K53" s="221"/>
      <c r="L53" s="221"/>
      <c r="M53" s="221"/>
      <c r="N53" s="221"/>
      <c r="O53" s="221"/>
      <c r="P53" s="221"/>
      <c r="Q53" s="221"/>
      <c r="R53" s="221"/>
      <c r="S53" s="222"/>
      <c r="T53" s="295"/>
      <c r="U53" s="297"/>
      <c r="V53" s="224">
        <f t="shared" si="41"/>
        <v>0</v>
      </c>
      <c r="W53" s="225">
        <f t="shared" si="39"/>
        <v>0</v>
      </c>
      <c r="X53" s="225">
        <f t="shared" si="42"/>
        <v>0</v>
      </c>
      <c r="Y53" s="225">
        <f t="shared" si="43"/>
        <v>0</v>
      </c>
      <c r="Z53" s="225">
        <f t="shared" si="44"/>
        <v>0</v>
      </c>
      <c r="AA53" s="225">
        <f t="shared" si="45"/>
        <v>0</v>
      </c>
      <c r="AB53" s="252">
        <f t="shared" si="40"/>
        <v>0</v>
      </c>
    </row>
    <row r="54" spans="1:28" hidden="1">
      <c r="A54" s="1258"/>
      <c r="B54" s="211"/>
      <c r="C54" s="212"/>
      <c r="D54" s="212"/>
      <c r="E54" s="219" t="s">
        <v>276</v>
      </c>
      <c r="F54" s="221"/>
      <c r="G54" s="221"/>
      <c r="H54" s="221"/>
      <c r="I54" s="221"/>
      <c r="J54" s="221"/>
      <c r="K54" s="221"/>
      <c r="L54" s="221"/>
      <c r="M54" s="221"/>
      <c r="N54" s="221"/>
      <c r="O54" s="221"/>
      <c r="P54" s="221"/>
      <c r="Q54" s="221"/>
      <c r="R54" s="221"/>
      <c r="S54" s="222"/>
      <c r="T54" s="295"/>
      <c r="U54" s="297"/>
      <c r="V54" s="224">
        <f t="shared" si="41"/>
        <v>0</v>
      </c>
      <c r="W54" s="225">
        <f t="shared" si="39"/>
        <v>0</v>
      </c>
      <c r="X54" s="225">
        <f t="shared" si="42"/>
        <v>0</v>
      </c>
      <c r="Y54" s="225">
        <f t="shared" si="43"/>
        <v>0</v>
      </c>
      <c r="Z54" s="225">
        <f t="shared" si="44"/>
        <v>0</v>
      </c>
      <c r="AA54" s="225">
        <f t="shared" si="45"/>
        <v>0</v>
      </c>
      <c r="AB54" s="252">
        <f t="shared" si="40"/>
        <v>0</v>
      </c>
    </row>
    <row r="55" spans="1:28" hidden="1">
      <c r="A55" s="1258"/>
      <c r="B55" s="211"/>
      <c r="C55" s="212"/>
      <c r="D55" s="212"/>
      <c r="E55" s="219" t="s">
        <v>277</v>
      </c>
      <c r="F55" s="221"/>
      <c r="G55" s="221"/>
      <c r="H55" s="221"/>
      <c r="I55" s="221"/>
      <c r="J55" s="221"/>
      <c r="K55" s="221"/>
      <c r="L55" s="221"/>
      <c r="M55" s="221"/>
      <c r="N55" s="221"/>
      <c r="O55" s="221"/>
      <c r="P55" s="221"/>
      <c r="Q55" s="221"/>
      <c r="R55" s="221"/>
      <c r="S55" s="222"/>
      <c r="T55" s="295"/>
      <c r="U55" s="297"/>
      <c r="V55" s="224">
        <f t="shared" si="41"/>
        <v>0</v>
      </c>
      <c r="W55" s="225">
        <f t="shared" si="39"/>
        <v>0</v>
      </c>
      <c r="X55" s="225">
        <f t="shared" si="42"/>
        <v>0</v>
      </c>
      <c r="Y55" s="225">
        <f t="shared" si="43"/>
        <v>0</v>
      </c>
      <c r="Z55" s="225">
        <f t="shared" si="44"/>
        <v>0</v>
      </c>
      <c r="AA55" s="225">
        <f>ROUND(T55*0.785%,-1)</f>
        <v>0</v>
      </c>
      <c r="AB55" s="252">
        <f t="shared" si="40"/>
        <v>0</v>
      </c>
    </row>
    <row r="56" spans="1:28" hidden="1">
      <c r="A56" s="1258"/>
      <c r="B56" s="211"/>
      <c r="C56" s="212"/>
      <c r="D56" s="212"/>
      <c r="E56" s="219" t="s">
        <v>278</v>
      </c>
      <c r="F56" s="221"/>
      <c r="G56" s="221"/>
      <c r="H56" s="221"/>
      <c r="I56" s="221"/>
      <c r="J56" s="221"/>
      <c r="K56" s="221"/>
      <c r="L56" s="221"/>
      <c r="M56" s="221"/>
      <c r="N56" s="221"/>
      <c r="O56" s="221"/>
      <c r="P56" s="221"/>
      <c r="Q56" s="221"/>
      <c r="R56" s="221"/>
      <c r="S56" s="222"/>
      <c r="T56" s="295"/>
      <c r="U56" s="297"/>
      <c r="V56" s="224">
        <f t="shared" si="41"/>
        <v>0</v>
      </c>
      <c r="W56" s="225">
        <f t="shared" si="39"/>
        <v>0</v>
      </c>
      <c r="X56" s="225">
        <f t="shared" si="42"/>
        <v>0</v>
      </c>
      <c r="Y56" s="225">
        <f t="shared" si="43"/>
        <v>0</v>
      </c>
      <c r="Z56" s="225">
        <f t="shared" si="44"/>
        <v>0</v>
      </c>
      <c r="AA56" s="225">
        <f t="shared" si="45"/>
        <v>0</v>
      </c>
      <c r="AB56" s="252">
        <f t="shared" si="40"/>
        <v>0</v>
      </c>
    </row>
    <row r="57" spans="1:28" hidden="1">
      <c r="A57" s="1258"/>
      <c r="B57" s="211"/>
      <c r="C57" s="212">
        <v>1</v>
      </c>
      <c r="D57" s="212"/>
      <c r="E57" s="219" t="s">
        <v>279</v>
      </c>
      <c r="F57" s="220"/>
      <c r="G57" s="221"/>
      <c r="H57" s="220"/>
      <c r="I57" s="222"/>
      <c r="J57" s="221"/>
      <c r="K57" s="221"/>
      <c r="L57" s="221"/>
      <c r="M57" s="221"/>
      <c r="N57" s="221"/>
      <c r="O57" s="221"/>
      <c r="P57" s="221"/>
      <c r="Q57" s="221"/>
      <c r="R57" s="221"/>
      <c r="S57" s="222"/>
      <c r="T57" s="295"/>
      <c r="U57" s="297"/>
      <c r="V57" s="224">
        <f t="shared" si="41"/>
        <v>0</v>
      </c>
      <c r="W57" s="225">
        <f t="shared" si="39"/>
        <v>0</v>
      </c>
      <c r="X57" s="225">
        <f t="shared" si="42"/>
        <v>0</v>
      </c>
      <c r="Y57" s="225">
        <f t="shared" si="43"/>
        <v>0</v>
      </c>
      <c r="Z57" s="225">
        <f t="shared" si="44"/>
        <v>0</v>
      </c>
      <c r="AA57" s="225">
        <f t="shared" si="45"/>
        <v>0</v>
      </c>
      <c r="AB57" s="252">
        <f t="shared" si="40"/>
        <v>0</v>
      </c>
    </row>
    <row r="58" spans="1:28" hidden="1">
      <c r="A58" s="1258"/>
      <c r="B58" s="211"/>
      <c r="C58" s="212"/>
      <c r="D58" s="212"/>
      <c r="E58" s="219" t="s">
        <v>280</v>
      </c>
      <c r="F58" s="221"/>
      <c r="G58" s="221"/>
      <c r="H58" s="221"/>
      <c r="I58" s="221"/>
      <c r="J58" s="221"/>
      <c r="K58" s="221"/>
      <c r="L58" s="221"/>
      <c r="M58" s="221"/>
      <c r="N58" s="221"/>
      <c r="O58" s="221"/>
      <c r="P58" s="221"/>
      <c r="Q58" s="221"/>
      <c r="R58" s="221"/>
      <c r="S58" s="222"/>
      <c r="T58" s="295"/>
      <c r="U58" s="297"/>
      <c r="V58" s="224">
        <f t="shared" si="41"/>
        <v>0</v>
      </c>
      <c r="W58" s="225">
        <f t="shared" si="39"/>
        <v>0</v>
      </c>
      <c r="X58" s="225">
        <f t="shared" si="42"/>
        <v>0</v>
      </c>
      <c r="Y58" s="225">
        <f t="shared" si="43"/>
        <v>0</v>
      </c>
      <c r="Z58" s="225">
        <f t="shared" si="44"/>
        <v>0</v>
      </c>
      <c r="AA58" s="225">
        <f t="shared" si="45"/>
        <v>0</v>
      </c>
      <c r="AB58" s="252">
        <f t="shared" si="40"/>
        <v>0</v>
      </c>
    </row>
    <row r="59" spans="1:28" hidden="1">
      <c r="A59" s="1258"/>
      <c r="B59" s="211"/>
      <c r="C59" s="212"/>
      <c r="D59" s="212"/>
      <c r="E59" s="219" t="s">
        <v>54</v>
      </c>
      <c r="F59" s="221"/>
      <c r="G59" s="221"/>
      <c r="H59" s="221"/>
      <c r="I59" s="221"/>
      <c r="J59" s="221"/>
      <c r="K59" s="221"/>
      <c r="L59" s="221"/>
      <c r="M59" s="221"/>
      <c r="N59" s="221"/>
      <c r="O59" s="221"/>
      <c r="P59" s="221"/>
      <c r="Q59" s="221"/>
      <c r="R59" s="221"/>
      <c r="S59" s="222"/>
      <c r="T59" s="295"/>
      <c r="U59" s="297"/>
      <c r="V59" s="224">
        <f t="shared" si="41"/>
        <v>0</v>
      </c>
      <c r="W59" s="225">
        <f t="shared" si="39"/>
        <v>0</v>
      </c>
      <c r="X59" s="225">
        <f t="shared" si="42"/>
        <v>0</v>
      </c>
      <c r="Y59" s="225">
        <f t="shared" si="43"/>
        <v>0</v>
      </c>
      <c r="Z59" s="225">
        <f t="shared" si="44"/>
        <v>0</v>
      </c>
      <c r="AA59" s="225">
        <f t="shared" si="45"/>
        <v>0</v>
      </c>
      <c r="AB59" s="252">
        <f t="shared" si="40"/>
        <v>0</v>
      </c>
    </row>
    <row r="60" spans="1:28" hidden="1">
      <c r="A60" s="1258"/>
      <c r="B60" s="211"/>
      <c r="C60" s="212"/>
      <c r="D60" s="212"/>
      <c r="E60" s="219" t="s">
        <v>55</v>
      </c>
      <c r="F60" s="221"/>
      <c r="G60" s="221"/>
      <c r="H60" s="221"/>
      <c r="I60" s="221"/>
      <c r="J60" s="221"/>
      <c r="K60" s="221"/>
      <c r="L60" s="221"/>
      <c r="M60" s="221"/>
      <c r="N60" s="221"/>
      <c r="O60" s="221"/>
      <c r="P60" s="221"/>
      <c r="Q60" s="221"/>
      <c r="R60" s="221"/>
      <c r="S60" s="222"/>
      <c r="T60" s="295"/>
      <c r="U60" s="297"/>
      <c r="V60" s="224">
        <f t="shared" si="41"/>
        <v>0</v>
      </c>
      <c r="W60" s="225">
        <f t="shared" si="39"/>
        <v>0</v>
      </c>
      <c r="X60" s="225">
        <f t="shared" si="42"/>
        <v>0</v>
      </c>
      <c r="Y60" s="225">
        <f t="shared" si="43"/>
        <v>0</v>
      </c>
      <c r="Z60" s="225">
        <f t="shared" si="44"/>
        <v>0</v>
      </c>
      <c r="AA60" s="225">
        <f t="shared" si="45"/>
        <v>0</v>
      </c>
      <c r="AB60" s="252">
        <f t="shared" si="40"/>
        <v>0</v>
      </c>
    </row>
    <row r="61" spans="1:28" hidden="1">
      <c r="A61" s="1258"/>
      <c r="B61" s="211"/>
      <c r="C61" s="212"/>
      <c r="D61" s="212"/>
      <c r="E61" s="219" t="s">
        <v>56</v>
      </c>
      <c r="F61" s="221"/>
      <c r="G61" s="221"/>
      <c r="H61" s="221"/>
      <c r="I61" s="221"/>
      <c r="J61" s="221"/>
      <c r="K61" s="221"/>
      <c r="L61" s="221"/>
      <c r="M61" s="221"/>
      <c r="N61" s="221"/>
      <c r="O61" s="221"/>
      <c r="P61" s="221"/>
      <c r="Q61" s="221"/>
      <c r="R61" s="221"/>
      <c r="S61" s="222"/>
      <c r="T61" s="295"/>
      <c r="U61" s="297"/>
      <c r="V61" s="224">
        <f t="shared" si="41"/>
        <v>0</v>
      </c>
      <c r="W61" s="225">
        <f t="shared" si="39"/>
        <v>0</v>
      </c>
      <c r="X61" s="225">
        <f t="shared" si="42"/>
        <v>0</v>
      </c>
      <c r="Y61" s="225">
        <f t="shared" si="43"/>
        <v>0</v>
      </c>
      <c r="Z61" s="225">
        <f t="shared" si="44"/>
        <v>0</v>
      </c>
      <c r="AA61" s="225">
        <f t="shared" si="45"/>
        <v>0</v>
      </c>
      <c r="AB61" s="252">
        <f t="shared" si="40"/>
        <v>0</v>
      </c>
    </row>
    <row r="62" spans="1:28" hidden="1">
      <c r="A62" s="1259"/>
      <c r="B62" s="254"/>
      <c r="C62" s="255"/>
      <c r="D62" s="255"/>
      <c r="E62" s="256" t="s">
        <v>281</v>
      </c>
      <c r="F62" s="257"/>
      <c r="G62" s="257"/>
      <c r="H62" s="257"/>
      <c r="I62" s="257"/>
      <c r="J62" s="257"/>
      <c r="K62" s="257"/>
      <c r="L62" s="257"/>
      <c r="M62" s="257"/>
      <c r="N62" s="257"/>
      <c r="O62" s="257"/>
      <c r="P62" s="257"/>
      <c r="Q62" s="257"/>
      <c r="R62" s="257"/>
      <c r="S62" s="258"/>
      <c r="T62" s="295"/>
      <c r="U62" s="293"/>
      <c r="V62" s="262">
        <f t="shared" si="41"/>
        <v>0</v>
      </c>
      <c r="W62" s="263">
        <f t="shared" si="39"/>
        <v>0</v>
      </c>
      <c r="X62" s="263">
        <f t="shared" si="42"/>
        <v>0</v>
      </c>
      <c r="Y62" s="263">
        <f t="shared" si="43"/>
        <v>0</v>
      </c>
      <c r="Z62" s="225">
        <f t="shared" si="44"/>
        <v>0</v>
      </c>
      <c r="AA62" s="225">
        <f t="shared" si="45"/>
        <v>0</v>
      </c>
      <c r="AB62" s="264">
        <f t="shared" si="40"/>
        <v>0</v>
      </c>
    </row>
    <row r="63" spans="1:28" ht="18" hidden="1" customHeight="1">
      <c r="A63" s="1260"/>
      <c r="B63" s="254"/>
      <c r="C63" s="255"/>
      <c r="D63" s="255"/>
      <c r="E63" s="291"/>
      <c r="F63" s="259"/>
      <c r="G63" s="259"/>
      <c r="H63" s="259"/>
      <c r="I63" s="259"/>
      <c r="J63" s="259"/>
      <c r="K63" s="259"/>
      <c r="L63" s="259"/>
      <c r="M63" s="259"/>
      <c r="N63" s="259"/>
      <c r="O63" s="259"/>
      <c r="P63" s="259"/>
      <c r="Q63" s="259"/>
      <c r="R63" s="259"/>
      <c r="S63" s="259"/>
      <c r="T63" s="292"/>
      <c r="U63" s="293"/>
      <c r="V63" s="217"/>
      <c r="W63" s="214"/>
      <c r="X63" s="214"/>
      <c r="Y63" s="214"/>
      <c r="Z63" s="214"/>
      <c r="AA63" s="214"/>
      <c r="AB63" s="266"/>
    </row>
    <row r="64" spans="1:28" hidden="1">
      <c r="A64" s="1258"/>
      <c r="B64" s="239"/>
      <c r="C64" s="240"/>
      <c r="D64" s="240"/>
      <c r="E64" s="241"/>
      <c r="F64" s="294"/>
      <c r="G64" s="242"/>
      <c r="H64" s="294"/>
      <c r="I64" s="294"/>
      <c r="J64" s="242"/>
      <c r="K64" s="242"/>
      <c r="L64" s="242"/>
      <c r="M64" s="242"/>
      <c r="N64" s="221"/>
      <c r="O64" s="242"/>
      <c r="P64" s="221"/>
      <c r="Q64" s="242"/>
      <c r="R64" s="242"/>
      <c r="S64" s="243"/>
      <c r="T64" s="295"/>
      <c r="U64" s="296"/>
      <c r="V64" s="224"/>
      <c r="W64" s="225"/>
      <c r="X64" s="225"/>
      <c r="Y64" s="225"/>
      <c r="Z64" s="225"/>
      <c r="AA64" s="225"/>
      <c r="AB64" s="252"/>
    </row>
    <row r="65" spans="1:28" hidden="1">
      <c r="A65" s="1258"/>
      <c r="B65" s="211"/>
      <c r="C65" s="212"/>
      <c r="D65" s="212"/>
      <c r="E65" s="219"/>
      <c r="F65" s="221"/>
      <c r="G65" s="221"/>
      <c r="H65" s="221"/>
      <c r="I65" s="221"/>
      <c r="J65" s="221"/>
      <c r="K65" s="221"/>
      <c r="L65" s="221"/>
      <c r="M65" s="221"/>
      <c r="N65" s="221"/>
      <c r="O65" s="221"/>
      <c r="P65" s="221"/>
      <c r="Q65" s="221"/>
      <c r="R65" s="221"/>
      <c r="S65" s="222"/>
      <c r="T65" s="295"/>
      <c r="U65" s="297"/>
      <c r="V65" s="224"/>
      <c r="W65" s="225"/>
      <c r="X65" s="225"/>
      <c r="Y65" s="225"/>
      <c r="Z65" s="225"/>
      <c r="AA65" s="225"/>
      <c r="AB65" s="252"/>
    </row>
    <row r="66" spans="1:28" hidden="1">
      <c r="A66" s="1258"/>
      <c r="B66" s="211"/>
      <c r="C66" s="212"/>
      <c r="D66" s="212"/>
      <c r="E66" s="219"/>
      <c r="F66" s="221"/>
      <c r="G66" s="221"/>
      <c r="H66" s="221"/>
      <c r="I66" s="221"/>
      <c r="J66" s="221"/>
      <c r="K66" s="221"/>
      <c r="L66" s="221"/>
      <c r="M66" s="221"/>
      <c r="N66" s="221"/>
      <c r="O66" s="221"/>
      <c r="P66" s="221"/>
      <c r="Q66" s="221"/>
      <c r="R66" s="221"/>
      <c r="S66" s="222"/>
      <c r="T66" s="295"/>
      <c r="U66" s="297"/>
      <c r="V66" s="224"/>
      <c r="W66" s="225"/>
      <c r="X66" s="225"/>
      <c r="Y66" s="225"/>
      <c r="Z66" s="225"/>
      <c r="AA66" s="225"/>
      <c r="AB66" s="252"/>
    </row>
    <row r="67" spans="1:28" hidden="1">
      <c r="A67" s="1258"/>
      <c r="B67" s="211"/>
      <c r="C67" s="212"/>
      <c r="D67" s="212"/>
      <c r="E67" s="219">
        <v>0</v>
      </c>
      <c r="F67" s="221"/>
      <c r="G67" s="221"/>
      <c r="H67" s="221"/>
      <c r="I67" s="221"/>
      <c r="J67" s="221"/>
      <c r="K67" s="221"/>
      <c r="L67" s="221"/>
      <c r="M67" s="221"/>
      <c r="N67" s="221"/>
      <c r="O67" s="221"/>
      <c r="P67" s="221"/>
      <c r="Q67" s="221"/>
      <c r="R67" s="221"/>
      <c r="S67" s="222"/>
      <c r="T67" s="295"/>
      <c r="U67" s="297"/>
      <c r="V67" s="224"/>
      <c r="W67" s="225"/>
      <c r="X67" s="225"/>
      <c r="Y67" s="225"/>
      <c r="Z67" s="225"/>
      <c r="AA67" s="225"/>
      <c r="AB67" s="252"/>
    </row>
    <row r="68" spans="1:28" hidden="1">
      <c r="A68" s="1258"/>
      <c r="B68" s="211"/>
      <c r="C68" s="212"/>
      <c r="D68" s="212"/>
      <c r="E68" s="219"/>
      <c r="F68" s="221"/>
      <c r="G68" s="221"/>
      <c r="H68" s="221"/>
      <c r="I68" s="221"/>
      <c r="J68" s="221"/>
      <c r="K68" s="221"/>
      <c r="L68" s="221"/>
      <c r="M68" s="221"/>
      <c r="N68" s="221"/>
      <c r="O68" s="221"/>
      <c r="P68" s="221"/>
      <c r="Q68" s="221"/>
      <c r="R68" s="221"/>
      <c r="S68" s="222"/>
      <c r="T68" s="295"/>
      <c r="U68" s="297"/>
      <c r="V68" s="224"/>
      <c r="W68" s="225"/>
      <c r="X68" s="225"/>
      <c r="Y68" s="225"/>
      <c r="Z68" s="225"/>
      <c r="AA68" s="225"/>
      <c r="AB68" s="252"/>
    </row>
    <row r="69" spans="1:28" hidden="1">
      <c r="A69" s="1258"/>
      <c r="B69" s="211"/>
      <c r="C69" s="212"/>
      <c r="D69" s="212"/>
      <c r="E69" s="219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1"/>
      <c r="S69" s="222"/>
      <c r="T69" s="295"/>
      <c r="U69" s="297"/>
      <c r="V69" s="224"/>
      <c r="W69" s="225"/>
      <c r="X69" s="225"/>
      <c r="Y69" s="225"/>
      <c r="Z69" s="225"/>
      <c r="AA69" s="225"/>
      <c r="AB69" s="252"/>
    </row>
    <row r="70" spans="1:28" hidden="1">
      <c r="A70" s="1258"/>
      <c r="B70" s="211"/>
      <c r="C70" s="212"/>
      <c r="D70" s="212"/>
      <c r="E70" s="219"/>
      <c r="F70" s="221"/>
      <c r="G70" s="221"/>
      <c r="H70" s="220"/>
      <c r="I70" s="222"/>
      <c r="J70" s="221"/>
      <c r="K70" s="221"/>
      <c r="L70" s="221"/>
      <c r="M70" s="221"/>
      <c r="N70" s="221"/>
      <c r="O70" s="221"/>
      <c r="P70" s="221"/>
      <c r="Q70" s="221"/>
      <c r="R70" s="221"/>
      <c r="S70" s="222"/>
      <c r="T70" s="295"/>
      <c r="U70" s="297"/>
      <c r="V70" s="224"/>
      <c r="W70" s="225"/>
      <c r="X70" s="225"/>
      <c r="Y70" s="225"/>
      <c r="Z70" s="225"/>
      <c r="AA70" s="225"/>
      <c r="AB70" s="252"/>
    </row>
    <row r="71" spans="1:28" hidden="1">
      <c r="A71" s="1258"/>
      <c r="B71" s="211"/>
      <c r="C71" s="212"/>
      <c r="D71" s="212"/>
      <c r="E71" s="219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1"/>
      <c r="S71" s="222"/>
      <c r="T71" s="295"/>
      <c r="U71" s="297"/>
      <c r="V71" s="224"/>
      <c r="W71" s="225"/>
      <c r="X71" s="225"/>
      <c r="Y71" s="225"/>
      <c r="Z71" s="225"/>
      <c r="AA71" s="225"/>
      <c r="AB71" s="252"/>
    </row>
    <row r="72" spans="1:28" hidden="1">
      <c r="A72" s="1258"/>
      <c r="B72" s="211"/>
      <c r="C72" s="212"/>
      <c r="D72" s="212"/>
      <c r="E72" s="219"/>
      <c r="F72" s="221"/>
      <c r="G72" s="221"/>
      <c r="H72" s="221"/>
      <c r="I72" s="221"/>
      <c r="J72" s="221"/>
      <c r="K72" s="221"/>
      <c r="L72" s="221"/>
      <c r="M72" s="221"/>
      <c r="N72" s="221"/>
      <c r="O72" s="221"/>
      <c r="P72" s="221"/>
      <c r="Q72" s="221"/>
      <c r="R72" s="221"/>
      <c r="S72" s="222"/>
      <c r="T72" s="295"/>
      <c r="U72" s="297"/>
      <c r="V72" s="224"/>
      <c r="W72" s="225"/>
      <c r="X72" s="225"/>
      <c r="Y72" s="225"/>
      <c r="Z72" s="225"/>
      <c r="AA72" s="225"/>
      <c r="AB72" s="252"/>
    </row>
    <row r="73" spans="1:28" hidden="1">
      <c r="A73" s="1258"/>
      <c r="B73" s="211"/>
      <c r="C73" s="212"/>
      <c r="D73" s="212"/>
      <c r="E73" s="219"/>
      <c r="F73" s="221"/>
      <c r="G73" s="221"/>
      <c r="H73" s="221"/>
      <c r="I73" s="221"/>
      <c r="J73" s="221"/>
      <c r="K73" s="221"/>
      <c r="L73" s="221"/>
      <c r="M73" s="221"/>
      <c r="N73" s="221"/>
      <c r="O73" s="221"/>
      <c r="P73" s="221"/>
      <c r="Q73" s="221"/>
      <c r="R73" s="221"/>
      <c r="S73" s="222"/>
      <c r="T73" s="295"/>
      <c r="U73" s="297"/>
      <c r="V73" s="224"/>
      <c r="W73" s="225"/>
      <c r="X73" s="225"/>
      <c r="Y73" s="225"/>
      <c r="Z73" s="225"/>
      <c r="AA73" s="225"/>
      <c r="AB73" s="252"/>
    </row>
    <row r="74" spans="1:28" hidden="1">
      <c r="A74" s="1258"/>
      <c r="B74" s="211"/>
      <c r="C74" s="212"/>
      <c r="D74" s="212"/>
      <c r="E74" s="219"/>
      <c r="F74" s="221"/>
      <c r="G74" s="221"/>
      <c r="H74" s="221"/>
      <c r="I74" s="221"/>
      <c r="J74" s="221"/>
      <c r="K74" s="221"/>
      <c r="L74" s="221"/>
      <c r="M74" s="221"/>
      <c r="N74" s="221"/>
      <c r="O74" s="221"/>
      <c r="P74" s="221"/>
      <c r="Q74" s="221"/>
      <c r="R74" s="221"/>
      <c r="S74" s="222"/>
      <c r="T74" s="295"/>
      <c r="U74" s="297"/>
      <c r="V74" s="224"/>
      <c r="W74" s="225"/>
      <c r="X74" s="225"/>
      <c r="Y74" s="225"/>
      <c r="Z74" s="225"/>
      <c r="AA74" s="225"/>
      <c r="AB74" s="252"/>
    </row>
    <row r="75" spans="1:28" hidden="1">
      <c r="A75" s="1259"/>
      <c r="B75" s="254"/>
      <c r="C75" s="255"/>
      <c r="D75" s="255"/>
      <c r="E75" s="256"/>
      <c r="F75" s="221"/>
      <c r="G75" s="257"/>
      <c r="H75" s="257"/>
      <c r="I75" s="257"/>
      <c r="J75" s="257"/>
      <c r="K75" s="221"/>
      <c r="L75" s="257"/>
      <c r="M75" s="257"/>
      <c r="N75" s="221"/>
      <c r="O75" s="221"/>
      <c r="P75" s="221"/>
      <c r="Q75" s="257"/>
      <c r="R75" s="257"/>
      <c r="S75" s="258"/>
      <c r="T75" s="295"/>
      <c r="U75" s="293"/>
      <c r="V75" s="262"/>
      <c r="W75" s="263"/>
      <c r="X75" s="263"/>
      <c r="Y75" s="263"/>
      <c r="Z75" s="225"/>
      <c r="AA75" s="225"/>
      <c r="AB75" s="264"/>
    </row>
    <row r="76" spans="1:28" ht="18" hidden="1" customHeight="1">
      <c r="A76" s="1260"/>
      <c r="B76" s="254"/>
      <c r="C76" s="255"/>
      <c r="D76" s="255"/>
      <c r="E76" s="291"/>
      <c r="F76" s="259"/>
      <c r="G76" s="259"/>
      <c r="H76" s="259"/>
      <c r="I76" s="259"/>
      <c r="J76" s="259"/>
      <c r="K76" s="259"/>
      <c r="L76" s="259"/>
      <c r="M76" s="259"/>
      <c r="N76" s="259"/>
      <c r="O76" s="259"/>
      <c r="P76" s="259"/>
      <c r="Q76" s="259"/>
      <c r="R76" s="259"/>
      <c r="S76" s="259"/>
      <c r="T76" s="292"/>
      <c r="U76" s="293"/>
      <c r="V76" s="217"/>
      <c r="W76" s="214"/>
      <c r="X76" s="214"/>
      <c r="Y76" s="214"/>
      <c r="Z76" s="214"/>
      <c r="AA76" s="214"/>
      <c r="AB76" s="266"/>
    </row>
    <row r="77" spans="1:28" hidden="1">
      <c r="A77" s="1258"/>
      <c r="B77" s="239"/>
      <c r="C77" s="240"/>
      <c r="D77" s="240"/>
      <c r="E77" s="241"/>
      <c r="F77" s="294"/>
      <c r="G77" s="242"/>
      <c r="H77" s="294"/>
      <c r="I77" s="294"/>
      <c r="J77" s="242"/>
      <c r="K77" s="242"/>
      <c r="L77" s="242"/>
      <c r="M77" s="242"/>
      <c r="N77" s="242"/>
      <c r="O77" s="242"/>
      <c r="P77" s="242"/>
      <c r="Q77" s="242"/>
      <c r="R77" s="242"/>
      <c r="S77" s="243"/>
      <c r="T77" s="295"/>
      <c r="U77" s="296"/>
      <c r="V77" s="224"/>
      <c r="W77" s="225"/>
      <c r="X77" s="225"/>
      <c r="Y77" s="225"/>
      <c r="Z77" s="225"/>
      <c r="AA77" s="225"/>
      <c r="AB77" s="252"/>
    </row>
    <row r="78" spans="1:28" hidden="1">
      <c r="A78" s="1258"/>
      <c r="B78" s="211"/>
      <c r="C78" s="212"/>
      <c r="D78" s="212"/>
      <c r="E78" s="219"/>
      <c r="F78" s="221"/>
      <c r="G78" s="221"/>
      <c r="H78" s="221"/>
      <c r="I78" s="221"/>
      <c r="J78" s="221"/>
      <c r="K78" s="221"/>
      <c r="L78" s="221"/>
      <c r="M78" s="221"/>
      <c r="N78" s="221"/>
      <c r="O78" s="221"/>
      <c r="P78" s="221"/>
      <c r="Q78" s="221"/>
      <c r="R78" s="221"/>
      <c r="S78" s="222"/>
      <c r="T78" s="295"/>
      <c r="U78" s="297"/>
      <c r="V78" s="224"/>
      <c r="W78" s="225"/>
      <c r="X78" s="225"/>
      <c r="Y78" s="225"/>
      <c r="Z78" s="225"/>
      <c r="AA78" s="225"/>
      <c r="AB78" s="252"/>
    </row>
    <row r="79" spans="1:28" hidden="1">
      <c r="A79" s="1258"/>
      <c r="B79" s="211"/>
      <c r="C79" s="212"/>
      <c r="D79" s="212"/>
      <c r="E79" s="219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1"/>
      <c r="Q79" s="221"/>
      <c r="R79" s="221"/>
      <c r="S79" s="222"/>
      <c r="T79" s="295"/>
      <c r="U79" s="297"/>
      <c r="V79" s="224"/>
      <c r="W79" s="225"/>
      <c r="X79" s="225"/>
      <c r="Y79" s="225"/>
      <c r="Z79" s="225"/>
      <c r="AA79" s="225"/>
      <c r="AB79" s="252"/>
    </row>
    <row r="80" spans="1:28" hidden="1">
      <c r="A80" s="1258"/>
      <c r="B80" s="211"/>
      <c r="C80" s="212"/>
      <c r="D80" s="212"/>
      <c r="E80" s="219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1"/>
      <c r="Q80" s="221"/>
      <c r="R80" s="221"/>
      <c r="S80" s="222"/>
      <c r="T80" s="295"/>
      <c r="U80" s="297"/>
      <c r="V80" s="224"/>
      <c r="W80" s="225"/>
      <c r="X80" s="225"/>
      <c r="Y80" s="225"/>
      <c r="Z80" s="225"/>
      <c r="AA80" s="225"/>
      <c r="AB80" s="252"/>
    </row>
    <row r="81" spans="1:28" hidden="1">
      <c r="A81" s="1258"/>
      <c r="B81" s="211"/>
      <c r="C81" s="212"/>
      <c r="D81" s="212"/>
      <c r="E81" s="219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1"/>
      <c r="Q81" s="221"/>
      <c r="R81" s="221"/>
      <c r="S81" s="222"/>
      <c r="T81" s="295"/>
      <c r="U81" s="297"/>
      <c r="V81" s="224"/>
      <c r="W81" s="225"/>
      <c r="X81" s="225"/>
      <c r="Y81" s="225"/>
      <c r="Z81" s="225"/>
      <c r="AA81" s="225"/>
      <c r="AB81" s="252"/>
    </row>
    <row r="82" spans="1:28" hidden="1">
      <c r="A82" s="1258"/>
      <c r="B82" s="211"/>
      <c r="C82" s="212"/>
      <c r="D82" s="212"/>
      <c r="E82" s="219"/>
      <c r="F82" s="221"/>
      <c r="G82" s="221"/>
      <c r="H82" s="221"/>
      <c r="I82" s="221"/>
      <c r="J82" s="221"/>
      <c r="K82" s="221"/>
      <c r="L82" s="221"/>
      <c r="M82" s="221"/>
      <c r="N82" s="221"/>
      <c r="O82" s="221"/>
      <c r="P82" s="221"/>
      <c r="Q82" s="221"/>
      <c r="R82" s="221"/>
      <c r="S82" s="222"/>
      <c r="T82" s="295"/>
      <c r="U82" s="297"/>
      <c r="V82" s="224"/>
      <c r="W82" s="225"/>
      <c r="X82" s="225"/>
      <c r="Y82" s="225"/>
      <c r="Z82" s="225"/>
      <c r="AA82" s="225"/>
      <c r="AB82" s="252"/>
    </row>
    <row r="83" spans="1:28" hidden="1">
      <c r="A83" s="1258"/>
      <c r="B83" s="211"/>
      <c r="C83" s="212"/>
      <c r="D83" s="212"/>
      <c r="E83" s="219"/>
      <c r="F83" s="221"/>
      <c r="G83" s="221"/>
      <c r="H83" s="220"/>
      <c r="I83" s="222"/>
      <c r="J83" s="221"/>
      <c r="K83" s="221"/>
      <c r="L83" s="221"/>
      <c r="M83" s="221"/>
      <c r="N83" s="221"/>
      <c r="O83" s="221"/>
      <c r="P83" s="221"/>
      <c r="Q83" s="221"/>
      <c r="R83" s="221"/>
      <c r="S83" s="222"/>
      <c r="T83" s="295"/>
      <c r="U83" s="297"/>
      <c r="V83" s="224"/>
      <c r="W83" s="225"/>
      <c r="X83" s="225"/>
      <c r="Y83" s="225"/>
      <c r="Z83" s="225"/>
      <c r="AA83" s="225"/>
      <c r="AB83" s="252"/>
    </row>
    <row r="84" spans="1:28" hidden="1">
      <c r="A84" s="1258"/>
      <c r="B84" s="211"/>
      <c r="C84" s="212"/>
      <c r="D84" s="212"/>
      <c r="E84" s="219"/>
      <c r="F84" s="221"/>
      <c r="G84" s="221"/>
      <c r="H84" s="221"/>
      <c r="I84" s="221"/>
      <c r="J84" s="221"/>
      <c r="K84" s="221"/>
      <c r="L84" s="221"/>
      <c r="M84" s="221"/>
      <c r="N84" s="221"/>
      <c r="O84" s="221"/>
      <c r="P84" s="221"/>
      <c r="Q84" s="221"/>
      <c r="R84" s="221"/>
      <c r="S84" s="222"/>
      <c r="T84" s="295"/>
      <c r="U84" s="297"/>
      <c r="V84" s="224"/>
      <c r="W84" s="225"/>
      <c r="X84" s="225"/>
      <c r="Y84" s="225"/>
      <c r="Z84" s="225"/>
      <c r="AA84" s="225"/>
      <c r="AB84" s="252"/>
    </row>
    <row r="85" spans="1:28" hidden="1">
      <c r="A85" s="1258"/>
      <c r="B85" s="211"/>
      <c r="C85" s="212"/>
      <c r="D85" s="212"/>
      <c r="E85" s="219"/>
      <c r="F85" s="221"/>
      <c r="G85" s="221"/>
      <c r="H85" s="221"/>
      <c r="I85" s="221"/>
      <c r="J85" s="221"/>
      <c r="K85" s="221"/>
      <c r="L85" s="221"/>
      <c r="M85" s="221"/>
      <c r="N85" s="221"/>
      <c r="O85" s="221"/>
      <c r="P85" s="221"/>
      <c r="Q85" s="221"/>
      <c r="R85" s="221"/>
      <c r="S85" s="222"/>
      <c r="T85" s="295"/>
      <c r="U85" s="297"/>
      <c r="V85" s="224"/>
      <c r="W85" s="225"/>
      <c r="X85" s="225"/>
      <c r="Y85" s="225"/>
      <c r="Z85" s="225"/>
      <c r="AA85" s="225"/>
      <c r="AB85" s="252"/>
    </row>
    <row r="86" spans="1:28" hidden="1">
      <c r="A86" s="1258"/>
      <c r="B86" s="211"/>
      <c r="C86" s="212"/>
      <c r="D86" s="212"/>
      <c r="E86" s="219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1"/>
      <c r="Q86" s="221"/>
      <c r="R86" s="221"/>
      <c r="S86" s="222"/>
      <c r="T86" s="295"/>
      <c r="U86" s="297"/>
      <c r="V86" s="224"/>
      <c r="W86" s="225"/>
      <c r="X86" s="225"/>
      <c r="Y86" s="225"/>
      <c r="Z86" s="225"/>
      <c r="AA86" s="225"/>
      <c r="AB86" s="252"/>
    </row>
    <row r="87" spans="1:28" hidden="1">
      <c r="A87" s="1258"/>
      <c r="B87" s="211"/>
      <c r="C87" s="212"/>
      <c r="D87" s="212"/>
      <c r="E87" s="219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1"/>
      <c r="Q87" s="221"/>
      <c r="R87" s="221"/>
      <c r="S87" s="222"/>
      <c r="T87" s="295"/>
      <c r="U87" s="297"/>
      <c r="V87" s="224"/>
      <c r="W87" s="225"/>
      <c r="X87" s="225"/>
      <c r="Y87" s="225"/>
      <c r="Z87" s="225"/>
      <c r="AA87" s="225"/>
      <c r="AB87" s="252"/>
    </row>
    <row r="88" spans="1:28" hidden="1">
      <c r="A88" s="1259"/>
      <c r="B88" s="254"/>
      <c r="C88" s="255"/>
      <c r="D88" s="255"/>
      <c r="E88" s="256"/>
      <c r="F88" s="221"/>
      <c r="G88" s="257"/>
      <c r="H88" s="257"/>
      <c r="I88" s="257"/>
      <c r="J88" s="257"/>
      <c r="K88" s="257"/>
      <c r="L88" s="257"/>
      <c r="M88" s="257"/>
      <c r="N88" s="257"/>
      <c r="O88" s="257"/>
      <c r="P88" s="257"/>
      <c r="Q88" s="257"/>
      <c r="R88" s="257"/>
      <c r="S88" s="258"/>
      <c r="T88" s="295"/>
      <c r="U88" s="293"/>
      <c r="V88" s="262"/>
      <c r="W88" s="263"/>
      <c r="X88" s="263"/>
      <c r="Y88" s="263"/>
      <c r="Z88" s="225"/>
      <c r="AA88" s="225"/>
      <c r="AB88" s="264"/>
    </row>
    <row r="89" spans="1:28" ht="18" hidden="1" customHeight="1">
      <c r="A89" s="1261">
        <v>1</v>
      </c>
      <c r="B89" s="298" t="s">
        <v>87</v>
      </c>
      <c r="C89" s="255">
        <v>1</v>
      </c>
      <c r="D89" s="255">
        <v>1</v>
      </c>
      <c r="E89" s="291" t="s">
        <v>86</v>
      </c>
      <c r="F89" s="259">
        <f t="shared" ref="F89:O89" si="46">SUM(F90:F101)</f>
        <v>0</v>
      </c>
      <c r="G89" s="259">
        <f t="shared" si="46"/>
        <v>0</v>
      </c>
      <c r="H89" s="259">
        <f t="shared" si="46"/>
        <v>0</v>
      </c>
      <c r="I89" s="259">
        <f t="shared" si="46"/>
        <v>0</v>
      </c>
      <c r="J89" s="259">
        <f t="shared" si="46"/>
        <v>0</v>
      </c>
      <c r="K89" s="259">
        <f t="shared" si="46"/>
        <v>0</v>
      </c>
      <c r="L89" s="259">
        <f t="shared" si="46"/>
        <v>0</v>
      </c>
      <c r="M89" s="259">
        <f t="shared" si="46"/>
        <v>0</v>
      </c>
      <c r="N89" s="259">
        <f t="shared" si="46"/>
        <v>0</v>
      </c>
      <c r="O89" s="259">
        <f t="shared" si="46"/>
        <v>0</v>
      </c>
      <c r="P89" s="259"/>
      <c r="Q89" s="259">
        <f>SUM(Q90:Q101)</f>
        <v>0</v>
      </c>
      <c r="R89" s="259">
        <f>SUM(R90:R101)</f>
        <v>0</v>
      </c>
      <c r="S89" s="259">
        <f>SUM(S90:S101)</f>
        <v>0</v>
      </c>
      <c r="T89" s="292">
        <f>SUM(T90:T101)</f>
        <v>0</v>
      </c>
      <c r="U89" s="293"/>
      <c r="V89" s="217">
        <f>SUM(V90:V101)</f>
        <v>0</v>
      </c>
      <c r="W89" s="214">
        <f t="shared" ref="W89:AB89" si="47">SUM(W90:W101)</f>
        <v>0</v>
      </c>
      <c r="X89" s="214">
        <f t="shared" si="47"/>
        <v>0</v>
      </c>
      <c r="Y89" s="214">
        <f t="shared" si="47"/>
        <v>0</v>
      </c>
      <c r="Z89" s="214">
        <f t="shared" si="47"/>
        <v>0</v>
      </c>
      <c r="AA89" s="214">
        <f t="shared" si="47"/>
        <v>0</v>
      </c>
      <c r="AB89" s="266">
        <f t="shared" si="47"/>
        <v>0</v>
      </c>
    </row>
    <row r="90" spans="1:28" hidden="1">
      <c r="A90" s="1261"/>
      <c r="B90" s="299" t="s">
        <v>397</v>
      </c>
      <c r="C90" s="240"/>
      <c r="D90" s="240"/>
      <c r="E90" s="241" t="s">
        <v>273</v>
      </c>
      <c r="F90" s="294"/>
      <c r="G90" s="242"/>
      <c r="H90" s="294"/>
      <c r="I90" s="294"/>
      <c r="J90" s="242"/>
      <c r="K90" s="242"/>
      <c r="L90" s="242"/>
      <c r="M90" s="221"/>
      <c r="N90" s="242"/>
      <c r="O90" s="242"/>
      <c r="P90" s="242"/>
      <c r="Q90" s="242"/>
      <c r="R90" s="242"/>
      <c r="S90" s="243"/>
      <c r="T90" s="295"/>
      <c r="U90" s="296"/>
      <c r="V90" s="224"/>
      <c r="W90" s="225"/>
      <c r="X90" s="225"/>
      <c r="Y90" s="225"/>
      <c r="Z90" s="225"/>
      <c r="AA90" s="225"/>
      <c r="AB90" s="252"/>
    </row>
    <row r="91" spans="1:28" hidden="1">
      <c r="A91" s="1261"/>
      <c r="B91" s="300"/>
      <c r="C91" s="212"/>
      <c r="D91" s="212"/>
      <c r="E91" s="219" t="s">
        <v>274</v>
      </c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1"/>
      <c r="Q91" s="221"/>
      <c r="R91" s="221"/>
      <c r="S91" s="222"/>
      <c r="T91" s="295"/>
      <c r="U91" s="297"/>
      <c r="V91" s="224"/>
      <c r="W91" s="225"/>
      <c r="X91" s="225"/>
      <c r="Y91" s="225"/>
      <c r="Z91" s="225"/>
      <c r="AA91" s="225"/>
      <c r="AB91" s="252"/>
    </row>
    <row r="92" spans="1:28" hidden="1">
      <c r="A92" s="1261"/>
      <c r="B92" s="300"/>
      <c r="C92" s="212"/>
      <c r="D92" s="212"/>
      <c r="E92" s="219" t="s">
        <v>275</v>
      </c>
      <c r="F92" s="221"/>
      <c r="G92" s="221"/>
      <c r="H92" s="221"/>
      <c r="I92" s="221"/>
      <c r="J92" s="221"/>
      <c r="K92" s="221"/>
      <c r="L92" s="221"/>
      <c r="M92" s="221"/>
      <c r="N92" s="221"/>
      <c r="O92" s="221"/>
      <c r="P92" s="221"/>
      <c r="Q92" s="221"/>
      <c r="R92" s="221"/>
      <c r="S92" s="222"/>
      <c r="T92" s="295">
        <f t="shared" ref="T92:T101" si="48">SUM(S92,P92,O92,M92,L92,F92)</f>
        <v>0</v>
      </c>
      <c r="U92" s="297"/>
      <c r="V92" s="224"/>
      <c r="W92" s="225"/>
      <c r="X92" s="225"/>
      <c r="Y92" s="225"/>
      <c r="Z92" s="225"/>
      <c r="AA92" s="225"/>
      <c r="AB92" s="252"/>
    </row>
    <row r="93" spans="1:28" hidden="1">
      <c r="A93" s="1261"/>
      <c r="B93" s="300"/>
      <c r="C93" s="212"/>
      <c r="D93" s="212"/>
      <c r="E93" s="219" t="s">
        <v>276</v>
      </c>
      <c r="F93" s="221"/>
      <c r="G93" s="221"/>
      <c r="H93" s="221"/>
      <c r="I93" s="221"/>
      <c r="J93" s="221"/>
      <c r="K93" s="221"/>
      <c r="L93" s="221"/>
      <c r="M93" s="221"/>
      <c r="N93" s="221"/>
      <c r="O93" s="221"/>
      <c r="P93" s="221"/>
      <c r="Q93" s="221"/>
      <c r="R93" s="221"/>
      <c r="S93" s="222"/>
      <c r="T93" s="295">
        <f t="shared" si="48"/>
        <v>0</v>
      </c>
      <c r="U93" s="297"/>
      <c r="V93" s="224"/>
      <c r="W93" s="225"/>
      <c r="X93" s="225"/>
      <c r="Y93" s="225"/>
      <c r="Z93" s="225"/>
      <c r="AA93" s="225"/>
      <c r="AB93" s="252"/>
    </row>
    <row r="94" spans="1:28" hidden="1">
      <c r="A94" s="1261"/>
      <c r="B94" s="300"/>
      <c r="C94" s="212"/>
      <c r="D94" s="212"/>
      <c r="E94" s="219" t="s">
        <v>277</v>
      </c>
      <c r="F94" s="221"/>
      <c r="G94" s="221"/>
      <c r="H94" s="221"/>
      <c r="I94" s="221"/>
      <c r="J94" s="221"/>
      <c r="K94" s="221"/>
      <c r="L94" s="221"/>
      <c r="M94" s="221"/>
      <c r="N94" s="221"/>
      <c r="O94" s="221"/>
      <c r="P94" s="221"/>
      <c r="Q94" s="221"/>
      <c r="R94" s="221"/>
      <c r="S94" s="222"/>
      <c r="T94" s="295">
        <f t="shared" si="48"/>
        <v>0</v>
      </c>
      <c r="U94" s="297"/>
      <c r="V94" s="224">
        <f t="shared" ref="V94:V101" si="49">ROUNDUP(T94*1/12,-1)</f>
        <v>0</v>
      </c>
      <c r="W94" s="225">
        <f t="shared" ref="W94:W101" si="50">ROUND(T94*4.5%,-1)</f>
        <v>0</v>
      </c>
      <c r="X94" s="225">
        <f t="shared" ref="X94:X101" si="51">ROUNDUP((T94-L94)*2.82%,-1)</f>
        <v>0</v>
      </c>
      <c r="Y94" s="225">
        <f t="shared" ref="Y94:Y101" si="52">ROUNDUP(X94*6.55%,-1)</f>
        <v>0</v>
      </c>
      <c r="Z94" s="225">
        <f t="shared" ref="Z94:Z101" si="53">ROUND(T94*0.8%,-1)</f>
        <v>0</v>
      </c>
      <c r="AA94" s="225">
        <f t="shared" ref="AA94:AA101" si="54">ROUND(T94*0.785%,-1)</f>
        <v>0</v>
      </c>
      <c r="AB94" s="252">
        <f t="shared" ref="AB94:AB101" si="55">SUM(V94:AA94)</f>
        <v>0</v>
      </c>
    </row>
    <row r="95" spans="1:28" hidden="1">
      <c r="A95" s="1261"/>
      <c r="B95" s="300"/>
      <c r="C95" s="212"/>
      <c r="D95" s="212"/>
      <c r="E95" s="219" t="s">
        <v>278</v>
      </c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1"/>
      <c r="Q95" s="221"/>
      <c r="R95" s="221"/>
      <c r="S95" s="222"/>
      <c r="T95" s="295">
        <f t="shared" si="48"/>
        <v>0</v>
      </c>
      <c r="U95" s="297"/>
      <c r="V95" s="224">
        <f t="shared" si="49"/>
        <v>0</v>
      </c>
      <c r="W95" s="225">
        <f t="shared" si="50"/>
        <v>0</v>
      </c>
      <c r="X95" s="225">
        <f t="shared" si="51"/>
        <v>0</v>
      </c>
      <c r="Y95" s="225">
        <f t="shared" si="52"/>
        <v>0</v>
      </c>
      <c r="Z95" s="225">
        <f t="shared" si="53"/>
        <v>0</v>
      </c>
      <c r="AA95" s="225">
        <f t="shared" si="54"/>
        <v>0</v>
      </c>
      <c r="AB95" s="252">
        <f t="shared" si="55"/>
        <v>0</v>
      </c>
    </row>
    <row r="96" spans="1:28" hidden="1">
      <c r="A96" s="1261"/>
      <c r="B96" s="300"/>
      <c r="C96" s="212"/>
      <c r="D96" s="212"/>
      <c r="E96" s="219" t="s">
        <v>279</v>
      </c>
      <c r="F96" s="221"/>
      <c r="G96" s="221"/>
      <c r="H96" s="220"/>
      <c r="I96" s="222"/>
      <c r="J96" s="221"/>
      <c r="K96" s="221"/>
      <c r="L96" s="221"/>
      <c r="M96" s="221"/>
      <c r="N96" s="221"/>
      <c r="O96" s="221"/>
      <c r="P96" s="221"/>
      <c r="Q96" s="221"/>
      <c r="R96" s="221"/>
      <c r="S96" s="222"/>
      <c r="T96" s="295">
        <f t="shared" si="48"/>
        <v>0</v>
      </c>
      <c r="U96" s="297"/>
      <c r="V96" s="224">
        <f t="shared" si="49"/>
        <v>0</v>
      </c>
      <c r="W96" s="225">
        <f t="shared" si="50"/>
        <v>0</v>
      </c>
      <c r="X96" s="225">
        <f t="shared" si="51"/>
        <v>0</v>
      </c>
      <c r="Y96" s="225">
        <f t="shared" si="52"/>
        <v>0</v>
      </c>
      <c r="Z96" s="225">
        <f t="shared" si="53"/>
        <v>0</v>
      </c>
      <c r="AA96" s="225">
        <f t="shared" si="54"/>
        <v>0</v>
      </c>
      <c r="AB96" s="252">
        <f t="shared" si="55"/>
        <v>0</v>
      </c>
    </row>
    <row r="97" spans="1:28" hidden="1">
      <c r="A97" s="1261"/>
      <c r="B97" s="300"/>
      <c r="C97" s="212"/>
      <c r="D97" s="212"/>
      <c r="E97" s="219" t="s">
        <v>280</v>
      </c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1"/>
      <c r="Q97" s="221"/>
      <c r="R97" s="221"/>
      <c r="S97" s="222"/>
      <c r="T97" s="295">
        <f t="shared" si="48"/>
        <v>0</v>
      </c>
      <c r="U97" s="297"/>
      <c r="V97" s="224">
        <f t="shared" si="49"/>
        <v>0</v>
      </c>
      <c r="W97" s="225">
        <f t="shared" si="50"/>
        <v>0</v>
      </c>
      <c r="X97" s="225">
        <f t="shared" si="51"/>
        <v>0</v>
      </c>
      <c r="Y97" s="225">
        <f t="shared" si="52"/>
        <v>0</v>
      </c>
      <c r="Z97" s="225">
        <f t="shared" si="53"/>
        <v>0</v>
      </c>
      <c r="AA97" s="225">
        <f t="shared" si="54"/>
        <v>0</v>
      </c>
      <c r="AB97" s="252">
        <f t="shared" si="55"/>
        <v>0</v>
      </c>
    </row>
    <row r="98" spans="1:28" hidden="1">
      <c r="A98" s="1261"/>
      <c r="B98" s="300"/>
      <c r="C98" s="212"/>
      <c r="D98" s="212"/>
      <c r="E98" s="219" t="s">
        <v>54</v>
      </c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1"/>
      <c r="Q98" s="221"/>
      <c r="R98" s="221"/>
      <c r="S98" s="222"/>
      <c r="T98" s="295">
        <f t="shared" si="48"/>
        <v>0</v>
      </c>
      <c r="U98" s="297"/>
      <c r="V98" s="224">
        <f t="shared" si="49"/>
        <v>0</v>
      </c>
      <c r="W98" s="225">
        <f t="shared" si="50"/>
        <v>0</v>
      </c>
      <c r="X98" s="225">
        <f t="shared" si="51"/>
        <v>0</v>
      </c>
      <c r="Y98" s="225">
        <f t="shared" si="52"/>
        <v>0</v>
      </c>
      <c r="Z98" s="225">
        <f t="shared" si="53"/>
        <v>0</v>
      </c>
      <c r="AA98" s="225">
        <f t="shared" si="54"/>
        <v>0</v>
      </c>
      <c r="AB98" s="252">
        <f t="shared" si="55"/>
        <v>0</v>
      </c>
    </row>
    <row r="99" spans="1:28" hidden="1">
      <c r="A99" s="1261"/>
      <c r="B99" s="300"/>
      <c r="C99" s="212"/>
      <c r="D99" s="212"/>
      <c r="E99" s="219" t="s">
        <v>55</v>
      </c>
      <c r="F99" s="221"/>
      <c r="G99" s="221"/>
      <c r="H99" s="221"/>
      <c r="I99" s="221"/>
      <c r="J99" s="221"/>
      <c r="K99" s="221"/>
      <c r="L99" s="221"/>
      <c r="M99" s="221"/>
      <c r="N99" s="221"/>
      <c r="O99" s="221"/>
      <c r="P99" s="221"/>
      <c r="Q99" s="221"/>
      <c r="R99" s="221"/>
      <c r="S99" s="222"/>
      <c r="T99" s="295">
        <f t="shared" si="48"/>
        <v>0</v>
      </c>
      <c r="U99" s="297"/>
      <c r="V99" s="224">
        <f t="shared" si="49"/>
        <v>0</v>
      </c>
      <c r="W99" s="225">
        <f t="shared" si="50"/>
        <v>0</v>
      </c>
      <c r="X99" s="225">
        <f t="shared" si="51"/>
        <v>0</v>
      </c>
      <c r="Y99" s="225">
        <f t="shared" si="52"/>
        <v>0</v>
      </c>
      <c r="Z99" s="225">
        <f t="shared" si="53"/>
        <v>0</v>
      </c>
      <c r="AA99" s="225">
        <f t="shared" si="54"/>
        <v>0</v>
      </c>
      <c r="AB99" s="252">
        <f t="shared" si="55"/>
        <v>0</v>
      </c>
    </row>
    <row r="100" spans="1:28" hidden="1">
      <c r="A100" s="1261"/>
      <c r="B100" s="300"/>
      <c r="C100" s="212"/>
      <c r="D100" s="212"/>
      <c r="E100" s="219" t="s">
        <v>56</v>
      </c>
      <c r="F100" s="221"/>
      <c r="G100" s="221"/>
      <c r="H100" s="221"/>
      <c r="I100" s="221"/>
      <c r="J100" s="221"/>
      <c r="K100" s="221"/>
      <c r="L100" s="221"/>
      <c r="M100" s="221"/>
      <c r="N100" s="221"/>
      <c r="O100" s="221"/>
      <c r="P100" s="221"/>
      <c r="Q100" s="221"/>
      <c r="R100" s="221"/>
      <c r="S100" s="222"/>
      <c r="T100" s="295">
        <f t="shared" si="48"/>
        <v>0</v>
      </c>
      <c r="U100" s="297"/>
      <c r="V100" s="224">
        <f t="shared" si="49"/>
        <v>0</v>
      </c>
      <c r="W100" s="225">
        <f t="shared" si="50"/>
        <v>0</v>
      </c>
      <c r="X100" s="225">
        <f t="shared" si="51"/>
        <v>0</v>
      </c>
      <c r="Y100" s="225">
        <f t="shared" si="52"/>
        <v>0</v>
      </c>
      <c r="Z100" s="225">
        <f t="shared" si="53"/>
        <v>0</v>
      </c>
      <c r="AA100" s="225">
        <f t="shared" si="54"/>
        <v>0</v>
      </c>
      <c r="AB100" s="252">
        <f t="shared" si="55"/>
        <v>0</v>
      </c>
    </row>
    <row r="101" spans="1:28" hidden="1">
      <c r="A101" s="1261"/>
      <c r="B101" s="298"/>
      <c r="C101" s="255"/>
      <c r="D101" s="255"/>
      <c r="E101" s="256" t="s">
        <v>281</v>
      </c>
      <c r="F101" s="221"/>
      <c r="G101" s="257"/>
      <c r="H101" s="257"/>
      <c r="I101" s="257"/>
      <c r="J101" s="257"/>
      <c r="K101" s="257"/>
      <c r="L101" s="221"/>
      <c r="M101" s="257"/>
      <c r="N101" s="257"/>
      <c r="O101" s="257"/>
      <c r="P101" s="257"/>
      <c r="Q101" s="257"/>
      <c r="R101" s="257"/>
      <c r="S101" s="258"/>
      <c r="T101" s="295">
        <f t="shared" si="48"/>
        <v>0</v>
      </c>
      <c r="U101" s="293"/>
      <c r="V101" s="262">
        <f t="shared" si="49"/>
        <v>0</v>
      </c>
      <c r="W101" s="263">
        <f t="shared" si="50"/>
        <v>0</v>
      </c>
      <c r="X101" s="263">
        <f t="shared" si="51"/>
        <v>0</v>
      </c>
      <c r="Y101" s="263">
        <f t="shared" si="52"/>
        <v>0</v>
      </c>
      <c r="Z101" s="263">
        <f t="shared" si="53"/>
        <v>0</v>
      </c>
      <c r="AA101" s="263">
        <f t="shared" si="54"/>
        <v>0</v>
      </c>
      <c r="AB101" s="264">
        <f t="shared" si="55"/>
        <v>0</v>
      </c>
    </row>
    <row r="102" spans="1:28" ht="18" hidden="1" customHeight="1">
      <c r="A102" s="1261">
        <v>2</v>
      </c>
      <c r="B102" s="298" t="s">
        <v>87</v>
      </c>
      <c r="C102" s="255">
        <v>1</v>
      </c>
      <c r="D102" s="255">
        <v>1</v>
      </c>
      <c r="E102" s="291" t="s">
        <v>86</v>
      </c>
      <c r="F102" s="259">
        <f t="shared" ref="F102:O102" si="56">SUM(F103:F114)</f>
        <v>0</v>
      </c>
      <c r="G102" s="259">
        <f t="shared" si="56"/>
        <v>0</v>
      </c>
      <c r="H102" s="259">
        <f t="shared" si="56"/>
        <v>0</v>
      </c>
      <c r="I102" s="259">
        <f t="shared" si="56"/>
        <v>0</v>
      </c>
      <c r="J102" s="259">
        <f t="shared" si="56"/>
        <v>0</v>
      </c>
      <c r="K102" s="259">
        <f t="shared" si="56"/>
        <v>0</v>
      </c>
      <c r="L102" s="259">
        <f t="shared" si="56"/>
        <v>0</v>
      </c>
      <c r="M102" s="259">
        <f t="shared" si="56"/>
        <v>0</v>
      </c>
      <c r="N102" s="259">
        <f t="shared" si="56"/>
        <v>0</v>
      </c>
      <c r="O102" s="259">
        <f t="shared" si="56"/>
        <v>0</v>
      </c>
      <c r="P102" s="259"/>
      <c r="Q102" s="259">
        <f>SUM(Q103:Q114)</f>
        <v>0</v>
      </c>
      <c r="R102" s="259">
        <f>SUM(R103:R114)</f>
        <v>0</v>
      </c>
      <c r="S102" s="259">
        <f>SUM(S103:S114)</f>
        <v>0</v>
      </c>
      <c r="T102" s="292">
        <f>SUM(T103:T114)</f>
        <v>0</v>
      </c>
      <c r="U102" s="293"/>
      <c r="V102" s="217">
        <f>SUM(V103:V114)</f>
        <v>0</v>
      </c>
      <c r="W102" s="214">
        <f t="shared" ref="W102:AB102" si="57">SUM(W103:W114)</f>
        <v>0</v>
      </c>
      <c r="X102" s="214">
        <f t="shared" si="57"/>
        <v>0</v>
      </c>
      <c r="Y102" s="214">
        <f t="shared" si="57"/>
        <v>0</v>
      </c>
      <c r="Z102" s="244">
        <f t="shared" si="57"/>
        <v>0</v>
      </c>
      <c r="AA102" s="244">
        <f t="shared" si="57"/>
        <v>0</v>
      </c>
      <c r="AB102" s="266">
        <f t="shared" si="57"/>
        <v>0</v>
      </c>
    </row>
    <row r="103" spans="1:28" hidden="1">
      <c r="A103" s="1261"/>
      <c r="B103" s="299" t="s">
        <v>398</v>
      </c>
      <c r="C103" s="240"/>
      <c r="D103" s="240"/>
      <c r="E103" s="241" t="s">
        <v>273</v>
      </c>
      <c r="F103" s="294"/>
      <c r="G103" s="242"/>
      <c r="H103" s="294"/>
      <c r="I103" s="294"/>
      <c r="J103" s="242"/>
      <c r="K103" s="242"/>
      <c r="L103" s="242"/>
      <c r="M103" s="242"/>
      <c r="N103" s="242"/>
      <c r="O103" s="242"/>
      <c r="P103" s="242"/>
      <c r="Q103" s="242"/>
      <c r="R103" s="242"/>
      <c r="S103" s="243"/>
      <c r="T103" s="295"/>
      <c r="U103" s="296"/>
      <c r="V103" s="224"/>
      <c r="W103" s="225"/>
      <c r="X103" s="225"/>
      <c r="Y103" s="225"/>
      <c r="Z103" s="225"/>
      <c r="AA103" s="225"/>
      <c r="AB103" s="252"/>
    </row>
    <row r="104" spans="1:28" hidden="1">
      <c r="A104" s="1261"/>
      <c r="B104" s="300"/>
      <c r="C104" s="212"/>
      <c r="D104" s="212"/>
      <c r="E104" s="219" t="s">
        <v>274</v>
      </c>
      <c r="F104" s="221"/>
      <c r="G104" s="221"/>
      <c r="H104" s="221"/>
      <c r="I104" s="221"/>
      <c r="J104" s="221"/>
      <c r="K104" s="221"/>
      <c r="L104" s="221"/>
      <c r="M104" s="221"/>
      <c r="N104" s="221"/>
      <c r="O104" s="221"/>
      <c r="P104" s="221"/>
      <c r="Q104" s="221"/>
      <c r="R104" s="221"/>
      <c r="S104" s="222"/>
      <c r="T104" s="295"/>
      <c r="U104" s="297"/>
      <c r="V104" s="224"/>
      <c r="W104" s="225"/>
      <c r="X104" s="225"/>
      <c r="Y104" s="225"/>
      <c r="Z104" s="225"/>
      <c r="AA104" s="225"/>
      <c r="AB104" s="252"/>
    </row>
    <row r="105" spans="1:28" hidden="1">
      <c r="A105" s="1261"/>
      <c r="B105" s="300"/>
      <c r="C105" s="212"/>
      <c r="D105" s="212"/>
      <c r="E105" s="219" t="s">
        <v>275</v>
      </c>
      <c r="F105" s="221"/>
      <c r="G105" s="221"/>
      <c r="H105" s="221"/>
      <c r="I105" s="221"/>
      <c r="J105" s="221"/>
      <c r="K105" s="221"/>
      <c r="L105" s="221"/>
      <c r="M105" s="221"/>
      <c r="N105" s="221"/>
      <c r="O105" s="221"/>
      <c r="P105" s="221"/>
      <c r="Q105" s="221"/>
      <c r="R105" s="221"/>
      <c r="S105" s="222"/>
      <c r="T105" s="295"/>
      <c r="U105" s="297"/>
      <c r="V105" s="224"/>
      <c r="W105" s="225"/>
      <c r="X105" s="225"/>
      <c r="Y105" s="225"/>
      <c r="Z105" s="225"/>
      <c r="AA105" s="225"/>
      <c r="AB105" s="252"/>
    </row>
    <row r="106" spans="1:28" hidden="1">
      <c r="A106" s="1261"/>
      <c r="B106" s="300"/>
      <c r="C106" s="212"/>
      <c r="D106" s="212"/>
      <c r="E106" s="219" t="s">
        <v>276</v>
      </c>
      <c r="F106" s="221"/>
      <c r="G106" s="221"/>
      <c r="H106" s="221"/>
      <c r="I106" s="221"/>
      <c r="J106" s="221"/>
      <c r="K106" s="221"/>
      <c r="L106" s="221"/>
      <c r="M106" s="221"/>
      <c r="N106" s="221"/>
      <c r="O106" s="221"/>
      <c r="P106" s="221"/>
      <c r="Q106" s="221"/>
      <c r="R106" s="221"/>
      <c r="S106" s="222"/>
      <c r="T106" s="295"/>
      <c r="U106" s="297"/>
      <c r="V106" s="224"/>
      <c r="W106" s="225"/>
      <c r="X106" s="225"/>
      <c r="Y106" s="225"/>
      <c r="Z106" s="225"/>
      <c r="AA106" s="225"/>
      <c r="AB106" s="252"/>
    </row>
    <row r="107" spans="1:28" hidden="1">
      <c r="A107" s="1261"/>
      <c r="B107" s="300"/>
      <c r="C107" s="212"/>
      <c r="D107" s="212"/>
      <c r="E107" s="219" t="s">
        <v>277</v>
      </c>
      <c r="F107" s="221"/>
      <c r="G107" s="221"/>
      <c r="H107" s="221"/>
      <c r="I107" s="221"/>
      <c r="J107" s="221"/>
      <c r="K107" s="221"/>
      <c r="L107" s="221"/>
      <c r="M107" s="221"/>
      <c r="N107" s="221"/>
      <c r="O107" s="221"/>
      <c r="P107" s="221"/>
      <c r="Q107" s="221"/>
      <c r="R107" s="221"/>
      <c r="S107" s="222"/>
      <c r="T107" s="295"/>
      <c r="U107" s="297"/>
      <c r="V107" s="224"/>
      <c r="W107" s="225"/>
      <c r="X107" s="225"/>
      <c r="Y107" s="225"/>
      <c r="Z107" s="225"/>
      <c r="AA107" s="225"/>
      <c r="AB107" s="252"/>
    </row>
    <row r="108" spans="1:28" hidden="1">
      <c r="A108" s="1261"/>
      <c r="B108" s="300"/>
      <c r="C108" s="212"/>
      <c r="D108" s="212"/>
      <c r="E108" s="219" t="s">
        <v>278</v>
      </c>
      <c r="F108" s="221"/>
      <c r="G108" s="221"/>
      <c r="H108" s="221"/>
      <c r="I108" s="221"/>
      <c r="J108" s="221"/>
      <c r="K108" s="221"/>
      <c r="L108" s="221"/>
      <c r="M108" s="221"/>
      <c r="N108" s="221"/>
      <c r="O108" s="221"/>
      <c r="P108" s="221"/>
      <c r="Q108" s="221"/>
      <c r="R108" s="221"/>
      <c r="S108" s="222"/>
      <c r="T108" s="295">
        <f t="shared" ref="T108:T114" si="58">SUM(S108,P108,O108,M108,L108,F108)</f>
        <v>0</v>
      </c>
      <c r="U108" s="297"/>
      <c r="V108" s="224">
        <f t="shared" ref="V108:V114" si="59">ROUNDUP(T108*1/12,-1)</f>
        <v>0</v>
      </c>
      <c r="W108" s="225">
        <f t="shared" ref="W108:W114" si="60">ROUND(T108*4.5%,-1)</f>
        <v>0</v>
      </c>
      <c r="X108" s="225">
        <f t="shared" ref="X108:X114" si="61">ROUNDUP((T108-L108)*2.82%,-1)</f>
        <v>0</v>
      </c>
      <c r="Y108" s="225">
        <f t="shared" ref="Y108:Y114" si="62">ROUNDUP(X108*6.55%,-1)</f>
        <v>0</v>
      </c>
      <c r="Z108" s="225">
        <f t="shared" ref="Z108:Z114" si="63">ROUND(T108*0.8%,-1)</f>
        <v>0</v>
      </c>
      <c r="AA108" s="225">
        <f t="shared" ref="AA108:AA114" si="64">ROUND(T108*0.785%,-1)</f>
        <v>0</v>
      </c>
      <c r="AB108" s="252">
        <f t="shared" ref="AB108:AB114" si="65">SUM(V108:AA108)</f>
        <v>0</v>
      </c>
    </row>
    <row r="109" spans="1:28" hidden="1">
      <c r="A109" s="1261"/>
      <c r="B109" s="300"/>
      <c r="C109" s="212"/>
      <c r="D109" s="212"/>
      <c r="E109" s="219" t="s">
        <v>279</v>
      </c>
      <c r="F109" s="221"/>
      <c r="G109" s="221"/>
      <c r="H109" s="220"/>
      <c r="I109" s="222"/>
      <c r="J109" s="221"/>
      <c r="K109" s="221"/>
      <c r="L109" s="221"/>
      <c r="M109" s="221"/>
      <c r="N109" s="221"/>
      <c r="O109" s="221"/>
      <c r="P109" s="221"/>
      <c r="Q109" s="221"/>
      <c r="R109" s="221"/>
      <c r="S109" s="222"/>
      <c r="T109" s="295">
        <f t="shared" si="58"/>
        <v>0</v>
      </c>
      <c r="U109" s="297"/>
      <c r="V109" s="224">
        <f t="shared" si="59"/>
        <v>0</v>
      </c>
      <c r="W109" s="225">
        <f t="shared" si="60"/>
        <v>0</v>
      </c>
      <c r="X109" s="225">
        <f t="shared" si="61"/>
        <v>0</v>
      </c>
      <c r="Y109" s="225">
        <f t="shared" si="62"/>
        <v>0</v>
      </c>
      <c r="Z109" s="225">
        <f t="shared" si="63"/>
        <v>0</v>
      </c>
      <c r="AA109" s="225">
        <f t="shared" si="64"/>
        <v>0</v>
      </c>
      <c r="AB109" s="252">
        <f t="shared" si="65"/>
        <v>0</v>
      </c>
    </row>
    <row r="110" spans="1:28" hidden="1">
      <c r="A110" s="1261"/>
      <c r="B110" s="300"/>
      <c r="C110" s="212"/>
      <c r="D110" s="212"/>
      <c r="E110" s="219" t="s">
        <v>280</v>
      </c>
      <c r="F110" s="221"/>
      <c r="G110" s="221"/>
      <c r="H110" s="221"/>
      <c r="I110" s="221"/>
      <c r="J110" s="221"/>
      <c r="K110" s="221"/>
      <c r="L110" s="221"/>
      <c r="M110" s="221"/>
      <c r="N110" s="221"/>
      <c r="O110" s="221"/>
      <c r="P110" s="221"/>
      <c r="Q110" s="221"/>
      <c r="R110" s="221"/>
      <c r="S110" s="222"/>
      <c r="T110" s="295">
        <f t="shared" si="58"/>
        <v>0</v>
      </c>
      <c r="U110" s="297"/>
      <c r="V110" s="224">
        <f t="shared" si="59"/>
        <v>0</v>
      </c>
      <c r="W110" s="225">
        <f t="shared" si="60"/>
        <v>0</v>
      </c>
      <c r="X110" s="225">
        <f t="shared" si="61"/>
        <v>0</v>
      </c>
      <c r="Y110" s="225">
        <f t="shared" si="62"/>
        <v>0</v>
      </c>
      <c r="Z110" s="225">
        <f t="shared" si="63"/>
        <v>0</v>
      </c>
      <c r="AA110" s="225">
        <f t="shared" si="64"/>
        <v>0</v>
      </c>
      <c r="AB110" s="252">
        <f t="shared" si="65"/>
        <v>0</v>
      </c>
    </row>
    <row r="111" spans="1:28" hidden="1">
      <c r="A111" s="1261"/>
      <c r="B111" s="300"/>
      <c r="C111" s="212"/>
      <c r="D111" s="212"/>
      <c r="E111" s="219" t="s">
        <v>54</v>
      </c>
      <c r="F111" s="221"/>
      <c r="G111" s="221"/>
      <c r="H111" s="221"/>
      <c r="I111" s="221"/>
      <c r="J111" s="221"/>
      <c r="K111" s="221"/>
      <c r="L111" s="221"/>
      <c r="M111" s="221"/>
      <c r="N111" s="221"/>
      <c r="O111" s="221"/>
      <c r="P111" s="221"/>
      <c r="Q111" s="221"/>
      <c r="R111" s="221"/>
      <c r="S111" s="222"/>
      <c r="T111" s="295">
        <f t="shared" si="58"/>
        <v>0</v>
      </c>
      <c r="U111" s="297"/>
      <c r="V111" s="224">
        <f t="shared" si="59"/>
        <v>0</v>
      </c>
      <c r="W111" s="225">
        <f t="shared" si="60"/>
        <v>0</v>
      </c>
      <c r="X111" s="225">
        <f t="shared" si="61"/>
        <v>0</v>
      </c>
      <c r="Y111" s="225">
        <f t="shared" si="62"/>
        <v>0</v>
      </c>
      <c r="Z111" s="225">
        <f t="shared" si="63"/>
        <v>0</v>
      </c>
      <c r="AA111" s="225">
        <f t="shared" si="64"/>
        <v>0</v>
      </c>
      <c r="AB111" s="252">
        <f t="shared" si="65"/>
        <v>0</v>
      </c>
    </row>
    <row r="112" spans="1:28" hidden="1">
      <c r="A112" s="1261"/>
      <c r="B112" s="300"/>
      <c r="C112" s="212"/>
      <c r="D112" s="212"/>
      <c r="E112" s="219" t="s">
        <v>55</v>
      </c>
      <c r="F112" s="221"/>
      <c r="G112" s="221"/>
      <c r="H112" s="221"/>
      <c r="I112" s="221"/>
      <c r="J112" s="221"/>
      <c r="K112" s="221"/>
      <c r="L112" s="221"/>
      <c r="M112" s="221"/>
      <c r="N112" s="221"/>
      <c r="O112" s="221"/>
      <c r="P112" s="221"/>
      <c r="Q112" s="221"/>
      <c r="R112" s="221"/>
      <c r="S112" s="222"/>
      <c r="T112" s="295">
        <f t="shared" si="58"/>
        <v>0</v>
      </c>
      <c r="U112" s="297"/>
      <c r="V112" s="224">
        <f t="shared" si="59"/>
        <v>0</v>
      </c>
      <c r="W112" s="225">
        <f t="shared" si="60"/>
        <v>0</v>
      </c>
      <c r="X112" s="225">
        <f t="shared" si="61"/>
        <v>0</v>
      </c>
      <c r="Y112" s="225">
        <f t="shared" si="62"/>
        <v>0</v>
      </c>
      <c r="Z112" s="225">
        <f t="shared" si="63"/>
        <v>0</v>
      </c>
      <c r="AA112" s="225">
        <f t="shared" si="64"/>
        <v>0</v>
      </c>
      <c r="AB112" s="252">
        <f t="shared" si="65"/>
        <v>0</v>
      </c>
    </row>
    <row r="113" spans="1:28" hidden="1">
      <c r="A113" s="1261"/>
      <c r="B113" s="300"/>
      <c r="C113" s="212"/>
      <c r="D113" s="212"/>
      <c r="E113" s="219" t="s">
        <v>56</v>
      </c>
      <c r="F113" s="221"/>
      <c r="G113" s="221"/>
      <c r="H113" s="221"/>
      <c r="I113" s="221"/>
      <c r="J113" s="221"/>
      <c r="K113" s="221"/>
      <c r="L113" s="221"/>
      <c r="M113" s="221"/>
      <c r="N113" s="221"/>
      <c r="O113" s="221"/>
      <c r="P113" s="221"/>
      <c r="Q113" s="221"/>
      <c r="R113" s="221"/>
      <c r="S113" s="222"/>
      <c r="T113" s="295">
        <f t="shared" si="58"/>
        <v>0</v>
      </c>
      <c r="U113" s="297"/>
      <c r="V113" s="224">
        <f t="shared" si="59"/>
        <v>0</v>
      </c>
      <c r="W113" s="225">
        <f t="shared" si="60"/>
        <v>0</v>
      </c>
      <c r="X113" s="225">
        <f t="shared" si="61"/>
        <v>0</v>
      </c>
      <c r="Y113" s="225">
        <f t="shared" si="62"/>
        <v>0</v>
      </c>
      <c r="Z113" s="225">
        <f t="shared" si="63"/>
        <v>0</v>
      </c>
      <c r="AA113" s="225">
        <f t="shared" si="64"/>
        <v>0</v>
      </c>
      <c r="AB113" s="252">
        <f t="shared" si="65"/>
        <v>0</v>
      </c>
    </row>
    <row r="114" spans="1:28" hidden="1">
      <c r="A114" s="1262"/>
      <c r="B114" s="298"/>
      <c r="C114" s="255"/>
      <c r="D114" s="255"/>
      <c r="E114" s="256" t="s">
        <v>281</v>
      </c>
      <c r="F114" s="221"/>
      <c r="G114" s="257"/>
      <c r="H114" s="257"/>
      <c r="I114" s="257"/>
      <c r="J114" s="257"/>
      <c r="K114" s="257"/>
      <c r="L114" s="221"/>
      <c r="M114" s="257"/>
      <c r="N114" s="257"/>
      <c r="O114" s="257"/>
      <c r="P114" s="257"/>
      <c r="Q114" s="257"/>
      <c r="R114" s="257"/>
      <c r="S114" s="258"/>
      <c r="T114" s="295">
        <f t="shared" si="58"/>
        <v>0</v>
      </c>
      <c r="U114" s="293"/>
      <c r="V114" s="262">
        <f t="shared" si="59"/>
        <v>0</v>
      </c>
      <c r="W114" s="263">
        <f t="shared" si="60"/>
        <v>0</v>
      </c>
      <c r="X114" s="263">
        <f t="shared" si="61"/>
        <v>0</v>
      </c>
      <c r="Y114" s="263">
        <f t="shared" si="62"/>
        <v>0</v>
      </c>
      <c r="Z114" s="263">
        <f t="shared" si="63"/>
        <v>0</v>
      </c>
      <c r="AA114" s="263">
        <f t="shared" si="64"/>
        <v>0</v>
      </c>
      <c r="AB114" s="264">
        <f t="shared" si="65"/>
        <v>0</v>
      </c>
    </row>
    <row r="115" spans="1:28" ht="18" customHeight="1">
      <c r="A115" s="1263">
        <v>1</v>
      </c>
      <c r="B115" s="298" t="s">
        <v>399</v>
      </c>
      <c r="C115" s="255">
        <v>1</v>
      </c>
      <c r="D115" s="255">
        <v>1</v>
      </c>
      <c r="E115" s="291" t="s">
        <v>520</v>
      </c>
      <c r="F115" s="259">
        <f>SUM(F116:F127)</f>
        <v>9600000</v>
      </c>
      <c r="G115" s="259">
        <f>SUM(G116:G127)</f>
        <v>0</v>
      </c>
      <c r="H115" s="259">
        <f>SUM(H116:H127)</f>
        <v>0</v>
      </c>
      <c r="I115" s="259">
        <f t="shared" ref="I115:O115" si="66">SUM(I116:I127)</f>
        <v>0</v>
      </c>
      <c r="J115" s="259">
        <f t="shared" si="66"/>
        <v>0</v>
      </c>
      <c r="K115" s="259">
        <f t="shared" si="66"/>
        <v>0</v>
      </c>
      <c r="L115" s="259">
        <f t="shared" si="66"/>
        <v>0</v>
      </c>
      <c r="M115" s="259">
        <f t="shared" si="66"/>
        <v>0</v>
      </c>
      <c r="N115" s="259">
        <f t="shared" si="66"/>
        <v>0</v>
      </c>
      <c r="O115" s="259">
        <f t="shared" si="66"/>
        <v>0</v>
      </c>
      <c r="P115" s="259"/>
      <c r="Q115" s="259">
        <f>SUM(Q116:Q127)</f>
        <v>0</v>
      </c>
      <c r="R115" s="259">
        <f>SUM(R116:R127)</f>
        <v>0</v>
      </c>
      <c r="S115" s="259"/>
      <c r="T115" s="292"/>
      <c r="U115" s="293"/>
      <c r="V115" s="217">
        <f>SUM(V116:V127)</f>
        <v>0</v>
      </c>
      <c r="W115" s="214">
        <f t="shared" ref="W115:AB115" si="67">SUM(W116:W127)</f>
        <v>0</v>
      </c>
      <c r="X115" s="214">
        <f t="shared" si="67"/>
        <v>0</v>
      </c>
      <c r="Y115" s="214">
        <f t="shared" si="67"/>
        <v>0</v>
      </c>
      <c r="Z115" s="244">
        <f t="shared" si="67"/>
        <v>0</v>
      </c>
      <c r="AA115" s="244">
        <f t="shared" si="67"/>
        <v>0</v>
      </c>
      <c r="AB115" s="266">
        <f t="shared" si="67"/>
        <v>0</v>
      </c>
    </row>
    <row r="116" spans="1:28">
      <c r="A116" s="1255"/>
      <c r="B116" s="299" t="s">
        <v>407</v>
      </c>
      <c r="C116" s="240"/>
      <c r="D116" s="240"/>
      <c r="E116" s="241" t="s">
        <v>273</v>
      </c>
      <c r="F116" s="294">
        <v>800000</v>
      </c>
      <c r="G116" s="242">
        <v>0</v>
      </c>
      <c r="H116" s="294"/>
      <c r="I116" s="294" t="s">
        <v>60</v>
      </c>
      <c r="J116" s="242">
        <v>0</v>
      </c>
      <c r="K116" s="242">
        <v>0</v>
      </c>
      <c r="L116" s="242">
        <v>0</v>
      </c>
      <c r="M116" s="242">
        <v>0</v>
      </c>
      <c r="N116" s="242">
        <v>0</v>
      </c>
      <c r="O116" s="242">
        <v>0</v>
      </c>
      <c r="P116" s="242"/>
      <c r="Q116" s="242">
        <v>0</v>
      </c>
      <c r="R116" s="242"/>
      <c r="S116" s="243"/>
      <c r="T116" s="295">
        <f t="shared" ref="T116:T127" si="68">SUM(S116,P116,O116,M116,F116)</f>
        <v>800000</v>
      </c>
      <c r="U116" s="296"/>
      <c r="V116" s="224"/>
      <c r="W116" s="225"/>
      <c r="X116" s="225"/>
      <c r="Y116" s="225"/>
      <c r="Z116" s="225"/>
      <c r="AA116" s="225"/>
      <c r="AB116" s="252">
        <f t="shared" ref="AB116:AB127" si="69">SUM(V116:AA116)</f>
        <v>0</v>
      </c>
    </row>
    <row r="117" spans="1:28">
      <c r="A117" s="1255"/>
      <c r="B117" s="300"/>
      <c r="C117" s="212"/>
      <c r="D117" s="212"/>
      <c r="E117" s="219" t="s">
        <v>274</v>
      </c>
      <c r="F117" s="221">
        <f>F116</f>
        <v>800000</v>
      </c>
      <c r="G117" s="221">
        <v>0</v>
      </c>
      <c r="H117" s="221">
        <v>0</v>
      </c>
      <c r="I117" s="221" t="str">
        <f>I116</f>
        <v>-</v>
      </c>
      <c r="J117" s="221">
        <v>0</v>
      </c>
      <c r="K117" s="221">
        <f>K116</f>
        <v>0</v>
      </c>
      <c r="L117" s="221">
        <f>L116</f>
        <v>0</v>
      </c>
      <c r="M117" s="221"/>
      <c r="N117" s="221">
        <f>N116</f>
        <v>0</v>
      </c>
      <c r="O117" s="221">
        <f>O116</f>
        <v>0</v>
      </c>
      <c r="P117" s="221">
        <v>0</v>
      </c>
      <c r="Q117" s="221">
        <f>P117*56</f>
        <v>0</v>
      </c>
      <c r="R117" s="221"/>
      <c r="S117" s="222"/>
      <c r="T117" s="295">
        <f t="shared" si="68"/>
        <v>800000</v>
      </c>
      <c r="U117" s="297"/>
      <c r="V117" s="224"/>
      <c r="W117" s="225"/>
      <c r="X117" s="225"/>
      <c r="Y117" s="225"/>
      <c r="Z117" s="225"/>
      <c r="AA117" s="225"/>
      <c r="AB117" s="252">
        <f t="shared" si="69"/>
        <v>0</v>
      </c>
    </row>
    <row r="118" spans="1:28">
      <c r="A118" s="1255"/>
      <c r="B118" s="300"/>
      <c r="C118" s="212"/>
      <c r="D118" s="212"/>
      <c r="E118" s="219" t="s">
        <v>275</v>
      </c>
      <c r="F118" s="221">
        <f t="shared" ref="F118:F126" si="70">F117</f>
        <v>800000</v>
      </c>
      <c r="G118" s="221"/>
      <c r="H118" s="221">
        <v>0</v>
      </c>
      <c r="I118" s="221" t="str">
        <f>I116</f>
        <v>-</v>
      </c>
      <c r="J118" s="221">
        <v>0</v>
      </c>
      <c r="K118" s="221"/>
      <c r="L118" s="221"/>
      <c r="M118" s="221" t="s">
        <v>60</v>
      </c>
      <c r="N118" s="221"/>
      <c r="O118" s="221">
        <f t="shared" ref="O118:O123" si="71">O117</f>
        <v>0</v>
      </c>
      <c r="P118" s="221">
        <v>0</v>
      </c>
      <c r="Q118" s="221">
        <f t="shared" ref="Q118:Q126" si="72">P118*56</f>
        <v>0</v>
      </c>
      <c r="R118" s="221"/>
      <c r="S118" s="222"/>
      <c r="T118" s="295">
        <f t="shared" si="68"/>
        <v>800000</v>
      </c>
      <c r="U118" s="297"/>
      <c r="V118" s="224"/>
      <c r="W118" s="225"/>
      <c r="X118" s="225"/>
      <c r="Y118" s="225"/>
      <c r="Z118" s="225"/>
      <c r="AA118" s="225"/>
      <c r="AB118" s="252">
        <f t="shared" si="69"/>
        <v>0</v>
      </c>
    </row>
    <row r="119" spans="1:28">
      <c r="A119" s="1255"/>
      <c r="B119" s="300"/>
      <c r="C119" s="212"/>
      <c r="D119" s="212"/>
      <c r="E119" s="219" t="s">
        <v>276</v>
      </c>
      <c r="F119" s="221">
        <f t="shared" si="70"/>
        <v>800000</v>
      </c>
      <c r="G119" s="221">
        <v>0</v>
      </c>
      <c r="H119" s="221">
        <v>0</v>
      </c>
      <c r="I119" s="221" t="str">
        <f>I116</f>
        <v>-</v>
      </c>
      <c r="J119" s="221"/>
      <c r="K119" s="221"/>
      <c r="L119" s="221"/>
      <c r="M119" s="221">
        <v>0</v>
      </c>
      <c r="N119" s="221"/>
      <c r="O119" s="221">
        <f t="shared" si="71"/>
        <v>0</v>
      </c>
      <c r="P119" s="221">
        <v>0</v>
      </c>
      <c r="Q119" s="221">
        <f t="shared" si="72"/>
        <v>0</v>
      </c>
      <c r="R119" s="221"/>
      <c r="S119" s="222"/>
      <c r="T119" s="295">
        <f t="shared" si="68"/>
        <v>800000</v>
      </c>
      <c r="U119" s="297"/>
      <c r="V119" s="224"/>
      <c r="W119" s="225"/>
      <c r="X119" s="225"/>
      <c r="Y119" s="225"/>
      <c r="Z119" s="225"/>
      <c r="AA119" s="225"/>
      <c r="AB119" s="252">
        <f t="shared" si="69"/>
        <v>0</v>
      </c>
    </row>
    <row r="120" spans="1:28">
      <c r="A120" s="1255"/>
      <c r="B120" s="300"/>
      <c r="C120" s="212"/>
      <c r="D120" s="212"/>
      <c r="E120" s="219" t="s">
        <v>277</v>
      </c>
      <c r="F120" s="221">
        <f t="shared" si="70"/>
        <v>800000</v>
      </c>
      <c r="G120" s="221">
        <v>0</v>
      </c>
      <c r="H120" s="221">
        <v>0</v>
      </c>
      <c r="I120" s="221" t="str">
        <f>I116</f>
        <v>-</v>
      </c>
      <c r="J120" s="221"/>
      <c r="K120" s="221"/>
      <c r="L120" s="221"/>
      <c r="M120" s="221">
        <v>0</v>
      </c>
      <c r="N120" s="221"/>
      <c r="O120" s="221">
        <f t="shared" si="71"/>
        <v>0</v>
      </c>
      <c r="P120" s="221">
        <v>0</v>
      </c>
      <c r="Q120" s="221">
        <f t="shared" si="72"/>
        <v>0</v>
      </c>
      <c r="R120" s="221"/>
      <c r="S120" s="222"/>
      <c r="T120" s="295">
        <f t="shared" si="68"/>
        <v>800000</v>
      </c>
      <c r="U120" s="297"/>
      <c r="V120" s="224"/>
      <c r="W120" s="225"/>
      <c r="X120" s="225"/>
      <c r="Y120" s="225"/>
      <c r="Z120" s="225"/>
      <c r="AA120" s="225"/>
      <c r="AB120" s="252">
        <f t="shared" si="69"/>
        <v>0</v>
      </c>
    </row>
    <row r="121" spans="1:28">
      <c r="A121" s="1255"/>
      <c r="B121" s="300"/>
      <c r="C121" s="212"/>
      <c r="D121" s="212"/>
      <c r="E121" s="219" t="s">
        <v>278</v>
      </c>
      <c r="F121" s="221">
        <f t="shared" si="70"/>
        <v>800000</v>
      </c>
      <c r="G121" s="221"/>
      <c r="H121" s="221">
        <v>0</v>
      </c>
      <c r="I121" s="221" t="str">
        <f>I116</f>
        <v>-</v>
      </c>
      <c r="J121" s="221"/>
      <c r="K121" s="221"/>
      <c r="L121" s="221"/>
      <c r="M121" s="221">
        <v>0</v>
      </c>
      <c r="N121" s="221"/>
      <c r="O121" s="221">
        <f t="shared" si="71"/>
        <v>0</v>
      </c>
      <c r="P121" s="221">
        <v>0</v>
      </c>
      <c r="Q121" s="221">
        <f t="shared" si="72"/>
        <v>0</v>
      </c>
      <c r="R121" s="221"/>
      <c r="S121" s="222"/>
      <c r="T121" s="295">
        <f t="shared" si="68"/>
        <v>800000</v>
      </c>
      <c r="U121" s="297"/>
      <c r="V121" s="224"/>
      <c r="W121" s="225"/>
      <c r="X121" s="225"/>
      <c r="Y121" s="225"/>
      <c r="Z121" s="225"/>
      <c r="AA121" s="225"/>
      <c r="AB121" s="252">
        <f t="shared" si="69"/>
        <v>0</v>
      </c>
    </row>
    <row r="122" spans="1:28">
      <c r="A122" s="1255"/>
      <c r="B122" s="300"/>
      <c r="C122" s="212"/>
      <c r="D122" s="212"/>
      <c r="E122" s="219" t="s">
        <v>279</v>
      </c>
      <c r="F122" s="221">
        <f t="shared" si="70"/>
        <v>800000</v>
      </c>
      <c r="G122" s="221">
        <v>0</v>
      </c>
      <c r="H122" s="220"/>
      <c r="I122" s="222" t="s">
        <v>60</v>
      </c>
      <c r="J122" s="221"/>
      <c r="K122" s="221"/>
      <c r="L122" s="221"/>
      <c r="M122" s="221">
        <v>0</v>
      </c>
      <c r="N122" s="221"/>
      <c r="O122" s="221">
        <f t="shared" si="71"/>
        <v>0</v>
      </c>
      <c r="P122" s="221">
        <v>0</v>
      </c>
      <c r="Q122" s="221">
        <f t="shared" si="72"/>
        <v>0</v>
      </c>
      <c r="R122" s="221"/>
      <c r="S122" s="222"/>
      <c r="T122" s="295">
        <f t="shared" si="68"/>
        <v>800000</v>
      </c>
      <c r="U122" s="297"/>
      <c r="V122" s="224"/>
      <c r="W122" s="225"/>
      <c r="X122" s="225"/>
      <c r="Y122" s="225"/>
      <c r="Z122" s="225"/>
      <c r="AA122" s="225"/>
      <c r="AB122" s="252">
        <f t="shared" si="69"/>
        <v>0</v>
      </c>
    </row>
    <row r="123" spans="1:28">
      <c r="A123" s="1255"/>
      <c r="B123" s="300"/>
      <c r="C123" s="212"/>
      <c r="D123" s="212"/>
      <c r="E123" s="219" t="s">
        <v>280</v>
      </c>
      <c r="F123" s="221">
        <f t="shared" si="70"/>
        <v>800000</v>
      </c>
      <c r="G123" s="221">
        <v>0</v>
      </c>
      <c r="H123" s="221">
        <v>0</v>
      </c>
      <c r="I123" s="221" t="str">
        <f>I122</f>
        <v>-</v>
      </c>
      <c r="J123" s="221"/>
      <c r="K123" s="221"/>
      <c r="L123" s="221"/>
      <c r="M123" s="221">
        <v>0</v>
      </c>
      <c r="N123" s="221"/>
      <c r="O123" s="221">
        <f t="shared" si="71"/>
        <v>0</v>
      </c>
      <c r="P123" s="221">
        <v>0</v>
      </c>
      <c r="Q123" s="221">
        <f t="shared" si="72"/>
        <v>0</v>
      </c>
      <c r="R123" s="221"/>
      <c r="S123" s="222"/>
      <c r="T123" s="295">
        <f t="shared" si="68"/>
        <v>800000</v>
      </c>
      <c r="U123" s="297"/>
      <c r="V123" s="224"/>
      <c r="W123" s="225"/>
      <c r="X123" s="225"/>
      <c r="Y123" s="225"/>
      <c r="Z123" s="225"/>
      <c r="AA123" s="225"/>
      <c r="AB123" s="252">
        <f t="shared" si="69"/>
        <v>0</v>
      </c>
    </row>
    <row r="124" spans="1:28">
      <c r="A124" s="1255"/>
      <c r="B124" s="300"/>
      <c r="C124" s="212"/>
      <c r="D124" s="212"/>
      <c r="E124" s="219" t="s">
        <v>54</v>
      </c>
      <c r="F124" s="221">
        <f t="shared" si="70"/>
        <v>800000</v>
      </c>
      <c r="G124" s="221"/>
      <c r="H124" s="221">
        <v>0</v>
      </c>
      <c r="I124" s="221" t="str">
        <f>I122</f>
        <v>-</v>
      </c>
      <c r="J124" s="221"/>
      <c r="K124" s="221"/>
      <c r="L124" s="221"/>
      <c r="M124" s="221"/>
      <c r="N124" s="221"/>
      <c r="O124" s="221">
        <v>0</v>
      </c>
      <c r="P124" s="221">
        <v>0</v>
      </c>
      <c r="Q124" s="221">
        <f t="shared" si="72"/>
        <v>0</v>
      </c>
      <c r="R124" s="221"/>
      <c r="S124" s="222"/>
      <c r="T124" s="295">
        <f t="shared" si="68"/>
        <v>800000</v>
      </c>
      <c r="U124" s="297"/>
      <c r="V124" s="224"/>
      <c r="W124" s="225"/>
      <c r="X124" s="225"/>
      <c r="Y124" s="225"/>
      <c r="Z124" s="225"/>
      <c r="AA124" s="225"/>
      <c r="AB124" s="252">
        <f t="shared" si="69"/>
        <v>0</v>
      </c>
    </row>
    <row r="125" spans="1:28">
      <c r="A125" s="1255"/>
      <c r="B125" s="300"/>
      <c r="C125" s="212"/>
      <c r="D125" s="212"/>
      <c r="E125" s="219" t="s">
        <v>55</v>
      </c>
      <c r="F125" s="221">
        <f t="shared" si="70"/>
        <v>800000</v>
      </c>
      <c r="G125" s="221">
        <v>0</v>
      </c>
      <c r="H125" s="221">
        <v>0</v>
      </c>
      <c r="I125" s="221" t="str">
        <f>I122</f>
        <v>-</v>
      </c>
      <c r="J125" s="221"/>
      <c r="K125" s="221"/>
      <c r="L125" s="221"/>
      <c r="M125" s="221">
        <v>0</v>
      </c>
      <c r="N125" s="221"/>
      <c r="O125" s="221">
        <f>O124</f>
        <v>0</v>
      </c>
      <c r="P125" s="221">
        <v>0</v>
      </c>
      <c r="Q125" s="221">
        <f t="shared" si="72"/>
        <v>0</v>
      </c>
      <c r="R125" s="221"/>
      <c r="S125" s="222"/>
      <c r="T125" s="295">
        <f t="shared" si="68"/>
        <v>800000</v>
      </c>
      <c r="U125" s="297"/>
      <c r="V125" s="224"/>
      <c r="W125" s="225"/>
      <c r="X125" s="225"/>
      <c r="Y125" s="225"/>
      <c r="Z125" s="225"/>
      <c r="AA125" s="225"/>
      <c r="AB125" s="252">
        <f t="shared" si="69"/>
        <v>0</v>
      </c>
    </row>
    <row r="126" spans="1:28">
      <c r="A126" s="1255"/>
      <c r="B126" s="300"/>
      <c r="C126" s="212"/>
      <c r="D126" s="212"/>
      <c r="E126" s="219" t="s">
        <v>56</v>
      </c>
      <c r="F126" s="221">
        <f t="shared" si="70"/>
        <v>800000</v>
      </c>
      <c r="G126" s="221">
        <v>0</v>
      </c>
      <c r="H126" s="221">
        <v>0</v>
      </c>
      <c r="I126" s="221" t="str">
        <f>I122</f>
        <v>-</v>
      </c>
      <c r="J126" s="221"/>
      <c r="K126" s="221"/>
      <c r="L126" s="221"/>
      <c r="M126" s="221">
        <v>0</v>
      </c>
      <c r="N126" s="221">
        <f>N125</f>
        <v>0</v>
      </c>
      <c r="O126" s="221">
        <f>O125</f>
        <v>0</v>
      </c>
      <c r="P126" s="221">
        <v>0</v>
      </c>
      <c r="Q126" s="221">
        <f t="shared" si="72"/>
        <v>0</v>
      </c>
      <c r="R126" s="221"/>
      <c r="S126" s="222"/>
      <c r="T126" s="295">
        <f t="shared" si="68"/>
        <v>800000</v>
      </c>
      <c r="U126" s="297"/>
      <c r="V126" s="224"/>
      <c r="W126" s="225"/>
      <c r="X126" s="225"/>
      <c r="Y126" s="225"/>
      <c r="Z126" s="225"/>
      <c r="AA126" s="225"/>
      <c r="AB126" s="252">
        <f t="shared" si="69"/>
        <v>0</v>
      </c>
    </row>
    <row r="127" spans="1:28" ht="14.25" thickBot="1">
      <c r="A127" s="1256"/>
      <c r="B127" s="301"/>
      <c r="C127" s="228"/>
      <c r="D127" s="228"/>
      <c r="E127" s="229" t="s">
        <v>281</v>
      </c>
      <c r="F127" s="230">
        <v>800000</v>
      </c>
      <c r="G127" s="230"/>
      <c r="H127" s="230">
        <v>0</v>
      </c>
      <c r="I127" s="230" t="str">
        <f>I122</f>
        <v>-</v>
      </c>
      <c r="J127" s="230"/>
      <c r="K127" s="230">
        <f>K126</f>
        <v>0</v>
      </c>
      <c r="L127" s="230"/>
      <c r="M127" s="230">
        <v>0</v>
      </c>
      <c r="N127" s="230">
        <f>N126</f>
        <v>0</v>
      </c>
      <c r="O127" s="230">
        <f>O126</f>
        <v>0</v>
      </c>
      <c r="P127" s="230">
        <v>0</v>
      </c>
      <c r="Q127" s="230">
        <f>P127*56*2</f>
        <v>0</v>
      </c>
      <c r="R127" s="230"/>
      <c r="S127" s="231"/>
      <c r="T127" s="302">
        <f t="shared" si="68"/>
        <v>800000</v>
      </c>
      <c r="U127" s="303"/>
      <c r="V127" s="262"/>
      <c r="W127" s="263"/>
      <c r="X127" s="263"/>
      <c r="Y127" s="263"/>
      <c r="Z127" s="263"/>
      <c r="AA127" s="263"/>
      <c r="AB127" s="264">
        <f t="shared" si="69"/>
        <v>0</v>
      </c>
    </row>
  </sheetData>
  <mergeCells count="13">
    <mergeCell ref="A3:E3"/>
    <mergeCell ref="A47:E47"/>
    <mergeCell ref="A49:E49"/>
    <mergeCell ref="A32:A44"/>
    <mergeCell ref="A19:A31"/>
    <mergeCell ref="A5:E5"/>
    <mergeCell ref="A6:A11"/>
    <mergeCell ref="A115:A127"/>
    <mergeCell ref="A50:A62"/>
    <mergeCell ref="A63:A75"/>
    <mergeCell ref="A76:A88"/>
    <mergeCell ref="A89:A101"/>
    <mergeCell ref="A102:A114"/>
  </mergeCells>
  <phoneticPr fontId="2" type="noConversion"/>
  <pageMargins left="1.29" right="0.39370078740157483" top="0.98425196850393704" bottom="0.98425196850393704" header="0.51181102362204722" footer="0.51181102362204722"/>
  <pageSetup paperSize="9" scale="90" orientation="landscape" horizontalDpi="4294967293" verticalDpi="4294967293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21"/>
  <sheetViews>
    <sheetView zoomScale="110" zoomScaleNormal="110" workbookViewId="0">
      <pane xSplit="4" ySplit="5" topLeftCell="E663" activePane="bottomRight" state="frozen"/>
      <selection activeCell="B19" sqref="B19:B21"/>
      <selection pane="topRight" activeCell="B19" sqref="B19:B21"/>
      <selection pane="bottomLeft" activeCell="B19" sqref="B19:B21"/>
      <selection pane="bottomRight" activeCell="T710" sqref="T710:T721"/>
    </sheetView>
  </sheetViews>
  <sheetFormatPr defaultRowHeight="13.5"/>
  <cols>
    <col min="1" max="1" width="4.5546875" style="85" customWidth="1"/>
    <col min="2" max="2" width="10.109375" style="85" customWidth="1"/>
    <col min="3" max="3" width="6.33203125" style="85" customWidth="1"/>
    <col min="4" max="4" width="3" style="85" customWidth="1"/>
    <col min="5" max="5" width="8.21875" style="85" customWidth="1"/>
    <col min="6" max="6" width="15.77734375" style="85" customWidth="1"/>
    <col min="7" max="10" width="11.33203125" style="85" customWidth="1"/>
    <col min="11" max="11" width="12" style="85" customWidth="1"/>
    <col min="12" max="12" width="11.33203125" style="85" customWidth="1"/>
    <col min="13" max="13" width="14.21875" style="85" customWidth="1"/>
    <col min="14" max="14" width="15.77734375" style="85" customWidth="1"/>
    <col min="15" max="15" width="13.88671875" style="85" customWidth="1"/>
    <col min="16" max="16" width="15.77734375" style="85" customWidth="1"/>
    <col min="17" max="17" width="10.109375" style="85" customWidth="1"/>
    <col min="18" max="21" width="15.77734375" style="85" customWidth="1"/>
    <col min="22" max="22" width="10.44140625" style="86" customWidth="1"/>
    <col min="23" max="29" width="13.44140625" style="85" customWidth="1"/>
    <col min="30" max="16384" width="8.88671875" style="81"/>
  </cols>
  <sheetData>
    <row r="1" spans="1:29" s="84" customFormat="1" ht="27.75" customHeight="1">
      <c r="A1" s="153" t="s">
        <v>886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87"/>
      <c r="O1" s="87"/>
      <c r="P1" s="87"/>
      <c r="Q1" s="87"/>
      <c r="R1" s="87"/>
      <c r="S1" s="87"/>
      <c r="T1" s="87"/>
      <c r="U1" s="87"/>
      <c r="V1" s="88"/>
      <c r="W1" s="87"/>
      <c r="X1" s="87"/>
      <c r="Y1" s="87"/>
      <c r="Z1" s="87"/>
      <c r="AA1" s="87"/>
      <c r="AB1" s="87"/>
      <c r="AC1" s="87"/>
    </row>
    <row r="2" spans="1:29" s="84" customFormat="1" ht="6" hidden="1" customHeight="1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8"/>
      <c r="W2" s="87"/>
      <c r="X2" s="87"/>
      <c r="Y2" s="87"/>
      <c r="Z2" s="87"/>
      <c r="AA2" s="87"/>
      <c r="AB2" s="87"/>
      <c r="AC2" s="87"/>
    </row>
    <row r="3" spans="1:29" s="84" customFormat="1" ht="19.5" customHeight="1">
      <c r="A3" s="183" t="s">
        <v>866</v>
      </c>
      <c r="B3" s="183"/>
      <c r="C3" s="89"/>
      <c r="D3" s="89"/>
      <c r="E3" s="89"/>
      <c r="F3" s="90"/>
      <c r="G3" s="90"/>
      <c r="H3" s="90"/>
      <c r="I3" s="90"/>
      <c r="J3" s="90"/>
      <c r="K3" s="91"/>
      <c r="L3" s="91"/>
      <c r="M3" s="91"/>
      <c r="N3" s="92"/>
      <c r="O3" s="93"/>
      <c r="P3" s="93"/>
      <c r="Q3" s="93"/>
      <c r="R3" s="93"/>
      <c r="S3" s="93"/>
      <c r="T3" s="90"/>
      <c r="U3" s="90"/>
      <c r="V3" s="94"/>
      <c r="W3" s="90"/>
      <c r="X3" s="90"/>
      <c r="Y3" s="90"/>
      <c r="Z3" s="90"/>
      <c r="AA3" s="90"/>
      <c r="AB3" s="93"/>
      <c r="AC3" s="95" t="s">
        <v>65</v>
      </c>
    </row>
    <row r="4" spans="1:29" s="82" customFormat="1" ht="39" customHeight="1" thickBot="1">
      <c r="A4" s="114" t="s">
        <v>66</v>
      </c>
      <c r="B4" s="115" t="s">
        <v>67</v>
      </c>
      <c r="C4" s="115" t="s">
        <v>68</v>
      </c>
      <c r="D4" s="115" t="s">
        <v>69</v>
      </c>
      <c r="E4" s="115" t="s">
        <v>70</v>
      </c>
      <c r="F4" s="116" t="s">
        <v>71</v>
      </c>
      <c r="G4" s="117" t="s">
        <v>72</v>
      </c>
      <c r="H4" s="117" t="s">
        <v>73</v>
      </c>
      <c r="I4" s="117" t="s">
        <v>843</v>
      </c>
      <c r="J4" s="117" t="s">
        <v>857</v>
      </c>
      <c r="K4" s="117" t="s">
        <v>856</v>
      </c>
      <c r="L4" s="117" t="s">
        <v>853</v>
      </c>
      <c r="M4" s="117" t="s">
        <v>521</v>
      </c>
      <c r="N4" s="118"/>
      <c r="O4" s="117" t="s">
        <v>418</v>
      </c>
      <c r="P4" s="117" t="s">
        <v>388</v>
      </c>
      <c r="Q4" s="182" t="s">
        <v>855</v>
      </c>
      <c r="R4" s="117" t="s">
        <v>596</v>
      </c>
      <c r="S4" s="117" t="s">
        <v>612</v>
      </c>
      <c r="T4" s="117" t="s">
        <v>53</v>
      </c>
      <c r="U4" s="120" t="s">
        <v>78</v>
      </c>
      <c r="V4" s="129" t="s">
        <v>79</v>
      </c>
      <c r="W4" s="135" t="s">
        <v>38</v>
      </c>
      <c r="X4" s="120" t="s">
        <v>80</v>
      </c>
      <c r="Y4" s="120" t="s">
        <v>867</v>
      </c>
      <c r="Z4" s="119" t="s">
        <v>865</v>
      </c>
      <c r="AA4" s="120" t="s">
        <v>82</v>
      </c>
      <c r="AB4" s="119" t="s">
        <v>83</v>
      </c>
      <c r="AC4" s="121" t="s">
        <v>595</v>
      </c>
    </row>
    <row r="5" spans="1:29" s="83" customFormat="1" ht="21" customHeight="1" thickTop="1">
      <c r="A5" s="1265" t="s">
        <v>85</v>
      </c>
      <c r="B5" s="1266"/>
      <c r="C5" s="1266"/>
      <c r="D5" s="1266"/>
      <c r="E5" s="1266"/>
      <c r="F5" s="96">
        <f t="shared" ref="F5:T5" si="0">F6+F19+F32+F45+F58+F71+F84+F97+F110+F123+F136+F149+F162+F175+F188+F201+F214+F227+F240+F253+F266+F279+F292+F305+F318+F331+F344+F357+F370+F383+F396+F409+F422+F435+F448+F461+F474+F487+F500+F513+F526+F539+F552+F565+F591+F604+F617+F630+F643+F578</f>
        <v>0</v>
      </c>
      <c r="G5" s="96">
        <f t="shared" si="0"/>
        <v>0</v>
      </c>
      <c r="H5" s="96">
        <f t="shared" si="0"/>
        <v>0</v>
      </c>
      <c r="I5" s="96"/>
      <c r="J5" s="96">
        <f t="shared" si="0"/>
        <v>0</v>
      </c>
      <c r="K5" s="96">
        <f t="shared" si="0"/>
        <v>0</v>
      </c>
      <c r="L5" s="96">
        <f t="shared" si="0"/>
        <v>0</v>
      </c>
      <c r="M5" s="96">
        <f t="shared" si="0"/>
        <v>0</v>
      </c>
      <c r="N5" s="96">
        <f t="shared" si="0"/>
        <v>0</v>
      </c>
      <c r="O5" s="96">
        <f t="shared" si="0"/>
        <v>0</v>
      </c>
      <c r="P5" s="96">
        <f t="shared" si="0"/>
        <v>0</v>
      </c>
      <c r="Q5" s="96">
        <f t="shared" si="0"/>
        <v>0</v>
      </c>
      <c r="R5" s="96">
        <f t="shared" si="0"/>
        <v>0</v>
      </c>
      <c r="S5" s="96">
        <f t="shared" si="0"/>
        <v>0</v>
      </c>
      <c r="T5" s="96">
        <f t="shared" si="0"/>
        <v>0</v>
      </c>
      <c r="U5" s="96">
        <f>U6+U19+U32+U45+U58+U71+U84+U97+U110+U123+U136+U149+U162+U175+U188+U201+U214+U227+U240+U253+U266+U279+U292+U305+U318+U331+U344+U357+U370+U383+U396+U409+U422+U435+U448+U461+U474+U487+U500+U513+U526+U539+U552+U565+U591+U604+U617+U630+U643+U578</f>
        <v>0</v>
      </c>
      <c r="V5" s="142"/>
      <c r="W5" s="96">
        <f t="shared" ref="W5:AC5" si="1">W6+W19+W32+W45+W58+W71+W84+W97+W110+W123+W136+W149+W162+W175+W188+W201+W214+W227+W240+W253+W266+W279+W292+W305+W318+W331+W344+W357+W370+W383+W396+W409+W422+W435+W448+W461+W474+W487+W500+W513+W526+W539+W552+W565+W591+W604+W617+W630+W643+W578</f>
        <v>0</v>
      </c>
      <c r="X5" s="96">
        <f t="shared" si="1"/>
        <v>0</v>
      </c>
      <c r="Y5" s="96">
        <f t="shared" si="1"/>
        <v>0</v>
      </c>
      <c r="Z5" s="96">
        <f t="shared" si="1"/>
        <v>0</v>
      </c>
      <c r="AA5" s="96">
        <f t="shared" si="1"/>
        <v>0</v>
      </c>
      <c r="AB5" s="96">
        <f t="shared" si="1"/>
        <v>0</v>
      </c>
      <c r="AC5" s="21">
        <f t="shared" si="1"/>
        <v>0</v>
      </c>
    </row>
    <row r="6" spans="1:29" s="83" customFormat="1" ht="16.5" customHeight="1">
      <c r="A6" s="1267">
        <v>1</v>
      </c>
      <c r="B6" s="97" t="s">
        <v>784</v>
      </c>
      <c r="C6" s="19" t="s">
        <v>785</v>
      </c>
      <c r="D6" s="98">
        <v>1</v>
      </c>
      <c r="E6" s="99" t="s">
        <v>86</v>
      </c>
      <c r="F6" s="100">
        <f>SUM(F7:F18)</f>
        <v>0</v>
      </c>
      <c r="G6" s="100">
        <f t="shared" ref="G6:AC6" si="2">SUM(G7:G18)</f>
        <v>0</v>
      </c>
      <c r="H6" s="100">
        <f t="shared" si="2"/>
        <v>0</v>
      </c>
      <c r="I6" s="100">
        <f t="shared" si="2"/>
        <v>0</v>
      </c>
      <c r="J6" s="100">
        <f t="shared" si="2"/>
        <v>0</v>
      </c>
      <c r="K6" s="100">
        <f t="shared" si="2"/>
        <v>0</v>
      </c>
      <c r="L6" s="100">
        <f t="shared" si="2"/>
        <v>0</v>
      </c>
      <c r="M6" s="100">
        <f>SUM(M7:M18)</f>
        <v>0</v>
      </c>
      <c r="N6" s="100">
        <f t="shared" si="2"/>
        <v>0</v>
      </c>
      <c r="O6" s="100">
        <f t="shared" si="2"/>
        <v>0</v>
      </c>
      <c r="P6" s="100"/>
      <c r="Q6" s="100"/>
      <c r="R6" s="100">
        <f>SUM(R7:R18)</f>
        <v>0</v>
      </c>
      <c r="S6" s="100">
        <f t="shared" si="2"/>
        <v>0</v>
      </c>
      <c r="T6" s="100">
        <f t="shared" si="2"/>
        <v>0</v>
      </c>
      <c r="U6" s="100">
        <f>SUM(U7:U18)</f>
        <v>0</v>
      </c>
      <c r="V6" s="130"/>
      <c r="W6" s="143">
        <f t="shared" si="2"/>
        <v>0</v>
      </c>
      <c r="X6" s="100">
        <f t="shared" si="2"/>
        <v>0</v>
      </c>
      <c r="Y6" s="100">
        <f t="shared" si="2"/>
        <v>0</v>
      </c>
      <c r="Z6" s="100">
        <f t="shared" si="2"/>
        <v>0</v>
      </c>
      <c r="AA6" s="100">
        <f t="shared" si="2"/>
        <v>0</v>
      </c>
      <c r="AB6" s="100">
        <f t="shared" si="2"/>
        <v>0</v>
      </c>
      <c r="AC6" s="101">
        <f t="shared" si="2"/>
        <v>0</v>
      </c>
    </row>
    <row r="7" spans="1:29" s="82" customFormat="1" ht="16.5" customHeight="1">
      <c r="A7" s="1267"/>
      <c r="B7" s="97" t="s">
        <v>786</v>
      </c>
      <c r="C7" s="171">
        <v>10</v>
      </c>
      <c r="D7" s="171"/>
      <c r="E7" s="172" t="s">
        <v>273</v>
      </c>
      <c r="F7" s="173"/>
      <c r="G7" s="104"/>
      <c r="H7" s="103"/>
      <c r="I7" s="105"/>
      <c r="J7" s="104"/>
      <c r="K7" s="104"/>
      <c r="L7" s="104"/>
      <c r="M7" s="104">
        <f>F7*60%</f>
        <v>0</v>
      </c>
      <c r="N7" s="104"/>
      <c r="O7" s="104" t="s">
        <v>60</v>
      </c>
      <c r="P7" s="104"/>
      <c r="Q7" s="104"/>
      <c r="R7" s="104"/>
      <c r="S7" s="104"/>
      <c r="T7" s="105"/>
      <c r="U7" s="100">
        <f>SUM(I7,L7)</f>
        <v>0</v>
      </c>
      <c r="V7" s="130"/>
      <c r="W7" s="134">
        <f>ROUNDUP(U7*1/12,-1)</f>
        <v>0</v>
      </c>
      <c r="X7" s="106"/>
      <c r="Y7" s="106">
        <f>ROUNDUP((U7-L7)*3.06%,-1)</f>
        <v>0</v>
      </c>
      <c r="Z7" s="106">
        <f>ROUNDUP(Y7*6.55%,-1)</f>
        <v>0</v>
      </c>
      <c r="AA7" s="106">
        <v>0</v>
      </c>
      <c r="AB7" s="106">
        <v>0</v>
      </c>
      <c r="AC7" s="107">
        <f t="shared" ref="AC7:AC18" si="3">SUM(W7:AB7)</f>
        <v>0</v>
      </c>
    </row>
    <row r="8" spans="1:29" s="82" customFormat="1" ht="16.5" customHeight="1">
      <c r="A8" s="1267"/>
      <c r="B8" s="97"/>
      <c r="C8" s="98"/>
      <c r="D8" s="98"/>
      <c r="E8" s="102" t="s">
        <v>274</v>
      </c>
      <c r="F8" s="104"/>
      <c r="G8" s="104"/>
      <c r="H8" s="104"/>
      <c r="I8" s="105"/>
      <c r="J8" s="104">
        <f>ROUND((F7+I7+T7)*1/209*1.5,-1)</f>
        <v>0</v>
      </c>
      <c r="K8" s="104">
        <f>J8*25</f>
        <v>0</v>
      </c>
      <c r="L8" s="104">
        <f>K8-R8-S8</f>
        <v>0</v>
      </c>
      <c r="M8" s="104"/>
      <c r="N8" s="104"/>
      <c r="O8" s="104" t="s">
        <v>60</v>
      </c>
      <c r="P8" s="104"/>
      <c r="Q8" s="104">
        <f>ROUND((F7+T7)*1/209*1.5,-1)</f>
        <v>0</v>
      </c>
      <c r="R8" s="104">
        <f>Q8*20</f>
        <v>0</v>
      </c>
      <c r="S8" s="104">
        <f>Q8*5</f>
        <v>0</v>
      </c>
      <c r="T8" s="105"/>
      <c r="U8" s="100">
        <f t="shared" ref="U8:U18" si="4">SUM(I8,L8)</f>
        <v>0</v>
      </c>
      <c r="V8" s="130"/>
      <c r="W8" s="134">
        <f>ROUNDUP(U8*1/12,-1)</f>
        <v>0</v>
      </c>
      <c r="X8" s="106"/>
      <c r="Y8" s="106">
        <f>ROUNDUP((U8-L8)*3.06%,-1)</f>
        <v>0</v>
      </c>
      <c r="Z8" s="106">
        <f t="shared" ref="Z8:Z18" si="5">ROUNDUP(Y8*6.55%,-1)</f>
        <v>0</v>
      </c>
      <c r="AA8" s="106">
        <v>0</v>
      </c>
      <c r="AB8" s="106">
        <v>0</v>
      </c>
      <c r="AC8" s="107">
        <f t="shared" si="3"/>
        <v>0</v>
      </c>
    </row>
    <row r="9" spans="1:29" s="82" customFormat="1" ht="16.5" customHeight="1">
      <c r="A9" s="1267"/>
      <c r="B9" s="97"/>
      <c r="C9" s="98"/>
      <c r="D9" s="98"/>
      <c r="E9" s="102" t="s">
        <v>275</v>
      </c>
      <c r="F9" s="104"/>
      <c r="G9" s="104"/>
      <c r="H9" s="104"/>
      <c r="I9" s="105"/>
      <c r="J9" s="104">
        <f t="shared" ref="J9:J17" si="6">ROUND((F8+I8+T8)*1/209*1.5,-1)</f>
        <v>0</v>
      </c>
      <c r="K9" s="104">
        <f t="shared" ref="K9:K17" si="7">J9*25</f>
        <v>0</v>
      </c>
      <c r="L9" s="104">
        <f t="shared" ref="L9:L16" si="8">K9-R9-S9</f>
        <v>0</v>
      </c>
      <c r="M9" s="104"/>
      <c r="N9" s="104"/>
      <c r="O9" s="104" t="s">
        <v>60</v>
      </c>
      <c r="P9" s="104"/>
      <c r="Q9" s="104">
        <f t="shared" ref="Q9:Q18" si="9">ROUND((F8+T8)*1/209*1.5,-1)</f>
        <v>0</v>
      </c>
      <c r="R9" s="104">
        <f t="shared" ref="R9:R17" si="10">Q9*20</f>
        <v>0</v>
      </c>
      <c r="S9" s="104">
        <f t="shared" ref="S9:S17" si="11">Q9*5</f>
        <v>0</v>
      </c>
      <c r="T9" s="105"/>
      <c r="U9" s="100">
        <f t="shared" si="4"/>
        <v>0</v>
      </c>
      <c r="V9" s="130"/>
      <c r="W9" s="134">
        <f t="shared" ref="W9:W18" si="12">ROUNDUP(U9*1/12,-1)</f>
        <v>0</v>
      </c>
      <c r="X9" s="106"/>
      <c r="Y9" s="106">
        <f t="shared" ref="Y9:Y18" si="13">ROUNDUP((U9-L9)*3.06%,-1)</f>
        <v>0</v>
      </c>
      <c r="Z9" s="106">
        <f t="shared" si="5"/>
        <v>0</v>
      </c>
      <c r="AA9" s="106">
        <v>0</v>
      </c>
      <c r="AB9" s="106">
        <v>0</v>
      </c>
      <c r="AC9" s="107">
        <f t="shared" si="3"/>
        <v>0</v>
      </c>
    </row>
    <row r="10" spans="1:29" s="82" customFormat="1" ht="16.5" customHeight="1">
      <c r="A10" s="1267"/>
      <c r="B10" s="97"/>
      <c r="C10" s="98"/>
      <c r="D10" s="98"/>
      <c r="E10" s="102" t="s">
        <v>276</v>
      </c>
      <c r="F10" s="104"/>
      <c r="G10" s="104"/>
      <c r="H10" s="104"/>
      <c r="I10" s="105"/>
      <c r="J10" s="104">
        <f t="shared" si="6"/>
        <v>0</v>
      </c>
      <c r="K10" s="104">
        <f t="shared" si="7"/>
        <v>0</v>
      </c>
      <c r="L10" s="104">
        <f t="shared" si="8"/>
        <v>0</v>
      </c>
      <c r="M10" s="104"/>
      <c r="N10" s="104"/>
      <c r="O10" s="104" t="s">
        <v>60</v>
      </c>
      <c r="P10" s="104"/>
      <c r="Q10" s="104">
        <f t="shared" si="9"/>
        <v>0</v>
      </c>
      <c r="R10" s="104">
        <f t="shared" si="10"/>
        <v>0</v>
      </c>
      <c r="S10" s="104">
        <f t="shared" si="11"/>
        <v>0</v>
      </c>
      <c r="T10" s="105"/>
      <c r="U10" s="100">
        <f t="shared" si="4"/>
        <v>0</v>
      </c>
      <c r="V10" s="130"/>
      <c r="W10" s="134">
        <f t="shared" si="12"/>
        <v>0</v>
      </c>
      <c r="X10" s="106"/>
      <c r="Y10" s="106">
        <f t="shared" si="13"/>
        <v>0</v>
      </c>
      <c r="Z10" s="106">
        <f t="shared" si="5"/>
        <v>0</v>
      </c>
      <c r="AA10" s="106">
        <v>0</v>
      </c>
      <c r="AB10" s="106">
        <v>0</v>
      </c>
      <c r="AC10" s="107">
        <f t="shared" si="3"/>
        <v>0</v>
      </c>
    </row>
    <row r="11" spans="1:29" s="82" customFormat="1" ht="16.5" customHeight="1">
      <c r="A11" s="1267"/>
      <c r="B11" s="97"/>
      <c r="C11" s="98"/>
      <c r="D11" s="98"/>
      <c r="E11" s="102" t="s">
        <v>277</v>
      </c>
      <c r="F11" s="104"/>
      <c r="G11" s="104"/>
      <c r="H11" s="104"/>
      <c r="I11" s="105"/>
      <c r="J11" s="104">
        <f t="shared" si="6"/>
        <v>0</v>
      </c>
      <c r="K11" s="104">
        <f t="shared" si="7"/>
        <v>0</v>
      </c>
      <c r="L11" s="104">
        <f t="shared" si="8"/>
        <v>0</v>
      </c>
      <c r="M11" s="104"/>
      <c r="N11" s="104"/>
      <c r="O11" s="104" t="s">
        <v>60</v>
      </c>
      <c r="P11" s="104"/>
      <c r="Q11" s="104">
        <f t="shared" si="9"/>
        <v>0</v>
      </c>
      <c r="R11" s="104">
        <f t="shared" si="10"/>
        <v>0</v>
      </c>
      <c r="S11" s="104">
        <f t="shared" si="11"/>
        <v>0</v>
      </c>
      <c r="T11" s="105"/>
      <c r="U11" s="100">
        <f t="shared" si="4"/>
        <v>0</v>
      </c>
      <c r="V11" s="130"/>
      <c r="W11" s="134">
        <f t="shared" si="12"/>
        <v>0</v>
      </c>
      <c r="X11" s="106"/>
      <c r="Y11" s="106">
        <f t="shared" si="13"/>
        <v>0</v>
      </c>
      <c r="Z11" s="106">
        <f t="shared" si="5"/>
        <v>0</v>
      </c>
      <c r="AA11" s="106">
        <v>0</v>
      </c>
      <c r="AB11" s="106">
        <v>0</v>
      </c>
      <c r="AC11" s="107">
        <f t="shared" si="3"/>
        <v>0</v>
      </c>
    </row>
    <row r="12" spans="1:29" s="82" customFormat="1" ht="16.5" customHeight="1">
      <c r="A12" s="1267"/>
      <c r="B12" s="97"/>
      <c r="C12" s="171">
        <v>11</v>
      </c>
      <c r="D12" s="171"/>
      <c r="E12" s="172" t="s">
        <v>278</v>
      </c>
      <c r="F12" s="173"/>
      <c r="G12" s="104"/>
      <c r="H12" s="104"/>
      <c r="I12" s="105"/>
      <c r="J12" s="104">
        <f t="shared" si="6"/>
        <v>0</v>
      </c>
      <c r="K12" s="104">
        <f t="shared" si="7"/>
        <v>0</v>
      </c>
      <c r="L12" s="104">
        <f t="shared" si="8"/>
        <v>0</v>
      </c>
      <c r="M12" s="104"/>
      <c r="N12" s="104"/>
      <c r="O12" s="104" t="s">
        <v>60</v>
      </c>
      <c r="P12" s="104"/>
      <c r="Q12" s="104">
        <f t="shared" si="9"/>
        <v>0</v>
      </c>
      <c r="R12" s="104">
        <f t="shared" si="10"/>
        <v>0</v>
      </c>
      <c r="S12" s="104">
        <f t="shared" si="11"/>
        <v>0</v>
      </c>
      <c r="T12" s="105"/>
      <c r="U12" s="100">
        <f t="shared" si="4"/>
        <v>0</v>
      </c>
      <c r="V12" s="130"/>
      <c r="W12" s="134">
        <f t="shared" si="12"/>
        <v>0</v>
      </c>
      <c r="X12" s="106"/>
      <c r="Y12" s="106">
        <f t="shared" si="13"/>
        <v>0</v>
      </c>
      <c r="Z12" s="106">
        <f t="shared" si="5"/>
        <v>0</v>
      </c>
      <c r="AA12" s="106">
        <v>0</v>
      </c>
      <c r="AB12" s="106">
        <v>0</v>
      </c>
      <c r="AC12" s="107">
        <f t="shared" si="3"/>
        <v>0</v>
      </c>
    </row>
    <row r="13" spans="1:29" s="82" customFormat="1" ht="16.5" customHeight="1">
      <c r="A13" s="1267"/>
      <c r="B13" s="97"/>
      <c r="C13" s="98"/>
      <c r="D13" s="98"/>
      <c r="E13" s="102" t="s">
        <v>279</v>
      </c>
      <c r="F13" s="106"/>
      <c r="G13" s="104"/>
      <c r="H13" s="103"/>
      <c r="I13" s="105"/>
      <c r="J13" s="104">
        <f t="shared" si="6"/>
        <v>0</v>
      </c>
      <c r="K13" s="104">
        <f t="shared" si="7"/>
        <v>0</v>
      </c>
      <c r="L13" s="104">
        <f t="shared" si="8"/>
        <v>0</v>
      </c>
      <c r="M13" s="104"/>
      <c r="N13" s="104"/>
      <c r="O13" s="104" t="s">
        <v>60</v>
      </c>
      <c r="P13" s="104"/>
      <c r="Q13" s="104">
        <f t="shared" si="9"/>
        <v>0</v>
      </c>
      <c r="R13" s="104">
        <f t="shared" si="10"/>
        <v>0</v>
      </c>
      <c r="S13" s="104">
        <f t="shared" si="11"/>
        <v>0</v>
      </c>
      <c r="T13" s="105"/>
      <c r="U13" s="100">
        <f t="shared" si="4"/>
        <v>0</v>
      </c>
      <c r="V13" s="130"/>
      <c r="W13" s="134">
        <f t="shared" si="12"/>
        <v>0</v>
      </c>
      <c r="X13" s="106"/>
      <c r="Y13" s="106">
        <f t="shared" si="13"/>
        <v>0</v>
      </c>
      <c r="Z13" s="106">
        <f t="shared" si="5"/>
        <v>0</v>
      </c>
      <c r="AA13" s="106">
        <v>0</v>
      </c>
      <c r="AB13" s="106">
        <v>0</v>
      </c>
      <c r="AC13" s="107">
        <f t="shared" si="3"/>
        <v>0</v>
      </c>
    </row>
    <row r="14" spans="1:29" s="82" customFormat="1" ht="16.5" customHeight="1">
      <c r="A14" s="1267"/>
      <c r="B14" s="97"/>
      <c r="C14" s="98"/>
      <c r="D14" s="98"/>
      <c r="E14" s="102" t="s">
        <v>280</v>
      </c>
      <c r="F14" s="104"/>
      <c r="G14" s="104"/>
      <c r="H14" s="104"/>
      <c r="I14" s="105"/>
      <c r="J14" s="104">
        <f t="shared" si="6"/>
        <v>0</v>
      </c>
      <c r="K14" s="104">
        <f t="shared" si="7"/>
        <v>0</v>
      </c>
      <c r="L14" s="104">
        <f t="shared" si="8"/>
        <v>0</v>
      </c>
      <c r="M14" s="104"/>
      <c r="N14" s="104"/>
      <c r="O14" s="104" t="s">
        <v>60</v>
      </c>
      <c r="P14" s="104"/>
      <c r="Q14" s="104">
        <f t="shared" si="9"/>
        <v>0</v>
      </c>
      <c r="R14" s="104">
        <f t="shared" si="10"/>
        <v>0</v>
      </c>
      <c r="S14" s="104">
        <f t="shared" si="11"/>
        <v>0</v>
      </c>
      <c r="T14" s="105"/>
      <c r="U14" s="100">
        <f t="shared" si="4"/>
        <v>0</v>
      </c>
      <c r="V14" s="130"/>
      <c r="W14" s="134">
        <f t="shared" si="12"/>
        <v>0</v>
      </c>
      <c r="X14" s="106"/>
      <c r="Y14" s="106">
        <f t="shared" si="13"/>
        <v>0</v>
      </c>
      <c r="Z14" s="106">
        <f t="shared" si="5"/>
        <v>0</v>
      </c>
      <c r="AA14" s="106">
        <v>0</v>
      </c>
      <c r="AB14" s="106">
        <v>0</v>
      </c>
      <c r="AC14" s="107">
        <f t="shared" si="3"/>
        <v>0</v>
      </c>
    </row>
    <row r="15" spans="1:29" s="82" customFormat="1" ht="16.5" customHeight="1">
      <c r="A15" s="1267"/>
      <c r="B15" s="97"/>
      <c r="C15" s="98"/>
      <c r="D15" s="98"/>
      <c r="E15" s="102" t="s">
        <v>54</v>
      </c>
      <c r="F15" s="104"/>
      <c r="G15" s="104"/>
      <c r="H15" s="104"/>
      <c r="I15" s="105"/>
      <c r="J15" s="104">
        <f t="shared" si="6"/>
        <v>0</v>
      </c>
      <c r="K15" s="104">
        <f t="shared" si="7"/>
        <v>0</v>
      </c>
      <c r="L15" s="104">
        <f t="shared" si="8"/>
        <v>0</v>
      </c>
      <c r="M15" s="104">
        <f>F15*60%</f>
        <v>0</v>
      </c>
      <c r="N15" s="104"/>
      <c r="O15" s="104" t="s">
        <v>60</v>
      </c>
      <c r="P15" s="104"/>
      <c r="Q15" s="104">
        <f t="shared" si="9"/>
        <v>0</v>
      </c>
      <c r="R15" s="104">
        <f t="shared" si="10"/>
        <v>0</v>
      </c>
      <c r="S15" s="104">
        <f t="shared" si="11"/>
        <v>0</v>
      </c>
      <c r="T15" s="105"/>
      <c r="U15" s="100">
        <f t="shared" si="4"/>
        <v>0</v>
      </c>
      <c r="V15" s="130"/>
      <c r="W15" s="134">
        <f t="shared" si="12"/>
        <v>0</v>
      </c>
      <c r="X15" s="106"/>
      <c r="Y15" s="106">
        <f t="shared" si="13"/>
        <v>0</v>
      </c>
      <c r="Z15" s="106">
        <f t="shared" si="5"/>
        <v>0</v>
      </c>
      <c r="AA15" s="106">
        <v>0</v>
      </c>
      <c r="AB15" s="106">
        <v>0</v>
      </c>
      <c r="AC15" s="107">
        <f t="shared" si="3"/>
        <v>0</v>
      </c>
    </row>
    <row r="16" spans="1:29" s="82" customFormat="1" ht="16.5" customHeight="1">
      <c r="A16" s="1267"/>
      <c r="B16" s="97"/>
      <c r="C16" s="98"/>
      <c r="D16" s="98"/>
      <c r="E16" s="102" t="s">
        <v>55</v>
      </c>
      <c r="F16" s="104"/>
      <c r="G16" s="104"/>
      <c r="H16" s="104"/>
      <c r="I16" s="105"/>
      <c r="J16" s="104">
        <f t="shared" si="6"/>
        <v>0</v>
      </c>
      <c r="K16" s="104">
        <f t="shared" si="7"/>
        <v>0</v>
      </c>
      <c r="L16" s="104">
        <f t="shared" si="8"/>
        <v>0</v>
      </c>
      <c r="M16" s="104"/>
      <c r="N16" s="104"/>
      <c r="O16" s="104" t="s">
        <v>60</v>
      </c>
      <c r="P16" s="104"/>
      <c r="Q16" s="104">
        <f t="shared" si="9"/>
        <v>0</v>
      </c>
      <c r="R16" s="104">
        <f t="shared" si="10"/>
        <v>0</v>
      </c>
      <c r="S16" s="104">
        <f t="shared" si="11"/>
        <v>0</v>
      </c>
      <c r="T16" s="105"/>
      <c r="U16" s="100">
        <f t="shared" si="4"/>
        <v>0</v>
      </c>
      <c r="V16" s="130"/>
      <c r="W16" s="134">
        <f t="shared" si="12"/>
        <v>0</v>
      </c>
      <c r="X16" s="106"/>
      <c r="Y16" s="106">
        <f t="shared" si="13"/>
        <v>0</v>
      </c>
      <c r="Z16" s="106">
        <f t="shared" si="5"/>
        <v>0</v>
      </c>
      <c r="AA16" s="106">
        <v>0</v>
      </c>
      <c r="AB16" s="106">
        <v>0</v>
      </c>
      <c r="AC16" s="107">
        <f t="shared" si="3"/>
        <v>0</v>
      </c>
    </row>
    <row r="17" spans="1:29" s="82" customFormat="1" ht="16.5" customHeight="1">
      <c r="A17" s="1267"/>
      <c r="B17" s="97"/>
      <c r="C17" s="98"/>
      <c r="D17" s="98"/>
      <c r="E17" s="102" t="s">
        <v>56</v>
      </c>
      <c r="F17" s="104"/>
      <c r="G17" s="104"/>
      <c r="H17" s="104"/>
      <c r="I17" s="105"/>
      <c r="J17" s="104">
        <f t="shared" si="6"/>
        <v>0</v>
      </c>
      <c r="K17" s="104">
        <f t="shared" si="7"/>
        <v>0</v>
      </c>
      <c r="L17" s="104">
        <f>K17-R17-S17</f>
        <v>0</v>
      </c>
      <c r="M17" s="104"/>
      <c r="N17" s="104"/>
      <c r="O17" s="104" t="s">
        <v>60</v>
      </c>
      <c r="P17" s="104"/>
      <c r="Q17" s="104">
        <f t="shared" si="9"/>
        <v>0</v>
      </c>
      <c r="R17" s="104">
        <f t="shared" si="10"/>
        <v>0</v>
      </c>
      <c r="S17" s="104">
        <f t="shared" si="11"/>
        <v>0</v>
      </c>
      <c r="T17" s="105"/>
      <c r="U17" s="100">
        <f t="shared" si="4"/>
        <v>0</v>
      </c>
      <c r="V17" s="130"/>
      <c r="W17" s="134">
        <f t="shared" si="12"/>
        <v>0</v>
      </c>
      <c r="X17" s="106"/>
      <c r="Y17" s="106">
        <f t="shared" si="13"/>
        <v>0</v>
      </c>
      <c r="Z17" s="106">
        <f t="shared" si="5"/>
        <v>0</v>
      </c>
      <c r="AA17" s="106">
        <v>0</v>
      </c>
      <c r="AB17" s="106">
        <v>0</v>
      </c>
      <c r="AC17" s="107">
        <f t="shared" si="3"/>
        <v>0</v>
      </c>
    </row>
    <row r="18" spans="1:29" s="82" customFormat="1" ht="16.5" customHeight="1">
      <c r="A18" s="1267"/>
      <c r="B18" s="97"/>
      <c r="C18" s="98"/>
      <c r="D18" s="98"/>
      <c r="E18" s="102" t="s">
        <v>281</v>
      </c>
      <c r="F18" s="104"/>
      <c r="G18" s="104"/>
      <c r="H18" s="104"/>
      <c r="I18" s="105"/>
      <c r="J18" s="104">
        <f>ROUND((F17+I17+T17)*1/209*1.5,-1)</f>
        <v>0</v>
      </c>
      <c r="K18" s="104">
        <f>J18*25*2</f>
        <v>0</v>
      </c>
      <c r="L18" s="104">
        <f>K18-R18-S18</f>
        <v>0</v>
      </c>
      <c r="M18" s="104"/>
      <c r="N18" s="104"/>
      <c r="O18" s="104" t="s">
        <v>60</v>
      </c>
      <c r="P18" s="104"/>
      <c r="Q18" s="104">
        <f t="shared" si="9"/>
        <v>0</v>
      </c>
      <c r="R18" s="104">
        <f>Q18*20*2</f>
        <v>0</v>
      </c>
      <c r="S18" s="104">
        <f>Q18*5*2</f>
        <v>0</v>
      </c>
      <c r="T18" s="105"/>
      <c r="U18" s="100">
        <f t="shared" si="4"/>
        <v>0</v>
      </c>
      <c r="V18" s="130"/>
      <c r="W18" s="134">
        <f t="shared" si="12"/>
        <v>0</v>
      </c>
      <c r="X18" s="106"/>
      <c r="Y18" s="106">
        <f t="shared" si="13"/>
        <v>0</v>
      </c>
      <c r="Z18" s="106">
        <f t="shared" si="5"/>
        <v>0</v>
      </c>
      <c r="AA18" s="106">
        <v>0</v>
      </c>
      <c r="AB18" s="106">
        <v>0</v>
      </c>
      <c r="AC18" s="107">
        <f t="shared" si="3"/>
        <v>0</v>
      </c>
    </row>
    <row r="19" spans="1:29" s="83" customFormat="1" ht="16.5" customHeight="1">
      <c r="A19" s="1267">
        <v>2</v>
      </c>
      <c r="B19" s="97" t="s">
        <v>794</v>
      </c>
      <c r="C19" s="98" t="s">
        <v>795</v>
      </c>
      <c r="D19" s="78">
        <v>1</v>
      </c>
      <c r="E19" s="99" t="s">
        <v>86</v>
      </c>
      <c r="F19" s="100">
        <f>SUM(F20:F31)</f>
        <v>0</v>
      </c>
      <c r="G19" s="100">
        <f t="shared" ref="G19:U19" si="14">SUM(G20:G31)</f>
        <v>0</v>
      </c>
      <c r="H19" s="100">
        <f t="shared" si="14"/>
        <v>0</v>
      </c>
      <c r="I19" s="100">
        <f t="shared" si="14"/>
        <v>0</v>
      </c>
      <c r="J19" s="100">
        <f t="shared" si="14"/>
        <v>0</v>
      </c>
      <c r="K19" s="100">
        <f t="shared" si="14"/>
        <v>0</v>
      </c>
      <c r="L19" s="100">
        <f t="shared" si="14"/>
        <v>0</v>
      </c>
      <c r="M19" s="100">
        <f t="shared" si="14"/>
        <v>0</v>
      </c>
      <c r="N19" s="100">
        <f t="shared" si="14"/>
        <v>0</v>
      </c>
      <c r="O19" s="100">
        <f t="shared" si="14"/>
        <v>0</v>
      </c>
      <c r="P19" s="100"/>
      <c r="Q19" s="100"/>
      <c r="R19" s="100">
        <f t="shared" ref="R19:S19" si="15">SUM(R20:R31)</f>
        <v>0</v>
      </c>
      <c r="S19" s="100">
        <f t="shared" si="15"/>
        <v>0</v>
      </c>
      <c r="T19" s="100"/>
      <c r="U19" s="100">
        <f t="shared" si="14"/>
        <v>0</v>
      </c>
      <c r="V19" s="79"/>
      <c r="W19" s="143">
        <f t="shared" ref="W19:X19" si="16">SUM(W20:W31)</f>
        <v>0</v>
      </c>
      <c r="X19" s="100">
        <f t="shared" si="16"/>
        <v>0</v>
      </c>
      <c r="Y19" s="100">
        <f t="shared" ref="Y19:AC19" si="17">SUM(Y20:Y31)</f>
        <v>0</v>
      </c>
      <c r="Z19" s="100">
        <f t="shared" si="17"/>
        <v>0</v>
      </c>
      <c r="AA19" s="100">
        <f t="shared" si="17"/>
        <v>0</v>
      </c>
      <c r="AB19" s="100">
        <f t="shared" si="17"/>
        <v>0</v>
      </c>
      <c r="AC19" s="101">
        <f t="shared" si="17"/>
        <v>0</v>
      </c>
    </row>
    <row r="20" spans="1:29" s="83" customFormat="1" ht="15" customHeight="1">
      <c r="A20" s="1267"/>
      <c r="B20" s="97" t="s">
        <v>796</v>
      </c>
      <c r="C20" s="171">
        <v>15</v>
      </c>
      <c r="D20" s="174"/>
      <c r="E20" s="172" t="s">
        <v>273</v>
      </c>
      <c r="F20" s="173"/>
      <c r="G20" s="104"/>
      <c r="H20" s="103"/>
      <c r="I20" s="105"/>
      <c r="J20" s="104"/>
      <c r="K20" s="104"/>
      <c r="L20" s="104"/>
      <c r="M20" s="104">
        <f t="shared" ref="M20" si="18">F20*60%</f>
        <v>0</v>
      </c>
      <c r="N20" s="104"/>
      <c r="O20" s="104"/>
      <c r="P20" s="104"/>
      <c r="Q20" s="104"/>
      <c r="R20" s="104"/>
      <c r="S20" s="104"/>
      <c r="T20" s="105"/>
      <c r="U20" s="100">
        <f t="shared" ref="U20:U83" si="19">SUM(I20,L20)</f>
        <v>0</v>
      </c>
      <c r="V20" s="79"/>
      <c r="W20" s="134">
        <f t="shared" ref="W20:W83" si="20">ROUNDUP(U20*1/12,-1)</f>
        <v>0</v>
      </c>
      <c r="X20" s="106"/>
      <c r="Y20" s="106">
        <f t="shared" ref="Y20:Y83" si="21">ROUNDUP((U20-L20)*3.06%,-1)</f>
        <v>0</v>
      </c>
      <c r="Z20" s="80">
        <f>ROUNDUP(Y20*6.55%,-1)</f>
        <v>0</v>
      </c>
      <c r="AA20" s="80">
        <f>ROUND(U20*0.9%,-1)</f>
        <v>0</v>
      </c>
      <c r="AB20" s="80">
        <f>ROUND(U20*0.8%,-1)</f>
        <v>0</v>
      </c>
      <c r="AC20" s="107">
        <f t="shared" ref="AC20:AC31" si="22">SUM(W20:AB20)</f>
        <v>0</v>
      </c>
    </row>
    <row r="21" spans="1:29" s="83" customFormat="1" ht="15" customHeight="1">
      <c r="A21" s="1267"/>
      <c r="B21" s="97"/>
      <c r="C21" s="98"/>
      <c r="D21" s="78"/>
      <c r="E21" s="102" t="s">
        <v>274</v>
      </c>
      <c r="F21" s="104"/>
      <c r="G21" s="104"/>
      <c r="H21" s="104"/>
      <c r="I21" s="105"/>
      <c r="J21" s="104">
        <f t="shared" ref="J21:J31" si="23">ROUND((F20+I20+T20)*1/209*1.5,-1)</f>
        <v>0</v>
      </c>
      <c r="K21" s="104">
        <f>J21*25</f>
        <v>0</v>
      </c>
      <c r="L21" s="104">
        <f>K21-R21-S21</f>
        <v>0</v>
      </c>
      <c r="M21" s="104"/>
      <c r="N21" s="104"/>
      <c r="O21" s="104"/>
      <c r="P21" s="104"/>
      <c r="Q21" s="104">
        <f t="shared" ref="Q21:Q83" si="24">ROUND((F20+T20)*1/209*1.5,-1)</f>
        <v>0</v>
      </c>
      <c r="R21" s="104">
        <f>Q21*20</f>
        <v>0</v>
      </c>
      <c r="S21" s="104">
        <f t="shared" ref="S21:S82" si="25">Q21*5</f>
        <v>0</v>
      </c>
      <c r="T21" s="105"/>
      <c r="U21" s="100">
        <f t="shared" si="19"/>
        <v>0</v>
      </c>
      <c r="V21" s="79"/>
      <c r="W21" s="134">
        <f t="shared" si="20"/>
        <v>0</v>
      </c>
      <c r="X21" s="106"/>
      <c r="Y21" s="106">
        <f t="shared" si="21"/>
        <v>0</v>
      </c>
      <c r="Z21" s="80">
        <f t="shared" ref="Z21:Z31" si="26">ROUNDUP(Y21*6.55%,-1)</f>
        <v>0</v>
      </c>
      <c r="AA21" s="80">
        <f t="shared" ref="AA21:AA31" si="27">ROUND(U21*0.9%,-1)</f>
        <v>0</v>
      </c>
      <c r="AB21" s="80">
        <f t="shared" ref="AB21:AB31" si="28">ROUND(U21*0.8%,-1)</f>
        <v>0</v>
      </c>
      <c r="AC21" s="107">
        <f t="shared" si="22"/>
        <v>0</v>
      </c>
    </row>
    <row r="22" spans="1:29" s="83" customFormat="1" ht="15" customHeight="1">
      <c r="A22" s="1267"/>
      <c r="B22" s="97"/>
      <c r="C22" s="98"/>
      <c r="D22" s="78"/>
      <c r="E22" s="102" t="s">
        <v>275</v>
      </c>
      <c r="F22" s="104"/>
      <c r="G22" s="104"/>
      <c r="H22" s="104"/>
      <c r="I22" s="105"/>
      <c r="J22" s="104">
        <f t="shared" si="23"/>
        <v>0</v>
      </c>
      <c r="K22" s="104">
        <f t="shared" ref="K22:K30" si="29">J22*25</f>
        <v>0</v>
      </c>
      <c r="L22" s="104">
        <f t="shared" ref="L22:L29" si="30">K22-R22-S22</f>
        <v>0</v>
      </c>
      <c r="M22" s="104"/>
      <c r="N22" s="104"/>
      <c r="O22" s="104"/>
      <c r="P22" s="104"/>
      <c r="Q22" s="104">
        <f t="shared" si="24"/>
        <v>0</v>
      </c>
      <c r="R22" s="104">
        <f t="shared" ref="R22:R30" si="31">Q22*20</f>
        <v>0</v>
      </c>
      <c r="S22" s="104">
        <f t="shared" si="25"/>
        <v>0</v>
      </c>
      <c r="T22" s="105"/>
      <c r="U22" s="100">
        <f t="shared" si="19"/>
        <v>0</v>
      </c>
      <c r="V22" s="79"/>
      <c r="W22" s="134">
        <f t="shared" si="20"/>
        <v>0</v>
      </c>
      <c r="X22" s="106"/>
      <c r="Y22" s="106">
        <f t="shared" si="21"/>
        <v>0</v>
      </c>
      <c r="Z22" s="80">
        <f t="shared" si="26"/>
        <v>0</v>
      </c>
      <c r="AA22" s="80">
        <f t="shared" si="27"/>
        <v>0</v>
      </c>
      <c r="AB22" s="80">
        <f t="shared" si="28"/>
        <v>0</v>
      </c>
      <c r="AC22" s="107">
        <f t="shared" si="22"/>
        <v>0</v>
      </c>
    </row>
    <row r="23" spans="1:29" s="83" customFormat="1" ht="15" customHeight="1">
      <c r="A23" s="1267"/>
      <c r="B23" s="97"/>
      <c r="C23" s="98"/>
      <c r="D23" s="78"/>
      <c r="E23" s="102" t="s">
        <v>276</v>
      </c>
      <c r="F23" s="104"/>
      <c r="G23" s="104"/>
      <c r="H23" s="104"/>
      <c r="I23" s="105"/>
      <c r="J23" s="104">
        <f t="shared" si="23"/>
        <v>0</v>
      </c>
      <c r="K23" s="104">
        <f t="shared" si="29"/>
        <v>0</v>
      </c>
      <c r="L23" s="104">
        <f t="shared" si="30"/>
        <v>0</v>
      </c>
      <c r="M23" s="104"/>
      <c r="N23" s="104"/>
      <c r="O23" s="104"/>
      <c r="P23" s="104"/>
      <c r="Q23" s="104">
        <f t="shared" si="24"/>
        <v>0</v>
      </c>
      <c r="R23" s="104">
        <f t="shared" si="31"/>
        <v>0</v>
      </c>
      <c r="S23" s="104">
        <f t="shared" si="25"/>
        <v>0</v>
      </c>
      <c r="T23" s="105"/>
      <c r="U23" s="100">
        <f t="shared" si="19"/>
        <v>0</v>
      </c>
      <c r="V23" s="79"/>
      <c r="W23" s="134">
        <f t="shared" si="20"/>
        <v>0</v>
      </c>
      <c r="X23" s="106"/>
      <c r="Y23" s="106">
        <f t="shared" si="21"/>
        <v>0</v>
      </c>
      <c r="Z23" s="80">
        <f t="shared" si="26"/>
        <v>0</v>
      </c>
      <c r="AA23" s="80">
        <f t="shared" si="27"/>
        <v>0</v>
      </c>
      <c r="AB23" s="80">
        <f t="shared" si="28"/>
        <v>0</v>
      </c>
      <c r="AC23" s="107">
        <f t="shared" si="22"/>
        <v>0</v>
      </c>
    </row>
    <row r="24" spans="1:29" s="83" customFormat="1" ht="15" customHeight="1">
      <c r="A24" s="1267"/>
      <c r="B24" s="97"/>
      <c r="C24" s="171">
        <v>16</v>
      </c>
      <c r="D24" s="174"/>
      <c r="E24" s="172" t="s">
        <v>277</v>
      </c>
      <c r="F24" s="173"/>
      <c r="G24" s="104"/>
      <c r="H24" s="104"/>
      <c r="I24" s="105"/>
      <c r="J24" s="104">
        <f t="shared" si="23"/>
        <v>0</v>
      </c>
      <c r="K24" s="104">
        <f t="shared" si="29"/>
        <v>0</v>
      </c>
      <c r="L24" s="104">
        <f t="shared" si="30"/>
        <v>0</v>
      </c>
      <c r="M24" s="104"/>
      <c r="N24" s="104"/>
      <c r="O24" s="104"/>
      <c r="P24" s="104"/>
      <c r="Q24" s="104">
        <f t="shared" si="24"/>
        <v>0</v>
      </c>
      <c r="R24" s="104">
        <f t="shared" si="31"/>
        <v>0</v>
      </c>
      <c r="S24" s="104">
        <f t="shared" si="25"/>
        <v>0</v>
      </c>
      <c r="T24" s="105"/>
      <c r="U24" s="100">
        <f t="shared" si="19"/>
        <v>0</v>
      </c>
      <c r="V24" s="79"/>
      <c r="W24" s="134">
        <f t="shared" si="20"/>
        <v>0</v>
      </c>
      <c r="X24" s="106"/>
      <c r="Y24" s="106">
        <f t="shared" si="21"/>
        <v>0</v>
      </c>
      <c r="Z24" s="80">
        <f t="shared" si="26"/>
        <v>0</v>
      </c>
      <c r="AA24" s="80">
        <f t="shared" si="27"/>
        <v>0</v>
      </c>
      <c r="AB24" s="80">
        <f t="shared" si="28"/>
        <v>0</v>
      </c>
      <c r="AC24" s="107">
        <f t="shared" si="22"/>
        <v>0</v>
      </c>
    </row>
    <row r="25" spans="1:29" s="83" customFormat="1" ht="15" customHeight="1">
      <c r="A25" s="1267"/>
      <c r="B25" s="97"/>
      <c r="C25" s="98"/>
      <c r="D25" s="78"/>
      <c r="E25" s="102" t="s">
        <v>278</v>
      </c>
      <c r="F25" s="104"/>
      <c r="G25" s="104"/>
      <c r="H25" s="104"/>
      <c r="I25" s="105"/>
      <c r="J25" s="104">
        <f t="shared" si="23"/>
        <v>0</v>
      </c>
      <c r="K25" s="104">
        <f t="shared" si="29"/>
        <v>0</v>
      </c>
      <c r="L25" s="104">
        <f t="shared" si="30"/>
        <v>0</v>
      </c>
      <c r="M25" s="104"/>
      <c r="N25" s="104"/>
      <c r="O25" s="104"/>
      <c r="P25" s="104"/>
      <c r="Q25" s="104">
        <f t="shared" si="24"/>
        <v>0</v>
      </c>
      <c r="R25" s="104">
        <f t="shared" si="31"/>
        <v>0</v>
      </c>
      <c r="S25" s="104">
        <f t="shared" si="25"/>
        <v>0</v>
      </c>
      <c r="T25" s="105"/>
      <c r="U25" s="100">
        <f t="shared" si="19"/>
        <v>0</v>
      </c>
      <c r="V25" s="79"/>
      <c r="W25" s="134">
        <f t="shared" si="20"/>
        <v>0</v>
      </c>
      <c r="X25" s="106"/>
      <c r="Y25" s="106">
        <f t="shared" si="21"/>
        <v>0</v>
      </c>
      <c r="Z25" s="80">
        <f t="shared" si="26"/>
        <v>0</v>
      </c>
      <c r="AA25" s="80">
        <f t="shared" si="27"/>
        <v>0</v>
      </c>
      <c r="AB25" s="80">
        <f t="shared" si="28"/>
        <v>0</v>
      </c>
      <c r="AC25" s="107">
        <f t="shared" si="22"/>
        <v>0</v>
      </c>
    </row>
    <row r="26" spans="1:29" s="83" customFormat="1" ht="15" customHeight="1">
      <c r="A26" s="1267"/>
      <c r="B26" s="97"/>
      <c r="C26" s="98"/>
      <c r="D26" s="78"/>
      <c r="E26" s="102" t="s">
        <v>279</v>
      </c>
      <c r="F26" s="106"/>
      <c r="G26" s="104"/>
      <c r="H26" s="103"/>
      <c r="I26" s="105"/>
      <c r="J26" s="104">
        <f t="shared" si="23"/>
        <v>0</v>
      </c>
      <c r="K26" s="104">
        <f t="shared" si="29"/>
        <v>0</v>
      </c>
      <c r="L26" s="104">
        <f t="shared" si="30"/>
        <v>0</v>
      </c>
      <c r="M26" s="104"/>
      <c r="N26" s="104"/>
      <c r="O26" s="104"/>
      <c r="P26" s="104"/>
      <c r="Q26" s="104">
        <f t="shared" si="24"/>
        <v>0</v>
      </c>
      <c r="R26" s="104">
        <f t="shared" si="31"/>
        <v>0</v>
      </c>
      <c r="S26" s="104">
        <f t="shared" si="25"/>
        <v>0</v>
      </c>
      <c r="T26" s="105"/>
      <c r="U26" s="100">
        <f t="shared" si="19"/>
        <v>0</v>
      </c>
      <c r="V26" s="79"/>
      <c r="W26" s="134">
        <f t="shared" si="20"/>
        <v>0</v>
      </c>
      <c r="X26" s="106"/>
      <c r="Y26" s="106">
        <f t="shared" si="21"/>
        <v>0</v>
      </c>
      <c r="Z26" s="80">
        <f t="shared" si="26"/>
        <v>0</v>
      </c>
      <c r="AA26" s="80">
        <f t="shared" si="27"/>
        <v>0</v>
      </c>
      <c r="AB26" s="80">
        <f t="shared" si="28"/>
        <v>0</v>
      </c>
      <c r="AC26" s="107">
        <f t="shared" si="22"/>
        <v>0</v>
      </c>
    </row>
    <row r="27" spans="1:29" s="83" customFormat="1" ht="15" customHeight="1">
      <c r="A27" s="1267"/>
      <c r="B27" s="97"/>
      <c r="C27" s="98"/>
      <c r="D27" s="78"/>
      <c r="E27" s="102" t="s">
        <v>280</v>
      </c>
      <c r="F27" s="106"/>
      <c r="G27" s="104"/>
      <c r="H27" s="104"/>
      <c r="I27" s="105"/>
      <c r="J27" s="104">
        <f t="shared" si="23"/>
        <v>0</v>
      </c>
      <c r="K27" s="104">
        <f t="shared" si="29"/>
        <v>0</v>
      </c>
      <c r="L27" s="104">
        <f t="shared" si="30"/>
        <v>0</v>
      </c>
      <c r="M27" s="104"/>
      <c r="N27" s="104"/>
      <c r="O27" s="104"/>
      <c r="P27" s="104"/>
      <c r="Q27" s="104">
        <f t="shared" si="24"/>
        <v>0</v>
      </c>
      <c r="R27" s="104">
        <f t="shared" si="31"/>
        <v>0</v>
      </c>
      <c r="S27" s="104">
        <f t="shared" si="25"/>
        <v>0</v>
      </c>
      <c r="T27" s="105"/>
      <c r="U27" s="100">
        <f t="shared" si="19"/>
        <v>0</v>
      </c>
      <c r="V27" s="79"/>
      <c r="W27" s="134">
        <f t="shared" si="20"/>
        <v>0</v>
      </c>
      <c r="X27" s="106"/>
      <c r="Y27" s="106">
        <f t="shared" si="21"/>
        <v>0</v>
      </c>
      <c r="Z27" s="80">
        <f t="shared" si="26"/>
        <v>0</v>
      </c>
      <c r="AA27" s="80">
        <f t="shared" si="27"/>
        <v>0</v>
      </c>
      <c r="AB27" s="80">
        <f t="shared" si="28"/>
        <v>0</v>
      </c>
      <c r="AC27" s="107">
        <f t="shared" si="22"/>
        <v>0</v>
      </c>
    </row>
    <row r="28" spans="1:29" s="83" customFormat="1" ht="15" customHeight="1">
      <c r="A28" s="1267"/>
      <c r="B28" s="97"/>
      <c r="C28" s="98"/>
      <c r="D28" s="78"/>
      <c r="E28" s="102" t="s">
        <v>54</v>
      </c>
      <c r="F28" s="104"/>
      <c r="G28" s="104"/>
      <c r="H28" s="104"/>
      <c r="I28" s="105"/>
      <c r="J28" s="104">
        <f t="shared" si="23"/>
        <v>0</v>
      </c>
      <c r="K28" s="104">
        <f t="shared" si="29"/>
        <v>0</v>
      </c>
      <c r="L28" s="104">
        <f t="shared" si="30"/>
        <v>0</v>
      </c>
      <c r="M28" s="104">
        <f t="shared" ref="M28" si="32">F28*60%</f>
        <v>0</v>
      </c>
      <c r="N28" s="104"/>
      <c r="O28" s="104"/>
      <c r="P28" s="104"/>
      <c r="Q28" s="104">
        <f t="shared" si="24"/>
        <v>0</v>
      </c>
      <c r="R28" s="104">
        <f t="shared" si="31"/>
        <v>0</v>
      </c>
      <c r="S28" s="104">
        <f t="shared" si="25"/>
        <v>0</v>
      </c>
      <c r="T28" s="105"/>
      <c r="U28" s="100">
        <f t="shared" si="19"/>
        <v>0</v>
      </c>
      <c r="V28" s="79"/>
      <c r="W28" s="134">
        <f t="shared" si="20"/>
        <v>0</v>
      </c>
      <c r="X28" s="106"/>
      <c r="Y28" s="106">
        <f t="shared" si="21"/>
        <v>0</v>
      </c>
      <c r="Z28" s="80">
        <f t="shared" si="26"/>
        <v>0</v>
      </c>
      <c r="AA28" s="80">
        <f t="shared" si="27"/>
        <v>0</v>
      </c>
      <c r="AB28" s="80">
        <f t="shared" si="28"/>
        <v>0</v>
      </c>
      <c r="AC28" s="107">
        <f t="shared" si="22"/>
        <v>0</v>
      </c>
    </row>
    <row r="29" spans="1:29" s="83" customFormat="1" ht="15" customHeight="1">
      <c r="A29" s="1267"/>
      <c r="B29" s="97"/>
      <c r="C29" s="98"/>
      <c r="D29" s="78"/>
      <c r="E29" s="102" t="s">
        <v>55</v>
      </c>
      <c r="F29" s="104"/>
      <c r="G29" s="104"/>
      <c r="H29" s="104"/>
      <c r="I29" s="105"/>
      <c r="J29" s="104">
        <f t="shared" si="23"/>
        <v>0</v>
      </c>
      <c r="K29" s="104">
        <f t="shared" si="29"/>
        <v>0</v>
      </c>
      <c r="L29" s="104">
        <f t="shared" si="30"/>
        <v>0</v>
      </c>
      <c r="M29" s="104"/>
      <c r="N29" s="104"/>
      <c r="O29" s="104">
        <f t="shared" ref="O29:O31" si="33">O28</f>
        <v>0</v>
      </c>
      <c r="P29" s="104"/>
      <c r="Q29" s="104">
        <f t="shared" si="24"/>
        <v>0</v>
      </c>
      <c r="R29" s="104">
        <f t="shared" si="31"/>
        <v>0</v>
      </c>
      <c r="S29" s="104">
        <f t="shared" si="25"/>
        <v>0</v>
      </c>
      <c r="T29" s="105"/>
      <c r="U29" s="100">
        <f t="shared" si="19"/>
        <v>0</v>
      </c>
      <c r="V29" s="79"/>
      <c r="W29" s="134">
        <f t="shared" si="20"/>
        <v>0</v>
      </c>
      <c r="X29" s="106"/>
      <c r="Y29" s="106">
        <f t="shared" si="21"/>
        <v>0</v>
      </c>
      <c r="Z29" s="80">
        <f t="shared" si="26"/>
        <v>0</v>
      </c>
      <c r="AA29" s="80">
        <f t="shared" si="27"/>
        <v>0</v>
      </c>
      <c r="AB29" s="80">
        <f t="shared" si="28"/>
        <v>0</v>
      </c>
      <c r="AC29" s="107">
        <f t="shared" si="22"/>
        <v>0</v>
      </c>
    </row>
    <row r="30" spans="1:29" s="83" customFormat="1" ht="15" customHeight="1">
      <c r="A30" s="1267"/>
      <c r="B30" s="97"/>
      <c r="C30" s="98"/>
      <c r="D30" s="78"/>
      <c r="E30" s="102" t="s">
        <v>56</v>
      </c>
      <c r="F30" s="104">
        <f>F29</f>
        <v>0</v>
      </c>
      <c r="G30" s="104"/>
      <c r="H30" s="104"/>
      <c r="I30" s="105"/>
      <c r="J30" s="104">
        <f t="shared" si="23"/>
        <v>0</v>
      </c>
      <c r="K30" s="104">
        <f t="shared" si="29"/>
        <v>0</v>
      </c>
      <c r="L30" s="104">
        <f>K30-R30-S30</f>
        <v>0</v>
      </c>
      <c r="M30" s="104"/>
      <c r="N30" s="104"/>
      <c r="O30" s="104">
        <f t="shared" si="33"/>
        <v>0</v>
      </c>
      <c r="P30" s="104"/>
      <c r="Q30" s="104">
        <f t="shared" si="24"/>
        <v>0</v>
      </c>
      <c r="R30" s="104">
        <f t="shared" si="31"/>
        <v>0</v>
      </c>
      <c r="S30" s="104">
        <f t="shared" si="25"/>
        <v>0</v>
      </c>
      <c r="T30" s="105"/>
      <c r="U30" s="100">
        <f t="shared" si="19"/>
        <v>0</v>
      </c>
      <c r="V30" s="79"/>
      <c r="W30" s="134">
        <f t="shared" si="20"/>
        <v>0</v>
      </c>
      <c r="X30" s="106"/>
      <c r="Y30" s="106">
        <f t="shared" si="21"/>
        <v>0</v>
      </c>
      <c r="Z30" s="80">
        <f t="shared" si="26"/>
        <v>0</v>
      </c>
      <c r="AA30" s="80">
        <f t="shared" si="27"/>
        <v>0</v>
      </c>
      <c r="AB30" s="80">
        <f t="shared" si="28"/>
        <v>0</v>
      </c>
      <c r="AC30" s="107">
        <f t="shared" si="22"/>
        <v>0</v>
      </c>
    </row>
    <row r="31" spans="1:29" s="83" customFormat="1" ht="15" customHeight="1">
      <c r="A31" s="1267"/>
      <c r="B31" s="97"/>
      <c r="C31" s="98"/>
      <c r="D31" s="78"/>
      <c r="E31" s="102" t="s">
        <v>281</v>
      </c>
      <c r="F31" s="104">
        <f>F30</f>
        <v>0</v>
      </c>
      <c r="G31" s="104"/>
      <c r="H31" s="104"/>
      <c r="I31" s="105"/>
      <c r="J31" s="104">
        <f t="shared" si="23"/>
        <v>0</v>
      </c>
      <c r="K31" s="104">
        <f>J31*25*2</f>
        <v>0</v>
      </c>
      <c r="L31" s="104">
        <f>K31-R31-S31</f>
        <v>0</v>
      </c>
      <c r="M31" s="104"/>
      <c r="N31" s="104"/>
      <c r="O31" s="104">
        <f t="shared" si="33"/>
        <v>0</v>
      </c>
      <c r="P31" s="104"/>
      <c r="Q31" s="104">
        <f t="shared" si="24"/>
        <v>0</v>
      </c>
      <c r="R31" s="104">
        <f>Q31*20*2</f>
        <v>0</v>
      </c>
      <c r="S31" s="104">
        <f t="shared" ref="S31" si="34">Q31*5*2</f>
        <v>0</v>
      </c>
      <c r="T31" s="105"/>
      <c r="U31" s="100">
        <f t="shared" si="19"/>
        <v>0</v>
      </c>
      <c r="V31" s="79"/>
      <c r="W31" s="134">
        <f t="shared" si="20"/>
        <v>0</v>
      </c>
      <c r="X31" s="106"/>
      <c r="Y31" s="106">
        <f t="shared" si="21"/>
        <v>0</v>
      </c>
      <c r="Z31" s="80">
        <f t="shared" si="26"/>
        <v>0</v>
      </c>
      <c r="AA31" s="80">
        <f t="shared" si="27"/>
        <v>0</v>
      </c>
      <c r="AB31" s="80">
        <f t="shared" si="28"/>
        <v>0</v>
      </c>
      <c r="AC31" s="107">
        <f t="shared" si="22"/>
        <v>0</v>
      </c>
    </row>
    <row r="32" spans="1:29" s="83" customFormat="1" ht="12.75" customHeight="1">
      <c r="A32" s="1267">
        <v>3</v>
      </c>
      <c r="B32" s="97" t="s">
        <v>799</v>
      </c>
      <c r="C32" s="98" t="s">
        <v>800</v>
      </c>
      <c r="D32" s="78">
        <v>1</v>
      </c>
      <c r="E32" s="99" t="s">
        <v>86</v>
      </c>
      <c r="F32" s="100">
        <f t="shared" ref="F32:U32" si="35">SUM(F33:F44)</f>
        <v>0</v>
      </c>
      <c r="G32" s="100">
        <f t="shared" si="35"/>
        <v>0</v>
      </c>
      <c r="H32" s="100">
        <f t="shared" si="35"/>
        <v>0</v>
      </c>
      <c r="I32" s="100">
        <f t="shared" ref="I32:N32" si="36">SUM(I33:I44)</f>
        <v>0</v>
      </c>
      <c r="J32" s="100">
        <f t="shared" si="36"/>
        <v>0</v>
      </c>
      <c r="K32" s="100">
        <f t="shared" ref="K32:L32" si="37">SUM(K33:K44)</f>
        <v>0</v>
      </c>
      <c r="L32" s="100">
        <f t="shared" si="37"/>
        <v>0</v>
      </c>
      <c r="M32" s="100">
        <f t="shared" si="36"/>
        <v>0</v>
      </c>
      <c r="N32" s="100">
        <f t="shared" si="36"/>
        <v>0</v>
      </c>
      <c r="O32" s="100">
        <f t="shared" si="35"/>
        <v>0</v>
      </c>
      <c r="P32" s="100"/>
      <c r="Q32" s="100"/>
      <c r="R32" s="100">
        <f t="shared" ref="R32" si="38">SUM(R33:R44)</f>
        <v>0</v>
      </c>
      <c r="S32" s="100">
        <f t="shared" ref="S32" si="39">SUM(S33:S44)</f>
        <v>0</v>
      </c>
      <c r="T32" s="100"/>
      <c r="U32" s="100">
        <f t="shared" si="35"/>
        <v>0</v>
      </c>
      <c r="V32" s="79"/>
      <c r="W32" s="143">
        <f t="shared" ref="W32:X32" si="40">SUM(W33:W44)</f>
        <v>0</v>
      </c>
      <c r="X32" s="100">
        <f t="shared" si="40"/>
        <v>0</v>
      </c>
      <c r="Y32" s="100">
        <f t="shared" ref="Y32:AB32" si="41">SUM(Y33:Y44)</f>
        <v>0</v>
      </c>
      <c r="Z32" s="100">
        <f t="shared" si="41"/>
        <v>0</v>
      </c>
      <c r="AA32" s="100">
        <f t="shared" si="41"/>
        <v>0</v>
      </c>
      <c r="AB32" s="100">
        <f t="shared" si="41"/>
        <v>0</v>
      </c>
      <c r="AC32" s="101">
        <f>SUM(AC33:AC44)</f>
        <v>0</v>
      </c>
    </row>
    <row r="33" spans="1:29" s="82" customFormat="1" ht="12.75" customHeight="1">
      <c r="A33" s="1267"/>
      <c r="B33" s="97" t="s">
        <v>802</v>
      </c>
      <c r="C33" s="171">
        <v>13</v>
      </c>
      <c r="D33" s="171"/>
      <c r="E33" s="172" t="s">
        <v>273</v>
      </c>
      <c r="F33" s="173"/>
      <c r="G33" s="104"/>
      <c r="H33" s="103"/>
      <c r="I33" s="105"/>
      <c r="J33" s="104"/>
      <c r="K33" s="104"/>
      <c r="L33" s="104"/>
      <c r="M33" s="104">
        <f t="shared" ref="M33" si="42">F33*60%</f>
        <v>0</v>
      </c>
      <c r="N33" s="104"/>
      <c r="O33" s="104"/>
      <c r="P33" s="104"/>
      <c r="Q33" s="104"/>
      <c r="R33" s="104"/>
      <c r="S33" s="104"/>
      <c r="T33" s="105"/>
      <c r="U33" s="100">
        <f t="shared" ref="U33" si="43">SUM(I33,L33)</f>
        <v>0</v>
      </c>
      <c r="V33" s="130"/>
      <c r="W33" s="134">
        <f t="shared" ref="W33:W34" si="44">ROUNDUP(U33*1/12,-1)</f>
        <v>0</v>
      </c>
      <c r="X33" s="106"/>
      <c r="Y33" s="106">
        <f t="shared" ref="Y33" si="45">ROUNDUP((U33-L33)*3.06%,-1)</f>
        <v>0</v>
      </c>
      <c r="Z33" s="106">
        <f t="shared" ref="Z33:Z96" si="46">ROUNDUP(Y33*6.55%,-1)</f>
        <v>0</v>
      </c>
      <c r="AA33" s="106">
        <f t="shared" ref="AA33:AA44" si="47">ROUND(U33*0.9%,-1)</f>
        <v>0</v>
      </c>
      <c r="AB33" s="106">
        <f t="shared" ref="AB33:AB44" si="48">ROUND(U33*0.8%,-1)</f>
        <v>0</v>
      </c>
      <c r="AC33" s="107">
        <f t="shared" ref="AC33:AC44" si="49">SUM(W33:AB33)</f>
        <v>0</v>
      </c>
    </row>
    <row r="34" spans="1:29" s="82" customFormat="1" ht="12.75" customHeight="1">
      <c r="A34" s="1267"/>
      <c r="B34" s="97"/>
      <c r="C34" s="98"/>
      <c r="D34" s="98"/>
      <c r="E34" s="102" t="s">
        <v>274</v>
      </c>
      <c r="F34" s="104"/>
      <c r="G34" s="104"/>
      <c r="H34" s="104"/>
      <c r="I34" s="105"/>
      <c r="J34" s="104">
        <f t="shared" ref="J34:J44" si="50">ROUND((F33+I33+T33)*1/209*1.5,-1)</f>
        <v>0</v>
      </c>
      <c r="K34" s="104">
        <f>J34*25</f>
        <v>0</v>
      </c>
      <c r="L34" s="104">
        <f>K34-R34-S34</f>
        <v>0</v>
      </c>
      <c r="M34" s="104"/>
      <c r="N34" s="104"/>
      <c r="O34" s="104"/>
      <c r="P34" s="104"/>
      <c r="Q34" s="104">
        <f t="shared" ref="Q34" si="51">ROUND((F33+T33)*1/209*1.5,-1)</f>
        <v>0</v>
      </c>
      <c r="R34" s="104">
        <f>Q34*20</f>
        <v>0</v>
      </c>
      <c r="S34" s="104">
        <f t="shared" ref="S34" si="52">Q34*5</f>
        <v>0</v>
      </c>
      <c r="T34" s="105"/>
      <c r="U34" s="100">
        <f t="shared" si="19"/>
        <v>0</v>
      </c>
      <c r="V34" s="130"/>
      <c r="W34" s="134">
        <f t="shared" si="44"/>
        <v>0</v>
      </c>
      <c r="X34" s="106"/>
      <c r="Y34" s="106">
        <f t="shared" si="21"/>
        <v>0</v>
      </c>
      <c r="Z34" s="106">
        <f t="shared" si="46"/>
        <v>0</v>
      </c>
      <c r="AA34" s="106">
        <f t="shared" si="47"/>
        <v>0</v>
      </c>
      <c r="AB34" s="106">
        <f t="shared" si="48"/>
        <v>0</v>
      </c>
      <c r="AC34" s="107">
        <f t="shared" si="49"/>
        <v>0</v>
      </c>
    </row>
    <row r="35" spans="1:29" s="82" customFormat="1" ht="12.75" customHeight="1">
      <c r="A35" s="1267"/>
      <c r="B35" s="97"/>
      <c r="C35" s="98"/>
      <c r="D35" s="98"/>
      <c r="E35" s="102" t="s">
        <v>275</v>
      </c>
      <c r="F35" s="104"/>
      <c r="G35" s="104"/>
      <c r="H35" s="104"/>
      <c r="I35" s="105"/>
      <c r="J35" s="104">
        <f t="shared" si="50"/>
        <v>0</v>
      </c>
      <c r="K35" s="104">
        <f t="shared" ref="K35:K43" si="53">J35*25</f>
        <v>0</v>
      </c>
      <c r="L35" s="104">
        <f t="shared" ref="L35:L42" si="54">K35-R35-S35</f>
        <v>0</v>
      </c>
      <c r="M35" s="104"/>
      <c r="N35" s="104"/>
      <c r="O35" s="104"/>
      <c r="P35" s="104"/>
      <c r="Q35" s="104">
        <f t="shared" si="24"/>
        <v>0</v>
      </c>
      <c r="R35" s="104">
        <f t="shared" ref="R35:R43" si="55">Q35*20</f>
        <v>0</v>
      </c>
      <c r="S35" s="104">
        <f t="shared" si="25"/>
        <v>0</v>
      </c>
      <c r="T35" s="105"/>
      <c r="U35" s="100">
        <f t="shared" si="19"/>
        <v>0</v>
      </c>
      <c r="V35" s="130"/>
      <c r="W35" s="134">
        <f t="shared" si="20"/>
        <v>0</v>
      </c>
      <c r="X35" s="106"/>
      <c r="Y35" s="106">
        <f t="shared" si="21"/>
        <v>0</v>
      </c>
      <c r="Z35" s="106">
        <f t="shared" si="46"/>
        <v>0</v>
      </c>
      <c r="AA35" s="106">
        <f t="shared" si="47"/>
        <v>0</v>
      </c>
      <c r="AB35" s="106">
        <f t="shared" si="48"/>
        <v>0</v>
      </c>
      <c r="AC35" s="107">
        <f t="shared" si="49"/>
        <v>0</v>
      </c>
    </row>
    <row r="36" spans="1:29" s="82" customFormat="1" ht="12.75" customHeight="1">
      <c r="A36" s="1267"/>
      <c r="B36" s="97"/>
      <c r="C36" s="98"/>
      <c r="D36" s="98"/>
      <c r="E36" s="102" t="s">
        <v>276</v>
      </c>
      <c r="F36" s="104"/>
      <c r="G36" s="104"/>
      <c r="H36" s="104"/>
      <c r="I36" s="105"/>
      <c r="J36" s="104">
        <f t="shared" si="50"/>
        <v>0</v>
      </c>
      <c r="K36" s="104">
        <f t="shared" si="53"/>
        <v>0</v>
      </c>
      <c r="L36" s="104">
        <f t="shared" si="54"/>
        <v>0</v>
      </c>
      <c r="M36" s="104"/>
      <c r="N36" s="104"/>
      <c r="O36" s="104"/>
      <c r="P36" s="104"/>
      <c r="Q36" s="104">
        <f t="shared" si="24"/>
        <v>0</v>
      </c>
      <c r="R36" s="104">
        <f t="shared" si="55"/>
        <v>0</v>
      </c>
      <c r="S36" s="104">
        <f t="shared" si="25"/>
        <v>0</v>
      </c>
      <c r="T36" s="105"/>
      <c r="U36" s="100">
        <f t="shared" si="19"/>
        <v>0</v>
      </c>
      <c r="V36" s="130"/>
      <c r="W36" s="134">
        <f t="shared" si="20"/>
        <v>0</v>
      </c>
      <c r="X36" s="106"/>
      <c r="Y36" s="106">
        <f t="shared" si="21"/>
        <v>0</v>
      </c>
      <c r="Z36" s="106">
        <f t="shared" si="46"/>
        <v>0</v>
      </c>
      <c r="AA36" s="106">
        <f t="shared" si="47"/>
        <v>0</v>
      </c>
      <c r="AB36" s="106">
        <f t="shared" si="48"/>
        <v>0</v>
      </c>
      <c r="AC36" s="107">
        <f t="shared" si="49"/>
        <v>0</v>
      </c>
    </row>
    <row r="37" spans="1:29" s="82" customFormat="1" ht="12.75" customHeight="1">
      <c r="A37" s="1267"/>
      <c r="B37" s="97"/>
      <c r="C37" s="98"/>
      <c r="D37" s="98"/>
      <c r="E37" s="102" t="s">
        <v>277</v>
      </c>
      <c r="F37" s="104"/>
      <c r="G37" s="104"/>
      <c r="H37" s="104"/>
      <c r="I37" s="105"/>
      <c r="J37" s="104">
        <f t="shared" si="50"/>
        <v>0</v>
      </c>
      <c r="K37" s="104">
        <f t="shared" si="53"/>
        <v>0</v>
      </c>
      <c r="L37" s="104">
        <f t="shared" si="54"/>
        <v>0</v>
      </c>
      <c r="M37" s="104"/>
      <c r="N37" s="104"/>
      <c r="O37" s="104"/>
      <c r="P37" s="104"/>
      <c r="Q37" s="104">
        <f t="shared" si="24"/>
        <v>0</v>
      </c>
      <c r="R37" s="104">
        <f t="shared" si="55"/>
        <v>0</v>
      </c>
      <c r="S37" s="104">
        <f t="shared" si="25"/>
        <v>0</v>
      </c>
      <c r="T37" s="105"/>
      <c r="U37" s="100">
        <f t="shared" si="19"/>
        <v>0</v>
      </c>
      <c r="V37" s="130"/>
      <c r="W37" s="134">
        <f t="shared" si="20"/>
        <v>0</v>
      </c>
      <c r="X37" s="106"/>
      <c r="Y37" s="106">
        <f t="shared" si="21"/>
        <v>0</v>
      </c>
      <c r="Z37" s="106">
        <f t="shared" si="46"/>
        <v>0</v>
      </c>
      <c r="AA37" s="106">
        <f t="shared" si="47"/>
        <v>0</v>
      </c>
      <c r="AB37" s="106">
        <f t="shared" si="48"/>
        <v>0</v>
      </c>
      <c r="AC37" s="107">
        <f t="shared" si="49"/>
        <v>0</v>
      </c>
    </row>
    <row r="38" spans="1:29" s="82" customFormat="1" ht="12.75" customHeight="1">
      <c r="A38" s="1267"/>
      <c r="B38" s="97"/>
      <c r="C38" s="98"/>
      <c r="D38" s="98"/>
      <c r="E38" s="102" t="s">
        <v>278</v>
      </c>
      <c r="F38" s="75"/>
      <c r="G38" s="104"/>
      <c r="H38" s="104"/>
      <c r="I38" s="105"/>
      <c r="J38" s="104">
        <f t="shared" si="50"/>
        <v>0</v>
      </c>
      <c r="K38" s="104">
        <f t="shared" si="53"/>
        <v>0</v>
      </c>
      <c r="L38" s="104">
        <f t="shared" si="54"/>
        <v>0</v>
      </c>
      <c r="M38" s="104"/>
      <c r="N38" s="104"/>
      <c r="O38" s="104"/>
      <c r="P38" s="104"/>
      <c r="Q38" s="104">
        <f t="shared" si="24"/>
        <v>0</v>
      </c>
      <c r="R38" s="104">
        <f t="shared" si="55"/>
        <v>0</v>
      </c>
      <c r="S38" s="104">
        <f t="shared" si="25"/>
        <v>0</v>
      </c>
      <c r="T38" s="105"/>
      <c r="U38" s="100">
        <f t="shared" si="19"/>
        <v>0</v>
      </c>
      <c r="V38" s="130"/>
      <c r="W38" s="134">
        <f t="shared" si="20"/>
        <v>0</v>
      </c>
      <c r="X38" s="106"/>
      <c r="Y38" s="106">
        <f t="shared" si="21"/>
        <v>0</v>
      </c>
      <c r="Z38" s="106">
        <f t="shared" si="46"/>
        <v>0</v>
      </c>
      <c r="AA38" s="106">
        <f t="shared" si="47"/>
        <v>0</v>
      </c>
      <c r="AB38" s="106">
        <f t="shared" si="48"/>
        <v>0</v>
      </c>
      <c r="AC38" s="107">
        <f t="shared" si="49"/>
        <v>0</v>
      </c>
    </row>
    <row r="39" spans="1:29" s="82" customFormat="1" ht="12.75" customHeight="1">
      <c r="A39" s="1267"/>
      <c r="B39" s="97"/>
      <c r="C39" s="171">
        <v>14</v>
      </c>
      <c r="D39" s="171"/>
      <c r="E39" s="172" t="s">
        <v>279</v>
      </c>
      <c r="F39" s="173"/>
      <c r="G39" s="104"/>
      <c r="H39" s="103"/>
      <c r="I39" s="105"/>
      <c r="J39" s="104">
        <f t="shared" si="50"/>
        <v>0</v>
      </c>
      <c r="K39" s="104">
        <f t="shared" si="53"/>
        <v>0</v>
      </c>
      <c r="L39" s="104">
        <f t="shared" si="54"/>
        <v>0</v>
      </c>
      <c r="M39" s="104"/>
      <c r="N39" s="104"/>
      <c r="O39" s="104"/>
      <c r="P39" s="104"/>
      <c r="Q39" s="104">
        <f t="shared" si="24"/>
        <v>0</v>
      </c>
      <c r="R39" s="104">
        <f t="shared" si="55"/>
        <v>0</v>
      </c>
      <c r="S39" s="104">
        <f t="shared" si="25"/>
        <v>0</v>
      </c>
      <c r="T39" s="105"/>
      <c r="U39" s="100">
        <f t="shared" si="19"/>
        <v>0</v>
      </c>
      <c r="V39" s="130"/>
      <c r="W39" s="134">
        <f t="shared" si="20"/>
        <v>0</v>
      </c>
      <c r="X39" s="106"/>
      <c r="Y39" s="106">
        <f t="shared" si="21"/>
        <v>0</v>
      </c>
      <c r="Z39" s="106">
        <f t="shared" si="46"/>
        <v>0</v>
      </c>
      <c r="AA39" s="106">
        <f t="shared" si="47"/>
        <v>0</v>
      </c>
      <c r="AB39" s="106">
        <f t="shared" si="48"/>
        <v>0</v>
      </c>
      <c r="AC39" s="107">
        <f t="shared" si="49"/>
        <v>0</v>
      </c>
    </row>
    <row r="40" spans="1:29" s="82" customFormat="1" ht="12.75" customHeight="1">
      <c r="A40" s="1267"/>
      <c r="B40" s="97"/>
      <c r="C40" s="98"/>
      <c r="D40" s="98"/>
      <c r="E40" s="102" t="s">
        <v>280</v>
      </c>
      <c r="F40" s="104"/>
      <c r="G40" s="104"/>
      <c r="H40" s="104"/>
      <c r="I40" s="105"/>
      <c r="J40" s="104">
        <f t="shared" si="50"/>
        <v>0</v>
      </c>
      <c r="K40" s="104">
        <f t="shared" si="53"/>
        <v>0</v>
      </c>
      <c r="L40" s="104">
        <f t="shared" si="54"/>
        <v>0</v>
      </c>
      <c r="M40" s="104"/>
      <c r="N40" s="104"/>
      <c r="O40" s="104"/>
      <c r="P40" s="104"/>
      <c r="Q40" s="104">
        <f t="shared" si="24"/>
        <v>0</v>
      </c>
      <c r="R40" s="104">
        <f t="shared" si="55"/>
        <v>0</v>
      </c>
      <c r="S40" s="104">
        <f t="shared" si="25"/>
        <v>0</v>
      </c>
      <c r="T40" s="105"/>
      <c r="U40" s="100">
        <f t="shared" si="19"/>
        <v>0</v>
      </c>
      <c r="V40" s="130"/>
      <c r="W40" s="134">
        <f t="shared" si="20"/>
        <v>0</v>
      </c>
      <c r="X40" s="106"/>
      <c r="Y40" s="106">
        <f t="shared" si="21"/>
        <v>0</v>
      </c>
      <c r="Z40" s="106">
        <f t="shared" si="46"/>
        <v>0</v>
      </c>
      <c r="AA40" s="106">
        <f t="shared" si="47"/>
        <v>0</v>
      </c>
      <c r="AB40" s="106">
        <f t="shared" si="48"/>
        <v>0</v>
      </c>
      <c r="AC40" s="107">
        <f t="shared" si="49"/>
        <v>0</v>
      </c>
    </row>
    <row r="41" spans="1:29" s="82" customFormat="1" ht="12.75" customHeight="1">
      <c r="A41" s="1267"/>
      <c r="B41" s="97"/>
      <c r="C41" s="98"/>
      <c r="D41" s="98"/>
      <c r="E41" s="102" t="s">
        <v>54</v>
      </c>
      <c r="F41" s="104"/>
      <c r="G41" s="104"/>
      <c r="H41" s="104"/>
      <c r="I41" s="105"/>
      <c r="J41" s="104">
        <f t="shared" si="50"/>
        <v>0</v>
      </c>
      <c r="K41" s="104">
        <f t="shared" si="53"/>
        <v>0</v>
      </c>
      <c r="L41" s="104">
        <f t="shared" si="54"/>
        <v>0</v>
      </c>
      <c r="M41" s="104">
        <f t="shared" ref="M41" si="56">F41*60%</f>
        <v>0</v>
      </c>
      <c r="N41" s="104"/>
      <c r="O41" s="104"/>
      <c r="P41" s="104"/>
      <c r="Q41" s="104">
        <f t="shared" si="24"/>
        <v>0</v>
      </c>
      <c r="R41" s="104">
        <f t="shared" si="55"/>
        <v>0</v>
      </c>
      <c r="S41" s="104">
        <f t="shared" si="25"/>
        <v>0</v>
      </c>
      <c r="T41" s="105"/>
      <c r="U41" s="100">
        <f t="shared" si="19"/>
        <v>0</v>
      </c>
      <c r="V41" s="130"/>
      <c r="W41" s="134">
        <f t="shared" si="20"/>
        <v>0</v>
      </c>
      <c r="X41" s="106"/>
      <c r="Y41" s="106">
        <f t="shared" si="21"/>
        <v>0</v>
      </c>
      <c r="Z41" s="106">
        <f t="shared" si="46"/>
        <v>0</v>
      </c>
      <c r="AA41" s="106">
        <f t="shared" si="47"/>
        <v>0</v>
      </c>
      <c r="AB41" s="106">
        <f t="shared" si="48"/>
        <v>0</v>
      </c>
      <c r="AC41" s="107">
        <f t="shared" si="49"/>
        <v>0</v>
      </c>
    </row>
    <row r="42" spans="1:29" s="82" customFormat="1" ht="12.75" customHeight="1">
      <c r="A42" s="1267"/>
      <c r="B42" s="97"/>
      <c r="C42" s="98"/>
      <c r="D42" s="98"/>
      <c r="E42" s="102" t="s">
        <v>55</v>
      </c>
      <c r="F42" s="104"/>
      <c r="G42" s="104"/>
      <c r="H42" s="104"/>
      <c r="I42" s="105"/>
      <c r="J42" s="104">
        <f t="shared" si="50"/>
        <v>0</v>
      </c>
      <c r="K42" s="104">
        <f t="shared" si="53"/>
        <v>0</v>
      </c>
      <c r="L42" s="104">
        <f t="shared" si="54"/>
        <v>0</v>
      </c>
      <c r="M42" s="104"/>
      <c r="N42" s="104"/>
      <c r="O42" s="104"/>
      <c r="P42" s="104"/>
      <c r="Q42" s="104">
        <f t="shared" si="24"/>
        <v>0</v>
      </c>
      <c r="R42" s="104">
        <f t="shared" si="55"/>
        <v>0</v>
      </c>
      <c r="S42" s="104">
        <f t="shared" si="25"/>
        <v>0</v>
      </c>
      <c r="T42" s="105"/>
      <c r="U42" s="100">
        <f t="shared" si="19"/>
        <v>0</v>
      </c>
      <c r="V42" s="130"/>
      <c r="W42" s="134">
        <f t="shared" si="20"/>
        <v>0</v>
      </c>
      <c r="X42" s="106"/>
      <c r="Y42" s="106">
        <f t="shared" si="21"/>
        <v>0</v>
      </c>
      <c r="Z42" s="106">
        <f t="shared" si="46"/>
        <v>0</v>
      </c>
      <c r="AA42" s="106">
        <f t="shared" si="47"/>
        <v>0</v>
      </c>
      <c r="AB42" s="106">
        <f t="shared" si="48"/>
        <v>0</v>
      </c>
      <c r="AC42" s="107">
        <f t="shared" si="49"/>
        <v>0</v>
      </c>
    </row>
    <row r="43" spans="1:29" s="82" customFormat="1" ht="14.25" customHeight="1">
      <c r="A43" s="1267"/>
      <c r="B43" s="97"/>
      <c r="C43" s="98"/>
      <c r="D43" s="98"/>
      <c r="E43" s="102" t="s">
        <v>56</v>
      </c>
      <c r="F43" s="104"/>
      <c r="G43" s="104"/>
      <c r="H43" s="104"/>
      <c r="I43" s="105"/>
      <c r="J43" s="104">
        <f t="shared" si="50"/>
        <v>0</v>
      </c>
      <c r="K43" s="104">
        <f t="shared" si="53"/>
        <v>0</v>
      </c>
      <c r="L43" s="104">
        <f>K43-R43-S43</f>
        <v>0</v>
      </c>
      <c r="M43" s="104"/>
      <c r="N43" s="104"/>
      <c r="O43" s="104"/>
      <c r="P43" s="104"/>
      <c r="Q43" s="104">
        <f t="shared" si="24"/>
        <v>0</v>
      </c>
      <c r="R43" s="104">
        <f t="shared" si="55"/>
        <v>0</v>
      </c>
      <c r="S43" s="104">
        <f t="shared" si="25"/>
        <v>0</v>
      </c>
      <c r="T43" s="105"/>
      <c r="U43" s="100">
        <f t="shared" si="19"/>
        <v>0</v>
      </c>
      <c r="V43" s="130"/>
      <c r="W43" s="134">
        <f t="shared" si="20"/>
        <v>0</v>
      </c>
      <c r="X43" s="106"/>
      <c r="Y43" s="106">
        <f t="shared" si="21"/>
        <v>0</v>
      </c>
      <c r="Z43" s="106">
        <f t="shared" si="46"/>
        <v>0</v>
      </c>
      <c r="AA43" s="106">
        <f t="shared" si="47"/>
        <v>0</v>
      </c>
      <c r="AB43" s="106">
        <f t="shared" si="48"/>
        <v>0</v>
      </c>
      <c r="AC43" s="107">
        <f t="shared" si="49"/>
        <v>0</v>
      </c>
    </row>
    <row r="44" spans="1:29" s="82" customFormat="1" ht="14.25" customHeight="1">
      <c r="A44" s="1267"/>
      <c r="B44" s="97"/>
      <c r="C44" s="98"/>
      <c r="D44" s="98"/>
      <c r="E44" s="102" t="s">
        <v>281</v>
      </c>
      <c r="F44" s="104"/>
      <c r="G44" s="104"/>
      <c r="H44" s="104"/>
      <c r="I44" s="105"/>
      <c r="J44" s="104">
        <f t="shared" si="50"/>
        <v>0</v>
      </c>
      <c r="K44" s="104">
        <f>J44*25*2</f>
        <v>0</v>
      </c>
      <c r="L44" s="104">
        <f>K44-R44-S44</f>
        <v>0</v>
      </c>
      <c r="M44" s="104"/>
      <c r="N44" s="104"/>
      <c r="O44" s="104"/>
      <c r="P44" s="104"/>
      <c r="Q44" s="104">
        <f t="shared" si="24"/>
        <v>0</v>
      </c>
      <c r="R44" s="104">
        <f>Q44*20*2</f>
        <v>0</v>
      </c>
      <c r="S44" s="104">
        <f t="shared" ref="S44" si="57">Q44*5*2</f>
        <v>0</v>
      </c>
      <c r="T44" s="105"/>
      <c r="U44" s="100">
        <f t="shared" si="19"/>
        <v>0</v>
      </c>
      <c r="V44" s="130"/>
      <c r="W44" s="134">
        <f t="shared" si="20"/>
        <v>0</v>
      </c>
      <c r="X44" s="106"/>
      <c r="Y44" s="106">
        <f t="shared" si="21"/>
        <v>0</v>
      </c>
      <c r="Z44" s="106">
        <f t="shared" si="46"/>
        <v>0</v>
      </c>
      <c r="AA44" s="106">
        <f t="shared" si="47"/>
        <v>0</v>
      </c>
      <c r="AB44" s="106">
        <f t="shared" si="48"/>
        <v>0</v>
      </c>
      <c r="AC44" s="107">
        <f t="shared" si="49"/>
        <v>0</v>
      </c>
    </row>
    <row r="45" spans="1:29" s="83" customFormat="1" ht="16.5" customHeight="1">
      <c r="A45" s="1267">
        <v>4</v>
      </c>
      <c r="B45" s="97" t="s">
        <v>431</v>
      </c>
      <c r="C45" s="98" t="s">
        <v>804</v>
      </c>
      <c r="D45" s="98">
        <v>1</v>
      </c>
      <c r="E45" s="99" t="s">
        <v>86</v>
      </c>
      <c r="F45" s="100">
        <f t="shared" ref="F45:U45" si="58">SUM(F46:F57)</f>
        <v>0</v>
      </c>
      <c r="G45" s="100">
        <f t="shared" si="58"/>
        <v>0</v>
      </c>
      <c r="H45" s="100">
        <f t="shared" si="58"/>
        <v>0</v>
      </c>
      <c r="I45" s="100">
        <f t="shared" si="58"/>
        <v>0</v>
      </c>
      <c r="J45" s="100">
        <f t="shared" si="58"/>
        <v>0</v>
      </c>
      <c r="K45" s="100">
        <f t="shared" si="58"/>
        <v>0</v>
      </c>
      <c r="L45" s="100">
        <f t="shared" si="58"/>
        <v>0</v>
      </c>
      <c r="M45" s="100">
        <f t="shared" si="58"/>
        <v>0</v>
      </c>
      <c r="N45" s="100">
        <f t="shared" si="58"/>
        <v>0</v>
      </c>
      <c r="O45" s="100">
        <f t="shared" ref="O45" si="59">SUM(O46:O57)</f>
        <v>0</v>
      </c>
      <c r="P45" s="100"/>
      <c r="Q45" s="100"/>
      <c r="R45" s="100">
        <f t="shared" ref="R45:S45" si="60">SUM(R46:R57)</f>
        <v>0</v>
      </c>
      <c r="S45" s="100">
        <f t="shared" si="60"/>
        <v>0</v>
      </c>
      <c r="T45" s="100"/>
      <c r="U45" s="100">
        <f t="shared" si="58"/>
        <v>0</v>
      </c>
      <c r="V45" s="130"/>
      <c r="W45" s="143">
        <f t="shared" ref="W45:X45" si="61">SUM(W46:W57)</f>
        <v>0</v>
      </c>
      <c r="X45" s="100">
        <f t="shared" si="61"/>
        <v>0</v>
      </c>
      <c r="Y45" s="100">
        <f t="shared" ref="Y45:AB45" si="62">SUM(Y46:Y57)</f>
        <v>0</v>
      </c>
      <c r="Z45" s="100">
        <f t="shared" si="62"/>
        <v>0</v>
      </c>
      <c r="AA45" s="100">
        <f t="shared" si="62"/>
        <v>0</v>
      </c>
      <c r="AB45" s="100">
        <f t="shared" si="62"/>
        <v>0</v>
      </c>
      <c r="AC45" s="101">
        <f>SUM(AC46:AC57)</f>
        <v>0</v>
      </c>
    </row>
    <row r="46" spans="1:29" s="82" customFormat="1" ht="16.5" customHeight="1">
      <c r="A46" s="1267"/>
      <c r="B46" s="97" t="s">
        <v>805</v>
      </c>
      <c r="C46" s="171">
        <v>20</v>
      </c>
      <c r="D46" s="171"/>
      <c r="E46" s="172" t="s">
        <v>273</v>
      </c>
      <c r="F46" s="173"/>
      <c r="G46" s="104"/>
      <c r="H46" s="103"/>
      <c r="I46" s="105"/>
      <c r="J46" s="104"/>
      <c r="K46" s="104"/>
      <c r="L46" s="104"/>
      <c r="M46" s="104">
        <f t="shared" ref="M46" si="63">F46*60%</f>
        <v>0</v>
      </c>
      <c r="N46" s="104"/>
      <c r="O46" s="104"/>
      <c r="P46" s="104"/>
      <c r="Q46" s="104"/>
      <c r="R46" s="104"/>
      <c r="S46" s="104"/>
      <c r="T46" s="105"/>
      <c r="U46" s="100">
        <f t="shared" ref="U46" si="64">SUM(I46,L46)</f>
        <v>0</v>
      </c>
      <c r="V46" s="130"/>
      <c r="W46" s="134">
        <f t="shared" ref="W46:W47" si="65">ROUNDUP(U46*1/12,-1)</f>
        <v>0</v>
      </c>
      <c r="X46" s="106"/>
      <c r="Y46" s="106">
        <f t="shared" ref="Y46" si="66">ROUNDUP((U46-L46)*3.06%,-1)</f>
        <v>0</v>
      </c>
      <c r="Z46" s="106">
        <f>ROUNDUP(Y46*6.55%,-1)</f>
        <v>0</v>
      </c>
      <c r="AA46" s="106">
        <f t="shared" ref="AA46:AA57" si="67">ROUND(U46*0.9%,-1)</f>
        <v>0</v>
      </c>
      <c r="AB46" s="106">
        <f t="shared" ref="AB46:AB57" si="68">ROUND(U46*0.8%,-1)</f>
        <v>0</v>
      </c>
      <c r="AC46" s="107">
        <f t="shared" ref="AC46:AC57" si="69">SUM(W46:AB46)</f>
        <v>0</v>
      </c>
    </row>
    <row r="47" spans="1:29" s="82" customFormat="1" ht="16.5" customHeight="1">
      <c r="A47" s="1267"/>
      <c r="B47" s="97"/>
      <c r="C47" s="98"/>
      <c r="D47" s="98"/>
      <c r="E47" s="102" t="s">
        <v>274</v>
      </c>
      <c r="F47" s="104"/>
      <c r="G47" s="104"/>
      <c r="H47" s="104"/>
      <c r="I47" s="105"/>
      <c r="J47" s="104">
        <f t="shared" ref="J47:J57" si="70">ROUND((F46+I46+T46)*1/209*1.5,-1)</f>
        <v>0</v>
      </c>
      <c r="K47" s="104">
        <f>J47*25</f>
        <v>0</v>
      </c>
      <c r="L47" s="104">
        <f>K47-R47-S47</f>
        <v>0</v>
      </c>
      <c r="M47" s="104"/>
      <c r="N47" s="104"/>
      <c r="O47" s="104"/>
      <c r="P47" s="104"/>
      <c r="Q47" s="104">
        <f t="shared" ref="Q47" si="71">ROUND((F46+T46)*1/209*1.5,-1)</f>
        <v>0</v>
      </c>
      <c r="R47" s="104">
        <f>Q47*20</f>
        <v>0</v>
      </c>
      <c r="S47" s="104">
        <f t="shared" ref="S47" si="72">Q47*5</f>
        <v>0</v>
      </c>
      <c r="T47" s="105"/>
      <c r="U47" s="100">
        <f t="shared" si="19"/>
        <v>0</v>
      </c>
      <c r="V47" s="130"/>
      <c r="W47" s="134">
        <f t="shared" si="65"/>
        <v>0</v>
      </c>
      <c r="X47" s="106"/>
      <c r="Y47" s="106">
        <f t="shared" si="21"/>
        <v>0</v>
      </c>
      <c r="Z47" s="106">
        <f t="shared" si="46"/>
        <v>0</v>
      </c>
      <c r="AA47" s="106">
        <f t="shared" si="67"/>
        <v>0</v>
      </c>
      <c r="AB47" s="106">
        <f t="shared" si="68"/>
        <v>0</v>
      </c>
      <c r="AC47" s="107">
        <f t="shared" si="69"/>
        <v>0</v>
      </c>
    </row>
    <row r="48" spans="1:29" s="82" customFormat="1" ht="16.5" customHeight="1">
      <c r="A48" s="1267"/>
      <c r="B48" s="97"/>
      <c r="C48" s="98"/>
      <c r="D48" s="98"/>
      <c r="E48" s="102" t="s">
        <v>275</v>
      </c>
      <c r="F48" s="104"/>
      <c r="G48" s="104"/>
      <c r="H48" s="104"/>
      <c r="I48" s="105"/>
      <c r="J48" s="104">
        <f t="shared" si="70"/>
        <v>0</v>
      </c>
      <c r="K48" s="104">
        <f t="shared" ref="K48:K56" si="73">J48*25</f>
        <v>0</v>
      </c>
      <c r="L48" s="104">
        <f t="shared" ref="L48:L55" si="74">K48-R48-S48</f>
        <v>0</v>
      </c>
      <c r="M48" s="104"/>
      <c r="N48" s="104"/>
      <c r="O48" s="104"/>
      <c r="P48" s="104"/>
      <c r="Q48" s="104">
        <f t="shared" si="24"/>
        <v>0</v>
      </c>
      <c r="R48" s="104">
        <f t="shared" ref="R48:R56" si="75">Q48*20</f>
        <v>0</v>
      </c>
      <c r="S48" s="104">
        <f t="shared" si="25"/>
        <v>0</v>
      </c>
      <c r="T48" s="105"/>
      <c r="U48" s="100">
        <f t="shared" si="19"/>
        <v>0</v>
      </c>
      <c r="V48" s="130"/>
      <c r="W48" s="134">
        <f t="shared" si="20"/>
        <v>0</v>
      </c>
      <c r="X48" s="106"/>
      <c r="Y48" s="106">
        <f t="shared" si="21"/>
        <v>0</v>
      </c>
      <c r="Z48" s="106">
        <f t="shared" si="46"/>
        <v>0</v>
      </c>
      <c r="AA48" s="106">
        <f t="shared" si="67"/>
        <v>0</v>
      </c>
      <c r="AB48" s="106">
        <f t="shared" si="68"/>
        <v>0</v>
      </c>
      <c r="AC48" s="107">
        <f t="shared" si="69"/>
        <v>0</v>
      </c>
    </row>
    <row r="49" spans="1:29" s="82" customFormat="1" ht="16.5" customHeight="1">
      <c r="A49" s="1267"/>
      <c r="B49" s="97"/>
      <c r="C49" s="171">
        <v>21</v>
      </c>
      <c r="D49" s="171"/>
      <c r="E49" s="172" t="s">
        <v>276</v>
      </c>
      <c r="F49" s="173"/>
      <c r="G49" s="104"/>
      <c r="H49" s="104"/>
      <c r="I49" s="105"/>
      <c r="J49" s="104">
        <f t="shared" si="70"/>
        <v>0</v>
      </c>
      <c r="K49" s="104">
        <f t="shared" si="73"/>
        <v>0</v>
      </c>
      <c r="L49" s="104">
        <f t="shared" si="74"/>
        <v>0</v>
      </c>
      <c r="M49" s="104"/>
      <c r="N49" s="104"/>
      <c r="O49" s="104"/>
      <c r="P49" s="104"/>
      <c r="Q49" s="104">
        <f t="shared" si="24"/>
        <v>0</v>
      </c>
      <c r="R49" s="104">
        <f t="shared" si="75"/>
        <v>0</v>
      </c>
      <c r="S49" s="104">
        <f t="shared" si="25"/>
        <v>0</v>
      </c>
      <c r="T49" s="105"/>
      <c r="U49" s="100">
        <f t="shared" si="19"/>
        <v>0</v>
      </c>
      <c r="V49" s="130"/>
      <c r="W49" s="134">
        <f t="shared" si="20"/>
        <v>0</v>
      </c>
      <c r="X49" s="106"/>
      <c r="Y49" s="106">
        <f t="shared" si="21"/>
        <v>0</v>
      </c>
      <c r="Z49" s="106">
        <f t="shared" si="46"/>
        <v>0</v>
      </c>
      <c r="AA49" s="106">
        <f t="shared" si="67"/>
        <v>0</v>
      </c>
      <c r="AB49" s="106">
        <f t="shared" si="68"/>
        <v>0</v>
      </c>
      <c r="AC49" s="107">
        <f t="shared" si="69"/>
        <v>0</v>
      </c>
    </row>
    <row r="50" spans="1:29" s="82" customFormat="1" ht="16.5" customHeight="1">
      <c r="A50" s="1267"/>
      <c r="B50" s="97"/>
      <c r="C50" s="98"/>
      <c r="D50" s="98"/>
      <c r="E50" s="102" t="s">
        <v>277</v>
      </c>
      <c r="F50" s="104"/>
      <c r="G50" s="104"/>
      <c r="H50" s="104"/>
      <c r="I50" s="105"/>
      <c r="J50" s="104">
        <f t="shared" si="70"/>
        <v>0</v>
      </c>
      <c r="K50" s="104">
        <f t="shared" si="73"/>
        <v>0</v>
      </c>
      <c r="L50" s="104">
        <f t="shared" si="74"/>
        <v>0</v>
      </c>
      <c r="M50" s="104"/>
      <c r="N50" s="104"/>
      <c r="O50" s="104"/>
      <c r="P50" s="104"/>
      <c r="Q50" s="104">
        <f t="shared" si="24"/>
        <v>0</v>
      </c>
      <c r="R50" s="104">
        <f t="shared" si="75"/>
        <v>0</v>
      </c>
      <c r="S50" s="104">
        <f t="shared" si="25"/>
        <v>0</v>
      </c>
      <c r="T50" s="105"/>
      <c r="U50" s="100">
        <f t="shared" si="19"/>
        <v>0</v>
      </c>
      <c r="V50" s="130"/>
      <c r="W50" s="134">
        <f t="shared" si="20"/>
        <v>0</v>
      </c>
      <c r="X50" s="106"/>
      <c r="Y50" s="106">
        <f t="shared" si="21"/>
        <v>0</v>
      </c>
      <c r="Z50" s="106">
        <f t="shared" si="46"/>
        <v>0</v>
      </c>
      <c r="AA50" s="106">
        <f t="shared" si="67"/>
        <v>0</v>
      </c>
      <c r="AB50" s="106">
        <f t="shared" si="68"/>
        <v>0</v>
      </c>
      <c r="AC50" s="107">
        <f t="shared" si="69"/>
        <v>0</v>
      </c>
    </row>
    <row r="51" spans="1:29" s="82" customFormat="1" ht="16.5" customHeight="1">
      <c r="A51" s="1267"/>
      <c r="B51" s="97"/>
      <c r="C51" s="98"/>
      <c r="D51" s="98"/>
      <c r="E51" s="102" t="s">
        <v>278</v>
      </c>
      <c r="F51" s="104"/>
      <c r="G51" s="104"/>
      <c r="H51" s="104"/>
      <c r="I51" s="105"/>
      <c r="J51" s="104">
        <f t="shared" si="70"/>
        <v>0</v>
      </c>
      <c r="K51" s="104">
        <f t="shared" si="73"/>
        <v>0</v>
      </c>
      <c r="L51" s="104">
        <f t="shared" si="74"/>
        <v>0</v>
      </c>
      <c r="M51" s="104"/>
      <c r="N51" s="104"/>
      <c r="O51" s="104"/>
      <c r="P51" s="104"/>
      <c r="Q51" s="104">
        <f t="shared" si="24"/>
        <v>0</v>
      </c>
      <c r="R51" s="104">
        <f t="shared" si="75"/>
        <v>0</v>
      </c>
      <c r="S51" s="104">
        <f t="shared" si="25"/>
        <v>0</v>
      </c>
      <c r="T51" s="105"/>
      <c r="U51" s="100">
        <f t="shared" si="19"/>
        <v>0</v>
      </c>
      <c r="V51" s="130"/>
      <c r="W51" s="134">
        <f t="shared" si="20"/>
        <v>0</v>
      </c>
      <c r="X51" s="106"/>
      <c r="Y51" s="106">
        <f t="shared" si="21"/>
        <v>0</v>
      </c>
      <c r="Z51" s="106">
        <f t="shared" si="46"/>
        <v>0</v>
      </c>
      <c r="AA51" s="106">
        <f t="shared" si="67"/>
        <v>0</v>
      </c>
      <c r="AB51" s="106">
        <f t="shared" si="68"/>
        <v>0</v>
      </c>
      <c r="AC51" s="107">
        <f t="shared" si="69"/>
        <v>0</v>
      </c>
    </row>
    <row r="52" spans="1:29" s="82" customFormat="1" ht="16.5" customHeight="1">
      <c r="A52" s="1267"/>
      <c r="B52" s="97"/>
      <c r="C52" s="98"/>
      <c r="D52" s="98"/>
      <c r="E52" s="102" t="s">
        <v>279</v>
      </c>
      <c r="F52" s="106"/>
      <c r="G52" s="104"/>
      <c r="H52" s="103"/>
      <c r="I52" s="105"/>
      <c r="J52" s="104">
        <f t="shared" si="70"/>
        <v>0</v>
      </c>
      <c r="K52" s="104">
        <f t="shared" si="73"/>
        <v>0</v>
      </c>
      <c r="L52" s="104">
        <f t="shared" si="74"/>
        <v>0</v>
      </c>
      <c r="M52" s="104"/>
      <c r="N52" s="104"/>
      <c r="O52" s="104"/>
      <c r="P52" s="104"/>
      <c r="Q52" s="104">
        <f t="shared" si="24"/>
        <v>0</v>
      </c>
      <c r="R52" s="104">
        <f t="shared" si="75"/>
        <v>0</v>
      </c>
      <c r="S52" s="104">
        <f t="shared" si="25"/>
        <v>0</v>
      </c>
      <c r="T52" s="105"/>
      <c r="U52" s="100">
        <f t="shared" si="19"/>
        <v>0</v>
      </c>
      <c r="V52" s="130"/>
      <c r="W52" s="134">
        <f t="shared" si="20"/>
        <v>0</v>
      </c>
      <c r="X52" s="106"/>
      <c r="Y52" s="106">
        <f t="shared" si="21"/>
        <v>0</v>
      </c>
      <c r="Z52" s="106">
        <f t="shared" si="46"/>
        <v>0</v>
      </c>
      <c r="AA52" s="106">
        <f t="shared" si="67"/>
        <v>0</v>
      </c>
      <c r="AB52" s="106">
        <f t="shared" si="68"/>
        <v>0</v>
      </c>
      <c r="AC52" s="107">
        <f t="shared" si="69"/>
        <v>0</v>
      </c>
    </row>
    <row r="53" spans="1:29" s="82" customFormat="1" ht="16.5" customHeight="1">
      <c r="A53" s="1267"/>
      <c r="B53" s="97"/>
      <c r="C53" s="98"/>
      <c r="D53" s="98"/>
      <c r="E53" s="102" t="s">
        <v>280</v>
      </c>
      <c r="F53" s="104"/>
      <c r="G53" s="104"/>
      <c r="H53" s="104"/>
      <c r="I53" s="105"/>
      <c r="J53" s="104">
        <f t="shared" si="70"/>
        <v>0</v>
      </c>
      <c r="K53" s="104">
        <f t="shared" si="73"/>
        <v>0</v>
      </c>
      <c r="L53" s="104">
        <f t="shared" si="74"/>
        <v>0</v>
      </c>
      <c r="M53" s="104"/>
      <c r="N53" s="104"/>
      <c r="O53" s="104"/>
      <c r="P53" s="104"/>
      <c r="Q53" s="104">
        <f t="shared" si="24"/>
        <v>0</v>
      </c>
      <c r="R53" s="104">
        <f t="shared" si="75"/>
        <v>0</v>
      </c>
      <c r="S53" s="104">
        <f t="shared" si="25"/>
        <v>0</v>
      </c>
      <c r="T53" s="105"/>
      <c r="U53" s="100">
        <f t="shared" si="19"/>
        <v>0</v>
      </c>
      <c r="V53" s="130"/>
      <c r="W53" s="134">
        <f t="shared" si="20"/>
        <v>0</v>
      </c>
      <c r="X53" s="106"/>
      <c r="Y53" s="106">
        <f t="shared" si="21"/>
        <v>0</v>
      </c>
      <c r="Z53" s="106">
        <f t="shared" si="46"/>
        <v>0</v>
      </c>
      <c r="AA53" s="106">
        <f t="shared" si="67"/>
        <v>0</v>
      </c>
      <c r="AB53" s="106">
        <f t="shared" si="68"/>
        <v>0</v>
      </c>
      <c r="AC53" s="107">
        <f t="shared" si="69"/>
        <v>0</v>
      </c>
    </row>
    <row r="54" spans="1:29" s="82" customFormat="1" ht="16.5" customHeight="1">
      <c r="A54" s="1267"/>
      <c r="B54" s="97"/>
      <c r="C54" s="98"/>
      <c r="D54" s="98"/>
      <c r="E54" s="102" t="s">
        <v>54</v>
      </c>
      <c r="F54" s="104"/>
      <c r="G54" s="104"/>
      <c r="H54" s="104"/>
      <c r="I54" s="105"/>
      <c r="J54" s="104">
        <f t="shared" si="70"/>
        <v>0</v>
      </c>
      <c r="K54" s="104">
        <f t="shared" si="73"/>
        <v>0</v>
      </c>
      <c r="L54" s="104">
        <f t="shared" si="74"/>
        <v>0</v>
      </c>
      <c r="M54" s="104">
        <f t="shared" ref="M54" si="76">F54*60%</f>
        <v>0</v>
      </c>
      <c r="N54" s="104"/>
      <c r="O54" s="104"/>
      <c r="P54" s="104"/>
      <c r="Q54" s="104">
        <f t="shared" si="24"/>
        <v>0</v>
      </c>
      <c r="R54" s="104">
        <f t="shared" si="75"/>
        <v>0</v>
      </c>
      <c r="S54" s="104">
        <f t="shared" si="25"/>
        <v>0</v>
      </c>
      <c r="T54" s="105"/>
      <c r="U54" s="100">
        <f t="shared" si="19"/>
        <v>0</v>
      </c>
      <c r="V54" s="130"/>
      <c r="W54" s="134">
        <f t="shared" si="20"/>
        <v>0</v>
      </c>
      <c r="X54" s="106"/>
      <c r="Y54" s="106">
        <f t="shared" si="21"/>
        <v>0</v>
      </c>
      <c r="Z54" s="106">
        <f t="shared" si="46"/>
        <v>0</v>
      </c>
      <c r="AA54" s="106">
        <f t="shared" si="67"/>
        <v>0</v>
      </c>
      <c r="AB54" s="106">
        <f t="shared" si="68"/>
        <v>0</v>
      </c>
      <c r="AC54" s="107">
        <f t="shared" si="69"/>
        <v>0</v>
      </c>
    </row>
    <row r="55" spans="1:29" s="82" customFormat="1" ht="16.5" customHeight="1">
      <c r="A55" s="1267"/>
      <c r="B55" s="97"/>
      <c r="C55" s="98"/>
      <c r="D55" s="98"/>
      <c r="E55" s="102" t="s">
        <v>55</v>
      </c>
      <c r="F55" s="104"/>
      <c r="G55" s="104"/>
      <c r="H55" s="104"/>
      <c r="I55" s="105"/>
      <c r="J55" s="104">
        <f t="shared" si="70"/>
        <v>0</v>
      </c>
      <c r="K55" s="104">
        <f t="shared" si="73"/>
        <v>0</v>
      </c>
      <c r="L55" s="104">
        <f t="shared" si="74"/>
        <v>0</v>
      </c>
      <c r="M55" s="104"/>
      <c r="N55" s="104"/>
      <c r="O55" s="104"/>
      <c r="P55" s="104"/>
      <c r="Q55" s="104">
        <f t="shared" si="24"/>
        <v>0</v>
      </c>
      <c r="R55" s="104">
        <f t="shared" si="75"/>
        <v>0</v>
      </c>
      <c r="S55" s="104">
        <f t="shared" si="25"/>
        <v>0</v>
      </c>
      <c r="T55" s="105"/>
      <c r="U55" s="100">
        <f t="shared" si="19"/>
        <v>0</v>
      </c>
      <c r="V55" s="130"/>
      <c r="W55" s="134">
        <f t="shared" si="20"/>
        <v>0</v>
      </c>
      <c r="X55" s="106"/>
      <c r="Y55" s="106">
        <f t="shared" si="21"/>
        <v>0</v>
      </c>
      <c r="Z55" s="106">
        <f t="shared" si="46"/>
        <v>0</v>
      </c>
      <c r="AA55" s="106">
        <f t="shared" si="67"/>
        <v>0</v>
      </c>
      <c r="AB55" s="106">
        <f t="shared" si="68"/>
        <v>0</v>
      </c>
      <c r="AC55" s="107">
        <f t="shared" si="69"/>
        <v>0</v>
      </c>
    </row>
    <row r="56" spans="1:29" s="82" customFormat="1" ht="16.5" customHeight="1">
      <c r="A56" s="1267"/>
      <c r="B56" s="97"/>
      <c r="C56" s="98"/>
      <c r="D56" s="98"/>
      <c r="E56" s="102" t="s">
        <v>56</v>
      </c>
      <c r="F56" s="104"/>
      <c r="G56" s="104"/>
      <c r="H56" s="104"/>
      <c r="I56" s="105"/>
      <c r="J56" s="104">
        <f t="shared" si="70"/>
        <v>0</v>
      </c>
      <c r="K56" s="104">
        <f t="shared" si="73"/>
        <v>0</v>
      </c>
      <c r="L56" s="104">
        <f>K56-R56-S56</f>
        <v>0</v>
      </c>
      <c r="M56" s="104"/>
      <c r="N56" s="104"/>
      <c r="O56" s="104"/>
      <c r="P56" s="104"/>
      <c r="Q56" s="104">
        <f t="shared" si="24"/>
        <v>0</v>
      </c>
      <c r="R56" s="104">
        <f t="shared" si="75"/>
        <v>0</v>
      </c>
      <c r="S56" s="104">
        <f t="shared" si="25"/>
        <v>0</v>
      </c>
      <c r="T56" s="105"/>
      <c r="U56" s="100">
        <f t="shared" si="19"/>
        <v>0</v>
      </c>
      <c r="V56" s="130"/>
      <c r="W56" s="134">
        <f t="shared" si="20"/>
        <v>0</v>
      </c>
      <c r="X56" s="106"/>
      <c r="Y56" s="106">
        <f t="shared" si="21"/>
        <v>0</v>
      </c>
      <c r="Z56" s="106">
        <f t="shared" si="46"/>
        <v>0</v>
      </c>
      <c r="AA56" s="106">
        <f t="shared" si="67"/>
        <v>0</v>
      </c>
      <c r="AB56" s="106">
        <f t="shared" si="68"/>
        <v>0</v>
      </c>
      <c r="AC56" s="107">
        <f t="shared" si="69"/>
        <v>0</v>
      </c>
    </row>
    <row r="57" spans="1:29" s="82" customFormat="1" ht="16.5" customHeight="1">
      <c r="A57" s="1267"/>
      <c r="B57" s="97"/>
      <c r="C57" s="98"/>
      <c r="D57" s="98"/>
      <c r="E57" s="102" t="s">
        <v>281</v>
      </c>
      <c r="F57" s="104"/>
      <c r="G57" s="104"/>
      <c r="H57" s="104"/>
      <c r="I57" s="105"/>
      <c r="J57" s="104">
        <f t="shared" si="70"/>
        <v>0</v>
      </c>
      <c r="K57" s="104">
        <f>J57*25*2</f>
        <v>0</v>
      </c>
      <c r="L57" s="104">
        <f>K57-R57-S57</f>
        <v>0</v>
      </c>
      <c r="M57" s="104"/>
      <c r="N57" s="104"/>
      <c r="O57" s="104"/>
      <c r="P57" s="104"/>
      <c r="Q57" s="104">
        <f t="shared" si="24"/>
        <v>0</v>
      </c>
      <c r="R57" s="104">
        <f>Q57*20*2</f>
        <v>0</v>
      </c>
      <c r="S57" s="104">
        <f t="shared" ref="S57" si="77">Q57*5*2</f>
        <v>0</v>
      </c>
      <c r="T57" s="105"/>
      <c r="U57" s="100">
        <f t="shared" si="19"/>
        <v>0</v>
      </c>
      <c r="V57" s="130"/>
      <c r="W57" s="134">
        <f t="shared" si="20"/>
        <v>0</v>
      </c>
      <c r="X57" s="106"/>
      <c r="Y57" s="106">
        <f t="shared" si="21"/>
        <v>0</v>
      </c>
      <c r="Z57" s="106">
        <f t="shared" si="46"/>
        <v>0</v>
      </c>
      <c r="AA57" s="106">
        <f t="shared" si="67"/>
        <v>0</v>
      </c>
      <c r="AB57" s="106">
        <f t="shared" si="68"/>
        <v>0</v>
      </c>
      <c r="AC57" s="107">
        <f t="shared" si="69"/>
        <v>0</v>
      </c>
    </row>
    <row r="58" spans="1:29" s="82" customFormat="1" ht="16.5" customHeight="1">
      <c r="A58" s="1267">
        <v>5</v>
      </c>
      <c r="B58" s="97" t="s">
        <v>432</v>
      </c>
      <c r="C58" s="98">
        <v>20</v>
      </c>
      <c r="D58" s="98">
        <v>1</v>
      </c>
      <c r="E58" s="99" t="s">
        <v>86</v>
      </c>
      <c r="F58" s="100">
        <f t="shared" ref="F58:U58" si="78">SUM(F59:F70)</f>
        <v>0</v>
      </c>
      <c r="G58" s="100">
        <f t="shared" si="78"/>
        <v>0</v>
      </c>
      <c r="H58" s="100">
        <f t="shared" si="78"/>
        <v>0</v>
      </c>
      <c r="I58" s="100">
        <f t="shared" si="78"/>
        <v>0</v>
      </c>
      <c r="J58" s="100">
        <f t="shared" si="78"/>
        <v>0</v>
      </c>
      <c r="K58" s="100">
        <f t="shared" si="78"/>
        <v>0</v>
      </c>
      <c r="L58" s="100">
        <f t="shared" si="78"/>
        <v>0</v>
      </c>
      <c r="M58" s="100">
        <f t="shared" si="78"/>
        <v>0</v>
      </c>
      <c r="N58" s="100">
        <f t="shared" si="78"/>
        <v>0</v>
      </c>
      <c r="O58" s="100">
        <f t="shared" ref="O58" si="79">SUM(O59:O70)</f>
        <v>0</v>
      </c>
      <c r="P58" s="100"/>
      <c r="Q58" s="100"/>
      <c r="R58" s="100">
        <f t="shared" ref="R58:S58" si="80">SUM(R59:R70)</f>
        <v>0</v>
      </c>
      <c r="S58" s="100">
        <f t="shared" si="80"/>
        <v>0</v>
      </c>
      <c r="T58" s="100"/>
      <c r="U58" s="100">
        <f t="shared" si="78"/>
        <v>0</v>
      </c>
      <c r="V58" s="130"/>
      <c r="W58" s="143">
        <f t="shared" ref="W58:X58" si="81">SUM(W59:W70)</f>
        <v>0</v>
      </c>
      <c r="X58" s="100">
        <f t="shared" si="81"/>
        <v>0</v>
      </c>
      <c r="Y58" s="100">
        <f t="shared" ref="Y58:AB58" si="82">SUM(Y59:Y70)</f>
        <v>0</v>
      </c>
      <c r="Z58" s="100">
        <f t="shared" si="82"/>
        <v>0</v>
      </c>
      <c r="AA58" s="100">
        <f t="shared" si="82"/>
        <v>0</v>
      </c>
      <c r="AB58" s="100">
        <f t="shared" si="82"/>
        <v>0</v>
      </c>
      <c r="AC58" s="101">
        <f>SUM(AC59:AC70)</f>
        <v>0</v>
      </c>
    </row>
    <row r="59" spans="1:29" s="82" customFormat="1" ht="16.5" customHeight="1">
      <c r="A59" s="1267"/>
      <c r="B59" s="97" t="s">
        <v>433</v>
      </c>
      <c r="C59" s="171">
        <v>20</v>
      </c>
      <c r="D59" s="171"/>
      <c r="E59" s="172" t="s">
        <v>273</v>
      </c>
      <c r="F59" s="173"/>
      <c r="G59" s="104"/>
      <c r="H59" s="103"/>
      <c r="I59" s="105"/>
      <c r="J59" s="104"/>
      <c r="K59" s="104"/>
      <c r="L59" s="104"/>
      <c r="M59" s="104">
        <f t="shared" ref="M59" si="83">F59*60%</f>
        <v>0</v>
      </c>
      <c r="N59" s="104"/>
      <c r="O59" s="104"/>
      <c r="P59" s="104"/>
      <c r="Q59" s="104"/>
      <c r="R59" s="104"/>
      <c r="S59" s="104"/>
      <c r="T59" s="105"/>
      <c r="U59" s="100">
        <f t="shared" ref="U59" si="84">SUM(I59,L59)</f>
        <v>0</v>
      </c>
      <c r="V59" s="130"/>
      <c r="W59" s="134">
        <f t="shared" ref="W59:W60" si="85">ROUNDUP(U59*1/12,-1)</f>
        <v>0</v>
      </c>
      <c r="X59" s="106"/>
      <c r="Y59" s="106">
        <f t="shared" ref="Y59" si="86">ROUNDUP((U59-L59)*3.06%,-1)</f>
        <v>0</v>
      </c>
      <c r="Z59" s="106">
        <f>ROUNDUP(Y59*6.55%,-1)</f>
        <v>0</v>
      </c>
      <c r="AA59" s="106">
        <f t="shared" ref="AA59:AA70" si="87">ROUND(U59*0.9%,-1)</f>
        <v>0</v>
      </c>
      <c r="AB59" s="106">
        <f t="shared" ref="AB59:AB70" si="88">ROUND(U59*0.8%,-1)</f>
        <v>0</v>
      </c>
      <c r="AC59" s="107">
        <f t="shared" ref="AC59:AC70" si="89">SUM(W59:AB59)</f>
        <v>0</v>
      </c>
    </row>
    <row r="60" spans="1:29" s="82" customFormat="1" ht="16.5" customHeight="1">
      <c r="A60" s="1267"/>
      <c r="B60" s="97"/>
      <c r="C60" s="98"/>
      <c r="D60" s="98"/>
      <c r="E60" s="102" t="s">
        <v>274</v>
      </c>
      <c r="F60" s="104"/>
      <c r="G60" s="104"/>
      <c r="H60" s="104"/>
      <c r="I60" s="105"/>
      <c r="J60" s="104">
        <f t="shared" ref="J60:J70" si="90">ROUND((F59+I59+T59)*1/209*1.5,-1)</f>
        <v>0</v>
      </c>
      <c r="K60" s="104">
        <f>J60*25</f>
        <v>0</v>
      </c>
      <c r="L60" s="104">
        <f>K60-R60-S60</f>
        <v>0</v>
      </c>
      <c r="M60" s="104"/>
      <c r="N60" s="104"/>
      <c r="O60" s="104"/>
      <c r="P60" s="104"/>
      <c r="Q60" s="104">
        <f t="shared" ref="Q60" si="91">ROUND((F59+T59)*1/209*1.5,-1)</f>
        <v>0</v>
      </c>
      <c r="R60" s="104">
        <f>Q60*20</f>
        <v>0</v>
      </c>
      <c r="S60" s="104">
        <f t="shared" ref="S60" si="92">Q60*5</f>
        <v>0</v>
      </c>
      <c r="T60" s="105"/>
      <c r="U60" s="100">
        <f t="shared" si="19"/>
        <v>0</v>
      </c>
      <c r="V60" s="130"/>
      <c r="W60" s="134">
        <f t="shared" si="85"/>
        <v>0</v>
      </c>
      <c r="X60" s="106"/>
      <c r="Y60" s="106">
        <f t="shared" si="21"/>
        <v>0</v>
      </c>
      <c r="Z60" s="106">
        <f t="shared" si="46"/>
        <v>0</v>
      </c>
      <c r="AA60" s="106">
        <f t="shared" si="87"/>
        <v>0</v>
      </c>
      <c r="AB60" s="106">
        <f t="shared" si="88"/>
        <v>0</v>
      </c>
      <c r="AC60" s="107">
        <f t="shared" si="89"/>
        <v>0</v>
      </c>
    </row>
    <row r="61" spans="1:29" s="82" customFormat="1" ht="16.5" customHeight="1">
      <c r="A61" s="1267"/>
      <c r="B61" s="97"/>
      <c r="C61" s="98"/>
      <c r="D61" s="98"/>
      <c r="E61" s="102" t="s">
        <v>275</v>
      </c>
      <c r="F61" s="104"/>
      <c r="G61" s="104"/>
      <c r="H61" s="104"/>
      <c r="I61" s="105"/>
      <c r="J61" s="104">
        <f t="shared" si="90"/>
        <v>0</v>
      </c>
      <c r="K61" s="104">
        <f t="shared" ref="K61:K69" si="93">J61*25</f>
        <v>0</v>
      </c>
      <c r="L61" s="104">
        <f t="shared" ref="L61:L68" si="94">K61-R61-S61</f>
        <v>0</v>
      </c>
      <c r="M61" s="104"/>
      <c r="N61" s="104"/>
      <c r="O61" s="104"/>
      <c r="P61" s="104"/>
      <c r="Q61" s="104">
        <f t="shared" si="24"/>
        <v>0</v>
      </c>
      <c r="R61" s="104">
        <f t="shared" ref="R61:R69" si="95">Q61*20</f>
        <v>0</v>
      </c>
      <c r="S61" s="104">
        <f t="shared" si="25"/>
        <v>0</v>
      </c>
      <c r="T61" s="105"/>
      <c r="U61" s="100">
        <f t="shared" si="19"/>
        <v>0</v>
      </c>
      <c r="V61" s="130"/>
      <c r="W61" s="134">
        <f t="shared" si="20"/>
        <v>0</v>
      </c>
      <c r="X61" s="106"/>
      <c r="Y61" s="106">
        <f t="shared" si="21"/>
        <v>0</v>
      </c>
      <c r="Z61" s="106">
        <f t="shared" si="46"/>
        <v>0</v>
      </c>
      <c r="AA61" s="106">
        <f t="shared" si="87"/>
        <v>0</v>
      </c>
      <c r="AB61" s="106">
        <f t="shared" si="88"/>
        <v>0</v>
      </c>
      <c r="AC61" s="107">
        <f t="shared" si="89"/>
        <v>0</v>
      </c>
    </row>
    <row r="62" spans="1:29" s="82" customFormat="1" ht="16.5" customHeight="1">
      <c r="A62" s="1267"/>
      <c r="B62" s="97"/>
      <c r="C62" s="98"/>
      <c r="D62" s="98"/>
      <c r="E62" s="102" t="s">
        <v>276</v>
      </c>
      <c r="F62" s="104"/>
      <c r="G62" s="104"/>
      <c r="H62" s="104"/>
      <c r="I62" s="105"/>
      <c r="J62" s="104">
        <f t="shared" si="90"/>
        <v>0</v>
      </c>
      <c r="K62" s="104">
        <f t="shared" si="93"/>
        <v>0</v>
      </c>
      <c r="L62" s="104">
        <f t="shared" si="94"/>
        <v>0</v>
      </c>
      <c r="M62" s="104"/>
      <c r="N62" s="104"/>
      <c r="O62" s="104"/>
      <c r="P62" s="104"/>
      <c r="Q62" s="104">
        <f t="shared" si="24"/>
        <v>0</v>
      </c>
      <c r="R62" s="104">
        <f t="shared" si="95"/>
        <v>0</v>
      </c>
      <c r="S62" s="104">
        <f t="shared" si="25"/>
        <v>0</v>
      </c>
      <c r="T62" s="105"/>
      <c r="U62" s="100">
        <f t="shared" si="19"/>
        <v>0</v>
      </c>
      <c r="V62" s="130"/>
      <c r="W62" s="134">
        <f t="shared" si="20"/>
        <v>0</v>
      </c>
      <c r="X62" s="106"/>
      <c r="Y62" s="106">
        <f t="shared" si="21"/>
        <v>0</v>
      </c>
      <c r="Z62" s="106">
        <f t="shared" si="46"/>
        <v>0</v>
      </c>
      <c r="AA62" s="106">
        <f t="shared" si="87"/>
        <v>0</v>
      </c>
      <c r="AB62" s="106">
        <f t="shared" si="88"/>
        <v>0</v>
      </c>
      <c r="AC62" s="107">
        <f t="shared" si="89"/>
        <v>0</v>
      </c>
    </row>
    <row r="63" spans="1:29" s="82" customFormat="1" ht="16.5" customHeight="1">
      <c r="A63" s="1267"/>
      <c r="B63" s="97"/>
      <c r="C63" s="98"/>
      <c r="D63" s="98"/>
      <c r="E63" s="102" t="s">
        <v>277</v>
      </c>
      <c r="F63" s="104"/>
      <c r="G63" s="104"/>
      <c r="H63" s="104"/>
      <c r="I63" s="105"/>
      <c r="J63" s="104">
        <f t="shared" si="90"/>
        <v>0</v>
      </c>
      <c r="K63" s="104">
        <f t="shared" si="93"/>
        <v>0</v>
      </c>
      <c r="L63" s="104">
        <f t="shared" si="94"/>
        <v>0</v>
      </c>
      <c r="M63" s="104"/>
      <c r="N63" s="104"/>
      <c r="O63" s="104"/>
      <c r="P63" s="104"/>
      <c r="Q63" s="104">
        <f t="shared" si="24"/>
        <v>0</v>
      </c>
      <c r="R63" s="104">
        <f t="shared" si="95"/>
        <v>0</v>
      </c>
      <c r="S63" s="104">
        <f t="shared" si="25"/>
        <v>0</v>
      </c>
      <c r="T63" s="105"/>
      <c r="U63" s="100">
        <f t="shared" si="19"/>
        <v>0</v>
      </c>
      <c r="V63" s="130"/>
      <c r="W63" s="134">
        <f t="shared" si="20"/>
        <v>0</v>
      </c>
      <c r="X63" s="106"/>
      <c r="Y63" s="106">
        <f t="shared" si="21"/>
        <v>0</v>
      </c>
      <c r="Z63" s="106">
        <f t="shared" si="46"/>
        <v>0</v>
      </c>
      <c r="AA63" s="106">
        <f t="shared" si="87"/>
        <v>0</v>
      </c>
      <c r="AB63" s="106">
        <f t="shared" si="88"/>
        <v>0</v>
      </c>
      <c r="AC63" s="107">
        <f t="shared" si="89"/>
        <v>0</v>
      </c>
    </row>
    <row r="64" spans="1:29" s="82" customFormat="1" ht="16.5" customHeight="1">
      <c r="A64" s="1267"/>
      <c r="B64" s="97"/>
      <c r="C64" s="98"/>
      <c r="D64" s="98"/>
      <c r="E64" s="102" t="s">
        <v>278</v>
      </c>
      <c r="F64" s="104"/>
      <c r="G64" s="104"/>
      <c r="H64" s="104"/>
      <c r="I64" s="105"/>
      <c r="J64" s="104">
        <f t="shared" si="90"/>
        <v>0</v>
      </c>
      <c r="K64" s="104">
        <f t="shared" si="93"/>
        <v>0</v>
      </c>
      <c r="L64" s="104">
        <f t="shared" si="94"/>
        <v>0</v>
      </c>
      <c r="M64" s="104"/>
      <c r="N64" s="104"/>
      <c r="O64" s="104"/>
      <c r="P64" s="104"/>
      <c r="Q64" s="104">
        <f t="shared" si="24"/>
        <v>0</v>
      </c>
      <c r="R64" s="104">
        <f t="shared" si="95"/>
        <v>0</v>
      </c>
      <c r="S64" s="104">
        <f t="shared" si="25"/>
        <v>0</v>
      </c>
      <c r="T64" s="105"/>
      <c r="U64" s="100">
        <f t="shared" si="19"/>
        <v>0</v>
      </c>
      <c r="V64" s="130"/>
      <c r="W64" s="134">
        <f t="shared" si="20"/>
        <v>0</v>
      </c>
      <c r="X64" s="106"/>
      <c r="Y64" s="106">
        <f t="shared" si="21"/>
        <v>0</v>
      </c>
      <c r="Z64" s="106">
        <f t="shared" si="46"/>
        <v>0</v>
      </c>
      <c r="AA64" s="106">
        <f t="shared" si="87"/>
        <v>0</v>
      </c>
      <c r="AB64" s="106">
        <f t="shared" si="88"/>
        <v>0</v>
      </c>
      <c r="AC64" s="107">
        <f t="shared" si="89"/>
        <v>0</v>
      </c>
    </row>
    <row r="65" spans="1:29" s="82" customFormat="1" ht="16.5" customHeight="1">
      <c r="A65" s="1267"/>
      <c r="B65" s="97"/>
      <c r="C65" s="98"/>
      <c r="D65" s="98"/>
      <c r="E65" s="102" t="s">
        <v>279</v>
      </c>
      <c r="F65" s="104"/>
      <c r="G65" s="104"/>
      <c r="H65" s="103"/>
      <c r="I65" s="105"/>
      <c r="J65" s="104">
        <f t="shared" si="90"/>
        <v>0</v>
      </c>
      <c r="K65" s="104">
        <f t="shared" si="93"/>
        <v>0</v>
      </c>
      <c r="L65" s="104">
        <f t="shared" si="94"/>
        <v>0</v>
      </c>
      <c r="M65" s="104"/>
      <c r="N65" s="104"/>
      <c r="O65" s="104"/>
      <c r="P65" s="104"/>
      <c r="Q65" s="104">
        <f t="shared" si="24"/>
        <v>0</v>
      </c>
      <c r="R65" s="104">
        <f t="shared" si="95"/>
        <v>0</v>
      </c>
      <c r="S65" s="104">
        <f t="shared" si="25"/>
        <v>0</v>
      </c>
      <c r="T65" s="105"/>
      <c r="U65" s="100">
        <f t="shared" si="19"/>
        <v>0</v>
      </c>
      <c r="V65" s="130"/>
      <c r="W65" s="134">
        <f t="shared" si="20"/>
        <v>0</v>
      </c>
      <c r="X65" s="106"/>
      <c r="Y65" s="106">
        <f t="shared" si="21"/>
        <v>0</v>
      </c>
      <c r="Z65" s="106">
        <f t="shared" si="46"/>
        <v>0</v>
      </c>
      <c r="AA65" s="106">
        <f t="shared" si="87"/>
        <v>0</v>
      </c>
      <c r="AB65" s="106">
        <f t="shared" si="88"/>
        <v>0</v>
      </c>
      <c r="AC65" s="107">
        <f t="shared" si="89"/>
        <v>0</v>
      </c>
    </row>
    <row r="66" spans="1:29" s="82" customFormat="1" ht="16.5" customHeight="1">
      <c r="A66" s="1267"/>
      <c r="B66" s="97"/>
      <c r="C66" s="98"/>
      <c r="D66" s="98"/>
      <c r="E66" s="102" t="s">
        <v>280</v>
      </c>
      <c r="F66" s="104"/>
      <c r="G66" s="104"/>
      <c r="H66" s="104"/>
      <c r="I66" s="105"/>
      <c r="J66" s="104">
        <f t="shared" si="90"/>
        <v>0</v>
      </c>
      <c r="K66" s="104">
        <f t="shared" si="93"/>
        <v>0</v>
      </c>
      <c r="L66" s="104">
        <f t="shared" si="94"/>
        <v>0</v>
      </c>
      <c r="M66" s="104"/>
      <c r="N66" s="104"/>
      <c r="O66" s="104"/>
      <c r="P66" s="104"/>
      <c r="Q66" s="104">
        <f t="shared" si="24"/>
        <v>0</v>
      </c>
      <c r="R66" s="104">
        <f t="shared" si="95"/>
        <v>0</v>
      </c>
      <c r="S66" s="104">
        <f t="shared" si="25"/>
        <v>0</v>
      </c>
      <c r="T66" s="105"/>
      <c r="U66" s="100">
        <f t="shared" si="19"/>
        <v>0</v>
      </c>
      <c r="V66" s="130"/>
      <c r="W66" s="134">
        <f t="shared" si="20"/>
        <v>0</v>
      </c>
      <c r="X66" s="106"/>
      <c r="Y66" s="106">
        <f t="shared" si="21"/>
        <v>0</v>
      </c>
      <c r="Z66" s="106">
        <f t="shared" si="46"/>
        <v>0</v>
      </c>
      <c r="AA66" s="106">
        <f t="shared" si="87"/>
        <v>0</v>
      </c>
      <c r="AB66" s="106">
        <f t="shared" si="88"/>
        <v>0</v>
      </c>
      <c r="AC66" s="107">
        <f t="shared" si="89"/>
        <v>0</v>
      </c>
    </row>
    <row r="67" spans="1:29" s="82" customFormat="1" ht="16.5" customHeight="1">
      <c r="A67" s="1267"/>
      <c r="B67" s="97"/>
      <c r="C67" s="98"/>
      <c r="D67" s="98"/>
      <c r="E67" s="102" t="s">
        <v>54</v>
      </c>
      <c r="F67" s="104"/>
      <c r="G67" s="104"/>
      <c r="H67" s="104"/>
      <c r="I67" s="105"/>
      <c r="J67" s="104">
        <f t="shared" si="90"/>
        <v>0</v>
      </c>
      <c r="K67" s="104">
        <f t="shared" si="93"/>
        <v>0</v>
      </c>
      <c r="L67" s="104">
        <f t="shared" si="94"/>
        <v>0</v>
      </c>
      <c r="M67" s="104">
        <f t="shared" ref="M67" si="96">F67*60%</f>
        <v>0</v>
      </c>
      <c r="N67" s="104"/>
      <c r="O67" s="104"/>
      <c r="P67" s="104"/>
      <c r="Q67" s="104">
        <f t="shared" si="24"/>
        <v>0</v>
      </c>
      <c r="R67" s="104">
        <f t="shared" si="95"/>
        <v>0</v>
      </c>
      <c r="S67" s="104">
        <f t="shared" si="25"/>
        <v>0</v>
      </c>
      <c r="T67" s="105"/>
      <c r="U67" s="100">
        <f t="shared" si="19"/>
        <v>0</v>
      </c>
      <c r="V67" s="130"/>
      <c r="W67" s="134">
        <f t="shared" si="20"/>
        <v>0</v>
      </c>
      <c r="X67" s="106"/>
      <c r="Y67" s="106">
        <f t="shared" si="21"/>
        <v>0</v>
      </c>
      <c r="Z67" s="106">
        <f t="shared" si="46"/>
        <v>0</v>
      </c>
      <c r="AA67" s="106">
        <f t="shared" si="87"/>
        <v>0</v>
      </c>
      <c r="AB67" s="106">
        <f t="shared" si="88"/>
        <v>0</v>
      </c>
      <c r="AC67" s="107">
        <f t="shared" si="89"/>
        <v>0</v>
      </c>
    </row>
    <row r="68" spans="1:29" s="82" customFormat="1" ht="16.5" customHeight="1">
      <c r="A68" s="1267"/>
      <c r="B68" s="97"/>
      <c r="C68" s="98"/>
      <c r="D68" s="98"/>
      <c r="E68" s="102" t="s">
        <v>55</v>
      </c>
      <c r="F68" s="104"/>
      <c r="G68" s="104"/>
      <c r="H68" s="104"/>
      <c r="I68" s="105"/>
      <c r="J68" s="104">
        <f t="shared" si="90"/>
        <v>0</v>
      </c>
      <c r="K68" s="104">
        <f t="shared" si="93"/>
        <v>0</v>
      </c>
      <c r="L68" s="104">
        <f t="shared" si="94"/>
        <v>0</v>
      </c>
      <c r="M68" s="104"/>
      <c r="N68" s="104"/>
      <c r="O68" s="104"/>
      <c r="P68" s="104"/>
      <c r="Q68" s="104">
        <f t="shared" si="24"/>
        <v>0</v>
      </c>
      <c r="R68" s="104">
        <f t="shared" si="95"/>
        <v>0</v>
      </c>
      <c r="S68" s="104">
        <f t="shared" si="25"/>
        <v>0</v>
      </c>
      <c r="T68" s="105"/>
      <c r="U68" s="100">
        <f t="shared" si="19"/>
        <v>0</v>
      </c>
      <c r="V68" s="130"/>
      <c r="W68" s="134">
        <f t="shared" si="20"/>
        <v>0</v>
      </c>
      <c r="X68" s="106"/>
      <c r="Y68" s="106">
        <f t="shared" si="21"/>
        <v>0</v>
      </c>
      <c r="Z68" s="106">
        <f t="shared" si="46"/>
        <v>0</v>
      </c>
      <c r="AA68" s="106">
        <f t="shared" si="87"/>
        <v>0</v>
      </c>
      <c r="AB68" s="106">
        <f t="shared" si="88"/>
        <v>0</v>
      </c>
      <c r="AC68" s="107">
        <f t="shared" si="89"/>
        <v>0</v>
      </c>
    </row>
    <row r="69" spans="1:29" s="82" customFormat="1" ht="16.5" customHeight="1">
      <c r="A69" s="1267"/>
      <c r="B69" s="97"/>
      <c r="C69" s="98"/>
      <c r="D69" s="98"/>
      <c r="E69" s="102" t="s">
        <v>56</v>
      </c>
      <c r="F69" s="104"/>
      <c r="G69" s="104"/>
      <c r="H69" s="104"/>
      <c r="I69" s="105"/>
      <c r="J69" s="104">
        <f t="shared" si="90"/>
        <v>0</v>
      </c>
      <c r="K69" s="104">
        <f t="shared" si="93"/>
        <v>0</v>
      </c>
      <c r="L69" s="104">
        <f>K69-R69-S69</f>
        <v>0</v>
      </c>
      <c r="M69" s="104"/>
      <c r="N69" s="104"/>
      <c r="O69" s="104"/>
      <c r="P69" s="104"/>
      <c r="Q69" s="104">
        <f t="shared" si="24"/>
        <v>0</v>
      </c>
      <c r="R69" s="104">
        <f t="shared" si="95"/>
        <v>0</v>
      </c>
      <c r="S69" s="104">
        <f t="shared" si="25"/>
        <v>0</v>
      </c>
      <c r="T69" s="105"/>
      <c r="U69" s="100">
        <f t="shared" si="19"/>
        <v>0</v>
      </c>
      <c r="V69" s="130"/>
      <c r="W69" s="134">
        <f t="shared" si="20"/>
        <v>0</v>
      </c>
      <c r="X69" s="106"/>
      <c r="Y69" s="106">
        <f t="shared" si="21"/>
        <v>0</v>
      </c>
      <c r="Z69" s="106">
        <f t="shared" si="46"/>
        <v>0</v>
      </c>
      <c r="AA69" s="106">
        <f t="shared" si="87"/>
        <v>0</v>
      </c>
      <c r="AB69" s="106">
        <f t="shared" si="88"/>
        <v>0</v>
      </c>
      <c r="AC69" s="107">
        <f t="shared" si="89"/>
        <v>0</v>
      </c>
    </row>
    <row r="70" spans="1:29" s="82" customFormat="1" ht="16.5" customHeight="1">
      <c r="A70" s="1267"/>
      <c r="B70" s="97"/>
      <c r="C70" s="98"/>
      <c r="D70" s="98"/>
      <c r="E70" s="102" t="s">
        <v>281</v>
      </c>
      <c r="F70" s="104"/>
      <c r="G70" s="104"/>
      <c r="H70" s="104"/>
      <c r="I70" s="105"/>
      <c r="J70" s="104">
        <f t="shared" si="90"/>
        <v>0</v>
      </c>
      <c r="K70" s="104">
        <f>J70*25*2</f>
        <v>0</v>
      </c>
      <c r="L70" s="104">
        <f>K70-R70-S70</f>
        <v>0</v>
      </c>
      <c r="M70" s="104"/>
      <c r="N70" s="104"/>
      <c r="O70" s="104"/>
      <c r="P70" s="104"/>
      <c r="Q70" s="104">
        <f t="shared" si="24"/>
        <v>0</v>
      </c>
      <c r="R70" s="104">
        <f>Q70*20*2</f>
        <v>0</v>
      </c>
      <c r="S70" s="104">
        <f t="shared" ref="S70" si="97">Q70*5*2</f>
        <v>0</v>
      </c>
      <c r="T70" s="105"/>
      <c r="U70" s="100">
        <f t="shared" si="19"/>
        <v>0</v>
      </c>
      <c r="V70" s="130"/>
      <c r="W70" s="134">
        <f t="shared" si="20"/>
        <v>0</v>
      </c>
      <c r="X70" s="106"/>
      <c r="Y70" s="106">
        <f t="shared" si="21"/>
        <v>0</v>
      </c>
      <c r="Z70" s="106">
        <f t="shared" si="46"/>
        <v>0</v>
      </c>
      <c r="AA70" s="106">
        <f t="shared" si="87"/>
        <v>0</v>
      </c>
      <c r="AB70" s="106">
        <f t="shared" si="88"/>
        <v>0</v>
      </c>
      <c r="AC70" s="107">
        <f t="shared" si="89"/>
        <v>0</v>
      </c>
    </row>
    <row r="71" spans="1:29" s="82" customFormat="1" ht="17.25" customHeight="1">
      <c r="A71" s="1267">
        <v>6</v>
      </c>
      <c r="B71" s="97" t="s">
        <v>810</v>
      </c>
      <c r="C71" s="98" t="s">
        <v>522</v>
      </c>
      <c r="D71" s="98">
        <v>1</v>
      </c>
      <c r="E71" s="99" t="s">
        <v>86</v>
      </c>
      <c r="F71" s="100">
        <f t="shared" ref="F71:U71" si="98">SUM(F72:F83)</f>
        <v>0</v>
      </c>
      <c r="G71" s="100">
        <f t="shared" si="98"/>
        <v>0</v>
      </c>
      <c r="H71" s="100">
        <f t="shared" si="98"/>
        <v>0</v>
      </c>
      <c r="I71" s="100">
        <f t="shared" si="98"/>
        <v>0</v>
      </c>
      <c r="J71" s="100">
        <f t="shared" si="98"/>
        <v>0</v>
      </c>
      <c r="K71" s="100">
        <f t="shared" si="98"/>
        <v>0</v>
      </c>
      <c r="L71" s="100">
        <f t="shared" si="98"/>
        <v>0</v>
      </c>
      <c r="M71" s="100">
        <f t="shared" si="98"/>
        <v>0</v>
      </c>
      <c r="N71" s="100">
        <f t="shared" si="98"/>
        <v>0</v>
      </c>
      <c r="O71" s="100">
        <f t="shared" ref="O71" si="99">SUM(O72:O83)</f>
        <v>0</v>
      </c>
      <c r="P71" s="100"/>
      <c r="Q71" s="100"/>
      <c r="R71" s="100">
        <f t="shared" ref="R71:S71" si="100">SUM(R72:R83)</f>
        <v>0</v>
      </c>
      <c r="S71" s="100">
        <f t="shared" si="100"/>
        <v>0</v>
      </c>
      <c r="T71" s="100"/>
      <c r="U71" s="100">
        <f t="shared" si="98"/>
        <v>0</v>
      </c>
      <c r="V71" s="130"/>
      <c r="W71" s="143">
        <f t="shared" ref="W71:X71" si="101">SUM(W72:W83)</f>
        <v>0</v>
      </c>
      <c r="X71" s="100">
        <f t="shared" si="101"/>
        <v>0</v>
      </c>
      <c r="Y71" s="100">
        <f t="shared" ref="Y71:AB71" si="102">SUM(Y72:Y83)</f>
        <v>0</v>
      </c>
      <c r="Z71" s="100">
        <f t="shared" si="102"/>
        <v>0</v>
      </c>
      <c r="AA71" s="100">
        <f t="shared" si="102"/>
        <v>0</v>
      </c>
      <c r="AB71" s="100">
        <f t="shared" si="102"/>
        <v>0</v>
      </c>
      <c r="AC71" s="101">
        <f>SUM(AC72:AC83)</f>
        <v>0</v>
      </c>
    </row>
    <row r="72" spans="1:29" s="82" customFormat="1" ht="17.25" customHeight="1">
      <c r="A72" s="1267"/>
      <c r="B72" s="97" t="s">
        <v>811</v>
      </c>
      <c r="C72" s="171">
        <v>8</v>
      </c>
      <c r="D72" s="171"/>
      <c r="E72" s="172" t="s">
        <v>273</v>
      </c>
      <c r="F72" s="173"/>
      <c r="G72" s="104">
        <v>0</v>
      </c>
      <c r="H72" s="103"/>
      <c r="I72" s="105"/>
      <c r="J72" s="104"/>
      <c r="K72" s="104"/>
      <c r="L72" s="104"/>
      <c r="M72" s="104">
        <f t="shared" ref="M72" si="103">F72*60%</f>
        <v>0</v>
      </c>
      <c r="N72" s="104"/>
      <c r="O72" s="104"/>
      <c r="P72" s="104"/>
      <c r="Q72" s="104"/>
      <c r="R72" s="104"/>
      <c r="S72" s="104"/>
      <c r="T72" s="105"/>
      <c r="U72" s="100">
        <f t="shared" ref="U72" si="104">SUM(I72,L72)</f>
        <v>0</v>
      </c>
      <c r="V72" s="130"/>
      <c r="W72" s="134">
        <f t="shared" ref="W72:W73" si="105">ROUNDUP(U72*1/12,-1)</f>
        <v>0</v>
      </c>
      <c r="X72" s="106"/>
      <c r="Y72" s="106">
        <f t="shared" ref="Y72" si="106">ROUNDUP((U72-L72)*3.06%,-1)</f>
        <v>0</v>
      </c>
      <c r="Z72" s="106">
        <f>ROUNDUP(Y72*6.55%,-1)</f>
        <v>0</v>
      </c>
      <c r="AA72" s="106">
        <f t="shared" ref="AA72:AA83" si="107">ROUND(U72*0.9%,-1)</f>
        <v>0</v>
      </c>
      <c r="AB72" s="106">
        <f t="shared" ref="AB72:AB83" si="108">ROUND(U72*0.8%,-1)</f>
        <v>0</v>
      </c>
      <c r="AC72" s="107">
        <f t="shared" ref="AC72:AC83" si="109">SUM(W72:AB72)</f>
        <v>0</v>
      </c>
    </row>
    <row r="73" spans="1:29" s="82" customFormat="1" ht="17.25" customHeight="1">
      <c r="A73" s="1267"/>
      <c r="B73" s="97"/>
      <c r="C73" s="98"/>
      <c r="D73" s="98"/>
      <c r="E73" s="102" t="s">
        <v>274</v>
      </c>
      <c r="F73" s="104"/>
      <c r="G73" s="104"/>
      <c r="H73" s="104"/>
      <c r="I73" s="105"/>
      <c r="J73" s="104">
        <f t="shared" ref="J73:J83" si="110">ROUND((F72+I72+T72)*1/209*1.5,-1)</f>
        <v>0</v>
      </c>
      <c r="K73" s="104">
        <f>J73*25</f>
        <v>0</v>
      </c>
      <c r="L73" s="104">
        <f>K73-R73-S73</f>
        <v>0</v>
      </c>
      <c r="M73" s="104"/>
      <c r="N73" s="104"/>
      <c r="O73" s="104"/>
      <c r="P73" s="104"/>
      <c r="Q73" s="104">
        <f t="shared" ref="Q73" si="111">ROUND((F72+T72)*1/209*1.5,-1)</f>
        <v>0</v>
      </c>
      <c r="R73" s="104">
        <f>Q73*20</f>
        <v>0</v>
      </c>
      <c r="S73" s="104">
        <f t="shared" ref="S73" si="112">Q73*5</f>
        <v>0</v>
      </c>
      <c r="T73" s="105"/>
      <c r="U73" s="100">
        <f t="shared" si="19"/>
        <v>0</v>
      </c>
      <c r="V73" s="130"/>
      <c r="W73" s="134">
        <f t="shared" si="105"/>
        <v>0</v>
      </c>
      <c r="X73" s="106"/>
      <c r="Y73" s="106">
        <f t="shared" si="21"/>
        <v>0</v>
      </c>
      <c r="Z73" s="106">
        <f t="shared" si="46"/>
        <v>0</v>
      </c>
      <c r="AA73" s="106">
        <f t="shared" si="107"/>
        <v>0</v>
      </c>
      <c r="AB73" s="106">
        <f t="shared" si="108"/>
        <v>0</v>
      </c>
      <c r="AC73" s="107">
        <f t="shared" si="109"/>
        <v>0</v>
      </c>
    </row>
    <row r="74" spans="1:29" s="82" customFormat="1" ht="17.25" customHeight="1">
      <c r="A74" s="1267"/>
      <c r="B74" s="97"/>
      <c r="C74" s="98"/>
      <c r="D74" s="98"/>
      <c r="E74" s="102" t="s">
        <v>275</v>
      </c>
      <c r="F74" s="104"/>
      <c r="G74" s="104"/>
      <c r="H74" s="104"/>
      <c r="I74" s="105"/>
      <c r="J74" s="104">
        <f t="shared" si="110"/>
        <v>0</v>
      </c>
      <c r="K74" s="104">
        <f t="shared" ref="K74:K82" si="113">J74*25</f>
        <v>0</v>
      </c>
      <c r="L74" s="104">
        <f t="shared" ref="L74:L81" si="114">K74-R74-S74</f>
        <v>0</v>
      </c>
      <c r="M74" s="104"/>
      <c r="N74" s="104"/>
      <c r="O74" s="104"/>
      <c r="P74" s="104"/>
      <c r="Q74" s="104">
        <f t="shared" si="24"/>
        <v>0</v>
      </c>
      <c r="R74" s="104">
        <f t="shared" ref="R74:R82" si="115">Q74*20</f>
        <v>0</v>
      </c>
      <c r="S74" s="104">
        <f t="shared" si="25"/>
        <v>0</v>
      </c>
      <c r="T74" s="105"/>
      <c r="U74" s="100">
        <f t="shared" si="19"/>
        <v>0</v>
      </c>
      <c r="V74" s="130"/>
      <c r="W74" s="134">
        <f t="shared" si="20"/>
        <v>0</v>
      </c>
      <c r="X74" s="106"/>
      <c r="Y74" s="106">
        <f t="shared" si="21"/>
        <v>0</v>
      </c>
      <c r="Z74" s="106">
        <f t="shared" si="46"/>
        <v>0</v>
      </c>
      <c r="AA74" s="106">
        <f t="shared" si="107"/>
        <v>0</v>
      </c>
      <c r="AB74" s="106">
        <f t="shared" si="108"/>
        <v>0</v>
      </c>
      <c r="AC74" s="107">
        <f t="shared" si="109"/>
        <v>0</v>
      </c>
    </row>
    <row r="75" spans="1:29" s="82" customFormat="1" ht="17.25" customHeight="1">
      <c r="A75" s="1267"/>
      <c r="B75" s="97"/>
      <c r="C75" s="171">
        <v>9</v>
      </c>
      <c r="D75" s="171"/>
      <c r="E75" s="172" t="s">
        <v>276</v>
      </c>
      <c r="F75" s="173"/>
      <c r="G75" s="104"/>
      <c r="H75" s="104"/>
      <c r="I75" s="105"/>
      <c r="J75" s="104">
        <f t="shared" si="110"/>
        <v>0</v>
      </c>
      <c r="K75" s="104">
        <f t="shared" si="113"/>
        <v>0</v>
      </c>
      <c r="L75" s="104">
        <f t="shared" si="114"/>
        <v>0</v>
      </c>
      <c r="M75" s="104"/>
      <c r="N75" s="104"/>
      <c r="O75" s="104"/>
      <c r="P75" s="104"/>
      <c r="Q75" s="104">
        <f t="shared" si="24"/>
        <v>0</v>
      </c>
      <c r="R75" s="104">
        <f t="shared" si="115"/>
        <v>0</v>
      </c>
      <c r="S75" s="104">
        <f t="shared" si="25"/>
        <v>0</v>
      </c>
      <c r="T75" s="105"/>
      <c r="U75" s="100">
        <f t="shared" si="19"/>
        <v>0</v>
      </c>
      <c r="V75" s="130"/>
      <c r="W75" s="134">
        <f t="shared" si="20"/>
        <v>0</v>
      </c>
      <c r="X75" s="106"/>
      <c r="Y75" s="106">
        <f t="shared" si="21"/>
        <v>0</v>
      </c>
      <c r="Z75" s="106">
        <f t="shared" si="46"/>
        <v>0</v>
      </c>
      <c r="AA75" s="106">
        <f t="shared" si="107"/>
        <v>0</v>
      </c>
      <c r="AB75" s="106">
        <f t="shared" si="108"/>
        <v>0</v>
      </c>
      <c r="AC75" s="107">
        <f t="shared" si="109"/>
        <v>0</v>
      </c>
    </row>
    <row r="76" spans="1:29" s="82" customFormat="1" ht="17.25" customHeight="1">
      <c r="A76" s="1267"/>
      <c r="B76" s="97"/>
      <c r="C76" s="98"/>
      <c r="D76" s="98"/>
      <c r="E76" s="102" t="s">
        <v>277</v>
      </c>
      <c r="F76" s="104"/>
      <c r="G76" s="104"/>
      <c r="H76" s="104"/>
      <c r="I76" s="105"/>
      <c r="J76" s="104">
        <f t="shared" si="110"/>
        <v>0</v>
      </c>
      <c r="K76" s="104">
        <f t="shared" si="113"/>
        <v>0</v>
      </c>
      <c r="L76" s="104">
        <f t="shared" si="114"/>
        <v>0</v>
      </c>
      <c r="M76" s="104"/>
      <c r="N76" s="104"/>
      <c r="O76" s="104"/>
      <c r="P76" s="104"/>
      <c r="Q76" s="104">
        <f t="shared" si="24"/>
        <v>0</v>
      </c>
      <c r="R76" s="104">
        <f t="shared" si="115"/>
        <v>0</v>
      </c>
      <c r="S76" s="104">
        <f t="shared" si="25"/>
        <v>0</v>
      </c>
      <c r="T76" s="105"/>
      <c r="U76" s="100">
        <f t="shared" si="19"/>
        <v>0</v>
      </c>
      <c r="V76" s="130"/>
      <c r="W76" s="134">
        <f t="shared" si="20"/>
        <v>0</v>
      </c>
      <c r="X76" s="106"/>
      <c r="Y76" s="106">
        <f t="shared" si="21"/>
        <v>0</v>
      </c>
      <c r="Z76" s="106">
        <f t="shared" si="46"/>
        <v>0</v>
      </c>
      <c r="AA76" s="106">
        <f t="shared" si="107"/>
        <v>0</v>
      </c>
      <c r="AB76" s="106">
        <f t="shared" si="108"/>
        <v>0</v>
      </c>
      <c r="AC76" s="107">
        <f t="shared" si="109"/>
        <v>0</v>
      </c>
    </row>
    <row r="77" spans="1:29" s="82" customFormat="1" ht="17.25" customHeight="1">
      <c r="A77" s="1267"/>
      <c r="B77" s="97"/>
      <c r="C77" s="98"/>
      <c r="D77" s="98"/>
      <c r="E77" s="102" t="s">
        <v>278</v>
      </c>
      <c r="F77" s="104"/>
      <c r="G77" s="104"/>
      <c r="H77" s="104"/>
      <c r="I77" s="105"/>
      <c r="J77" s="104">
        <f t="shared" si="110"/>
        <v>0</v>
      </c>
      <c r="K77" s="104">
        <f t="shared" si="113"/>
        <v>0</v>
      </c>
      <c r="L77" s="104">
        <f t="shared" si="114"/>
        <v>0</v>
      </c>
      <c r="M77" s="104"/>
      <c r="N77" s="104"/>
      <c r="O77" s="104"/>
      <c r="P77" s="104"/>
      <c r="Q77" s="104">
        <f t="shared" si="24"/>
        <v>0</v>
      </c>
      <c r="R77" s="104">
        <f t="shared" si="115"/>
        <v>0</v>
      </c>
      <c r="S77" s="104">
        <f t="shared" si="25"/>
        <v>0</v>
      </c>
      <c r="T77" s="105"/>
      <c r="U77" s="100">
        <f t="shared" si="19"/>
        <v>0</v>
      </c>
      <c r="V77" s="130"/>
      <c r="W77" s="134">
        <f t="shared" si="20"/>
        <v>0</v>
      </c>
      <c r="X77" s="106"/>
      <c r="Y77" s="106">
        <f t="shared" si="21"/>
        <v>0</v>
      </c>
      <c r="Z77" s="106">
        <f t="shared" si="46"/>
        <v>0</v>
      </c>
      <c r="AA77" s="106">
        <f t="shared" si="107"/>
        <v>0</v>
      </c>
      <c r="AB77" s="106">
        <f t="shared" si="108"/>
        <v>0</v>
      </c>
      <c r="AC77" s="107">
        <f t="shared" si="109"/>
        <v>0</v>
      </c>
    </row>
    <row r="78" spans="1:29" s="82" customFormat="1" ht="17.25" customHeight="1">
      <c r="A78" s="1267"/>
      <c r="B78" s="97"/>
      <c r="C78" s="98"/>
      <c r="D78" s="98"/>
      <c r="E78" s="102" t="s">
        <v>279</v>
      </c>
      <c r="F78" s="104"/>
      <c r="G78" s="104"/>
      <c r="H78" s="103"/>
      <c r="I78" s="105"/>
      <c r="J78" s="104">
        <f t="shared" si="110"/>
        <v>0</v>
      </c>
      <c r="K78" s="104">
        <f t="shared" si="113"/>
        <v>0</v>
      </c>
      <c r="L78" s="104">
        <f t="shared" si="114"/>
        <v>0</v>
      </c>
      <c r="M78" s="104"/>
      <c r="N78" s="104"/>
      <c r="O78" s="104"/>
      <c r="P78" s="104"/>
      <c r="Q78" s="104">
        <f t="shared" si="24"/>
        <v>0</v>
      </c>
      <c r="R78" s="104">
        <f t="shared" si="115"/>
        <v>0</v>
      </c>
      <c r="S78" s="104">
        <f t="shared" si="25"/>
        <v>0</v>
      </c>
      <c r="T78" s="105"/>
      <c r="U78" s="100">
        <f t="shared" si="19"/>
        <v>0</v>
      </c>
      <c r="V78" s="130"/>
      <c r="W78" s="134">
        <f t="shared" si="20"/>
        <v>0</v>
      </c>
      <c r="X78" s="106"/>
      <c r="Y78" s="106">
        <f t="shared" si="21"/>
        <v>0</v>
      </c>
      <c r="Z78" s="106">
        <f t="shared" si="46"/>
        <v>0</v>
      </c>
      <c r="AA78" s="106">
        <f t="shared" si="107"/>
        <v>0</v>
      </c>
      <c r="AB78" s="106">
        <f t="shared" si="108"/>
        <v>0</v>
      </c>
      <c r="AC78" s="107">
        <f t="shared" si="109"/>
        <v>0</v>
      </c>
    </row>
    <row r="79" spans="1:29" s="82" customFormat="1" ht="17.25" customHeight="1">
      <c r="A79" s="1267"/>
      <c r="B79" s="97"/>
      <c r="C79" s="98"/>
      <c r="D79" s="98"/>
      <c r="E79" s="102" t="s">
        <v>280</v>
      </c>
      <c r="F79" s="104"/>
      <c r="G79" s="104"/>
      <c r="H79" s="104"/>
      <c r="I79" s="105"/>
      <c r="J79" s="104">
        <f t="shared" si="110"/>
        <v>0</v>
      </c>
      <c r="K79" s="104">
        <f t="shared" si="113"/>
        <v>0</v>
      </c>
      <c r="L79" s="104">
        <f t="shared" si="114"/>
        <v>0</v>
      </c>
      <c r="M79" s="104"/>
      <c r="N79" s="104"/>
      <c r="O79" s="104"/>
      <c r="P79" s="104"/>
      <c r="Q79" s="104">
        <f t="shared" si="24"/>
        <v>0</v>
      </c>
      <c r="R79" s="104">
        <f t="shared" si="115"/>
        <v>0</v>
      </c>
      <c r="S79" s="104">
        <f t="shared" si="25"/>
        <v>0</v>
      </c>
      <c r="T79" s="105"/>
      <c r="U79" s="100">
        <f t="shared" si="19"/>
        <v>0</v>
      </c>
      <c r="V79" s="130"/>
      <c r="W79" s="134">
        <f t="shared" si="20"/>
        <v>0</v>
      </c>
      <c r="X79" s="106"/>
      <c r="Y79" s="106">
        <f t="shared" si="21"/>
        <v>0</v>
      </c>
      <c r="Z79" s="106">
        <f t="shared" si="46"/>
        <v>0</v>
      </c>
      <c r="AA79" s="106">
        <f t="shared" si="107"/>
        <v>0</v>
      </c>
      <c r="AB79" s="106">
        <f t="shared" si="108"/>
        <v>0</v>
      </c>
      <c r="AC79" s="107">
        <f t="shared" si="109"/>
        <v>0</v>
      </c>
    </row>
    <row r="80" spans="1:29" s="82" customFormat="1" ht="17.25" customHeight="1">
      <c r="A80" s="1267"/>
      <c r="B80" s="97"/>
      <c r="C80" s="98"/>
      <c r="D80" s="98"/>
      <c r="E80" s="102" t="s">
        <v>54</v>
      </c>
      <c r="F80" s="104"/>
      <c r="G80" s="104"/>
      <c r="H80" s="104"/>
      <c r="I80" s="105"/>
      <c r="J80" s="104">
        <f t="shared" si="110"/>
        <v>0</v>
      </c>
      <c r="K80" s="104">
        <f t="shared" si="113"/>
        <v>0</v>
      </c>
      <c r="L80" s="104">
        <f t="shared" si="114"/>
        <v>0</v>
      </c>
      <c r="M80" s="104">
        <f t="shared" ref="M80" si="116">F80*60%</f>
        <v>0</v>
      </c>
      <c r="N80" s="104"/>
      <c r="O80" s="104"/>
      <c r="P80" s="104"/>
      <c r="Q80" s="104">
        <f t="shared" si="24"/>
        <v>0</v>
      </c>
      <c r="R80" s="104">
        <f t="shared" si="115"/>
        <v>0</v>
      </c>
      <c r="S80" s="104">
        <f t="shared" si="25"/>
        <v>0</v>
      </c>
      <c r="T80" s="105"/>
      <c r="U80" s="100">
        <f t="shared" si="19"/>
        <v>0</v>
      </c>
      <c r="V80" s="130"/>
      <c r="W80" s="134">
        <f t="shared" si="20"/>
        <v>0</v>
      </c>
      <c r="X80" s="106"/>
      <c r="Y80" s="106">
        <f t="shared" si="21"/>
        <v>0</v>
      </c>
      <c r="Z80" s="106">
        <f t="shared" si="46"/>
        <v>0</v>
      </c>
      <c r="AA80" s="106">
        <f t="shared" si="107"/>
        <v>0</v>
      </c>
      <c r="AB80" s="106">
        <f t="shared" si="108"/>
        <v>0</v>
      </c>
      <c r="AC80" s="107">
        <f t="shared" si="109"/>
        <v>0</v>
      </c>
    </row>
    <row r="81" spans="1:29" s="82" customFormat="1" ht="17.25" customHeight="1">
      <c r="A81" s="1267"/>
      <c r="B81" s="97"/>
      <c r="C81" s="98"/>
      <c r="D81" s="98"/>
      <c r="E81" s="102" t="s">
        <v>55</v>
      </c>
      <c r="F81" s="104"/>
      <c r="G81" s="104"/>
      <c r="H81" s="104"/>
      <c r="I81" s="105"/>
      <c r="J81" s="104">
        <f t="shared" si="110"/>
        <v>0</v>
      </c>
      <c r="K81" s="104">
        <f t="shared" si="113"/>
        <v>0</v>
      </c>
      <c r="L81" s="104">
        <f t="shared" si="114"/>
        <v>0</v>
      </c>
      <c r="M81" s="104"/>
      <c r="N81" s="104"/>
      <c r="O81" s="104"/>
      <c r="P81" s="104"/>
      <c r="Q81" s="104">
        <f t="shared" si="24"/>
        <v>0</v>
      </c>
      <c r="R81" s="104">
        <f t="shared" si="115"/>
        <v>0</v>
      </c>
      <c r="S81" s="104">
        <f t="shared" si="25"/>
        <v>0</v>
      </c>
      <c r="T81" s="105"/>
      <c r="U81" s="100">
        <f t="shared" si="19"/>
        <v>0</v>
      </c>
      <c r="V81" s="130"/>
      <c r="W81" s="134">
        <f t="shared" si="20"/>
        <v>0</v>
      </c>
      <c r="X81" s="106"/>
      <c r="Y81" s="106">
        <f t="shared" si="21"/>
        <v>0</v>
      </c>
      <c r="Z81" s="106">
        <f t="shared" si="46"/>
        <v>0</v>
      </c>
      <c r="AA81" s="106">
        <f t="shared" si="107"/>
        <v>0</v>
      </c>
      <c r="AB81" s="106">
        <f t="shared" si="108"/>
        <v>0</v>
      </c>
      <c r="AC81" s="107">
        <f t="shared" si="109"/>
        <v>0</v>
      </c>
    </row>
    <row r="82" spans="1:29" s="82" customFormat="1" ht="17.25" customHeight="1">
      <c r="A82" s="1267"/>
      <c r="B82" s="97"/>
      <c r="C82" s="98"/>
      <c r="D82" s="98"/>
      <c r="E82" s="102" t="s">
        <v>56</v>
      </c>
      <c r="F82" s="104"/>
      <c r="G82" s="104"/>
      <c r="H82" s="104"/>
      <c r="I82" s="105"/>
      <c r="J82" s="104">
        <f t="shared" si="110"/>
        <v>0</v>
      </c>
      <c r="K82" s="104">
        <f t="shared" si="113"/>
        <v>0</v>
      </c>
      <c r="L82" s="104">
        <f>K82-R82-S82</f>
        <v>0</v>
      </c>
      <c r="M82" s="104"/>
      <c r="N82" s="104"/>
      <c r="O82" s="104"/>
      <c r="P82" s="104"/>
      <c r="Q82" s="104">
        <f t="shared" si="24"/>
        <v>0</v>
      </c>
      <c r="R82" s="104">
        <f t="shared" si="115"/>
        <v>0</v>
      </c>
      <c r="S82" s="104">
        <f t="shared" si="25"/>
        <v>0</v>
      </c>
      <c r="T82" s="105"/>
      <c r="U82" s="100">
        <f t="shared" si="19"/>
        <v>0</v>
      </c>
      <c r="V82" s="130"/>
      <c r="W82" s="134">
        <f t="shared" si="20"/>
        <v>0</v>
      </c>
      <c r="X82" s="106"/>
      <c r="Y82" s="106">
        <f t="shared" si="21"/>
        <v>0</v>
      </c>
      <c r="Z82" s="106">
        <f t="shared" si="46"/>
        <v>0</v>
      </c>
      <c r="AA82" s="106">
        <f t="shared" si="107"/>
        <v>0</v>
      </c>
      <c r="AB82" s="106">
        <f t="shared" si="108"/>
        <v>0</v>
      </c>
      <c r="AC82" s="107">
        <f t="shared" si="109"/>
        <v>0</v>
      </c>
    </row>
    <row r="83" spans="1:29" s="82" customFormat="1" ht="17.25" customHeight="1">
      <c r="A83" s="1267"/>
      <c r="B83" s="97"/>
      <c r="C83" s="98"/>
      <c r="D83" s="98"/>
      <c r="E83" s="102" t="s">
        <v>281</v>
      </c>
      <c r="F83" s="104"/>
      <c r="G83" s="104"/>
      <c r="H83" s="104"/>
      <c r="I83" s="105"/>
      <c r="J83" s="104">
        <f t="shared" si="110"/>
        <v>0</v>
      </c>
      <c r="K83" s="104">
        <f>J83*25*2</f>
        <v>0</v>
      </c>
      <c r="L83" s="104">
        <f>K83-R83-S83</f>
        <v>0</v>
      </c>
      <c r="M83" s="104"/>
      <c r="N83" s="104"/>
      <c r="O83" s="104"/>
      <c r="P83" s="104"/>
      <c r="Q83" s="104">
        <f t="shared" si="24"/>
        <v>0</v>
      </c>
      <c r="R83" s="104">
        <f>Q83*20*2</f>
        <v>0</v>
      </c>
      <c r="S83" s="104">
        <f t="shared" ref="S83" si="117">Q83*5*2</f>
        <v>0</v>
      </c>
      <c r="T83" s="105"/>
      <c r="U83" s="100">
        <f t="shared" si="19"/>
        <v>0</v>
      </c>
      <c r="V83" s="130"/>
      <c r="W83" s="134">
        <f t="shared" si="20"/>
        <v>0</v>
      </c>
      <c r="X83" s="106"/>
      <c r="Y83" s="106">
        <f t="shared" si="21"/>
        <v>0</v>
      </c>
      <c r="Z83" s="106">
        <f t="shared" si="46"/>
        <v>0</v>
      </c>
      <c r="AA83" s="106">
        <f t="shared" si="107"/>
        <v>0</v>
      </c>
      <c r="AB83" s="106">
        <f t="shared" si="108"/>
        <v>0</v>
      </c>
      <c r="AC83" s="107">
        <f t="shared" si="109"/>
        <v>0</v>
      </c>
    </row>
    <row r="84" spans="1:29" s="82" customFormat="1" ht="16.5" customHeight="1">
      <c r="A84" s="1267">
        <v>7</v>
      </c>
      <c r="B84" s="97" t="s">
        <v>812</v>
      </c>
      <c r="C84" s="69" t="s">
        <v>523</v>
      </c>
      <c r="D84" s="98">
        <v>1</v>
      </c>
      <c r="E84" s="99" t="s">
        <v>86</v>
      </c>
      <c r="F84" s="100">
        <f t="shared" ref="F84" si="118">SUM(F85:F96)</f>
        <v>0</v>
      </c>
      <c r="G84" s="100">
        <f t="shared" ref="G84:N84" si="119">SUM(G85:G96)</f>
        <v>0</v>
      </c>
      <c r="H84" s="100">
        <f t="shared" si="119"/>
        <v>0</v>
      </c>
      <c r="I84" s="100">
        <f t="shared" si="119"/>
        <v>0</v>
      </c>
      <c r="J84" s="100">
        <f t="shared" si="119"/>
        <v>0</v>
      </c>
      <c r="K84" s="100">
        <f t="shared" si="119"/>
        <v>0</v>
      </c>
      <c r="L84" s="100">
        <f t="shared" si="119"/>
        <v>0</v>
      </c>
      <c r="M84" s="100">
        <f t="shared" si="119"/>
        <v>0</v>
      </c>
      <c r="N84" s="100">
        <f t="shared" si="119"/>
        <v>0</v>
      </c>
      <c r="O84" s="100">
        <f t="shared" ref="O84" si="120">SUM(O85:O96)</f>
        <v>0</v>
      </c>
      <c r="P84" s="100"/>
      <c r="Q84" s="100"/>
      <c r="R84" s="100">
        <f t="shared" ref="R84:S84" si="121">SUM(R85:R96)</f>
        <v>0</v>
      </c>
      <c r="S84" s="100">
        <f t="shared" si="121"/>
        <v>0</v>
      </c>
      <c r="T84" s="100"/>
      <c r="U84" s="100">
        <f t="shared" ref="U84" si="122">SUM(U85:U96)</f>
        <v>0</v>
      </c>
      <c r="V84" s="130"/>
      <c r="W84" s="143">
        <f t="shared" ref="W84:X84" si="123">SUM(W85:W96)</f>
        <v>0</v>
      </c>
      <c r="X84" s="100">
        <f t="shared" si="123"/>
        <v>0</v>
      </c>
      <c r="Y84" s="100">
        <f t="shared" ref="Y84:AB84" si="124">SUM(Y85:Y96)</f>
        <v>0</v>
      </c>
      <c r="Z84" s="100">
        <f t="shared" si="124"/>
        <v>0</v>
      </c>
      <c r="AA84" s="100">
        <f t="shared" si="124"/>
        <v>0</v>
      </c>
      <c r="AB84" s="100">
        <f t="shared" si="124"/>
        <v>0</v>
      </c>
      <c r="AC84" s="101">
        <f>SUM(AC85:AC96)</f>
        <v>0</v>
      </c>
    </row>
    <row r="85" spans="1:29" s="82" customFormat="1" ht="16.5" customHeight="1">
      <c r="A85" s="1267"/>
      <c r="B85" s="97" t="s">
        <v>443</v>
      </c>
      <c r="C85" s="171">
        <v>9</v>
      </c>
      <c r="D85" s="171"/>
      <c r="E85" s="172" t="s">
        <v>273</v>
      </c>
      <c r="F85" s="173"/>
      <c r="G85" s="104"/>
      <c r="H85" s="103"/>
      <c r="I85" s="105"/>
      <c r="J85" s="104"/>
      <c r="K85" s="104"/>
      <c r="L85" s="104"/>
      <c r="M85" s="104">
        <f t="shared" ref="M85" si="125">F85*60%</f>
        <v>0</v>
      </c>
      <c r="N85" s="104"/>
      <c r="O85" s="104"/>
      <c r="P85" s="104"/>
      <c r="Q85" s="104"/>
      <c r="R85" s="104"/>
      <c r="S85" s="104"/>
      <c r="T85" s="105"/>
      <c r="U85" s="100">
        <f t="shared" ref="U85:U148" si="126">SUM(I85,L85)</f>
        <v>0</v>
      </c>
      <c r="V85" s="130"/>
      <c r="W85" s="134">
        <f t="shared" ref="W85:W148" si="127">ROUNDUP(U85*1/12,-1)</f>
        <v>0</v>
      </c>
      <c r="X85" s="106"/>
      <c r="Y85" s="106">
        <f t="shared" ref="Y85:Y148" si="128">ROUNDUP((U85-L85)*3.06%,-1)</f>
        <v>0</v>
      </c>
      <c r="Z85" s="106">
        <f>ROUNDUP(Y85*6.55%,-1)</f>
        <v>0</v>
      </c>
      <c r="AA85" s="106">
        <f t="shared" ref="AA85:AA96" si="129">ROUND(U85*0.9%,-1)</f>
        <v>0</v>
      </c>
      <c r="AB85" s="106">
        <f t="shared" ref="AB85:AB96" si="130">ROUND(U85*0.8%,-1)</f>
        <v>0</v>
      </c>
      <c r="AC85" s="107">
        <f t="shared" ref="AC85:AC96" si="131">SUM(W85:AB85)</f>
        <v>0</v>
      </c>
    </row>
    <row r="86" spans="1:29" s="82" customFormat="1" ht="16.5" customHeight="1">
      <c r="A86" s="1267"/>
      <c r="B86" s="97"/>
      <c r="C86" s="98"/>
      <c r="D86" s="98"/>
      <c r="E86" s="102" t="s">
        <v>274</v>
      </c>
      <c r="F86" s="104"/>
      <c r="G86" s="104"/>
      <c r="H86" s="104"/>
      <c r="I86" s="105"/>
      <c r="J86" s="104">
        <f t="shared" ref="J86:J96" si="132">ROUND((F85+I85+T85)*1/209*1.5,-1)</f>
        <v>0</v>
      </c>
      <c r="K86" s="104">
        <f>J86*25</f>
        <v>0</v>
      </c>
      <c r="L86" s="104">
        <f>K86-R86-S86</f>
        <v>0</v>
      </c>
      <c r="M86" s="104"/>
      <c r="N86" s="104"/>
      <c r="O86" s="104"/>
      <c r="P86" s="104"/>
      <c r="Q86" s="104">
        <f t="shared" ref="Q86:Q148" si="133">ROUND((F85+T85)*1/209*1.5,-1)</f>
        <v>0</v>
      </c>
      <c r="R86" s="104">
        <f>Q86*20</f>
        <v>0</v>
      </c>
      <c r="S86" s="104">
        <f t="shared" ref="S86:S134" si="134">Q86*5</f>
        <v>0</v>
      </c>
      <c r="T86" s="105"/>
      <c r="U86" s="100">
        <f t="shared" si="126"/>
        <v>0</v>
      </c>
      <c r="V86" s="130"/>
      <c r="W86" s="134">
        <f t="shared" si="127"/>
        <v>0</v>
      </c>
      <c r="X86" s="106"/>
      <c r="Y86" s="106">
        <f t="shared" si="128"/>
        <v>0</v>
      </c>
      <c r="Z86" s="106">
        <f t="shared" si="46"/>
        <v>0</v>
      </c>
      <c r="AA86" s="106">
        <f t="shared" si="129"/>
        <v>0</v>
      </c>
      <c r="AB86" s="106">
        <f t="shared" si="130"/>
        <v>0</v>
      </c>
      <c r="AC86" s="107">
        <f t="shared" si="131"/>
        <v>0</v>
      </c>
    </row>
    <row r="87" spans="1:29" s="82" customFormat="1" ht="16.5" customHeight="1">
      <c r="A87" s="1267"/>
      <c r="B87" s="97"/>
      <c r="C87" s="98"/>
      <c r="D87" s="98"/>
      <c r="E87" s="102" t="s">
        <v>275</v>
      </c>
      <c r="F87" s="104"/>
      <c r="G87" s="104"/>
      <c r="H87" s="104"/>
      <c r="I87" s="105"/>
      <c r="J87" s="104">
        <f t="shared" si="132"/>
        <v>0</v>
      </c>
      <c r="K87" s="104">
        <f t="shared" ref="K87:K95" si="135">J87*25</f>
        <v>0</v>
      </c>
      <c r="L87" s="104">
        <f t="shared" ref="L87:L94" si="136">K87-R87-S87</f>
        <v>0</v>
      </c>
      <c r="M87" s="104"/>
      <c r="N87" s="104"/>
      <c r="O87" s="104"/>
      <c r="P87" s="104"/>
      <c r="Q87" s="104">
        <f t="shared" si="133"/>
        <v>0</v>
      </c>
      <c r="R87" s="104">
        <f t="shared" ref="R87:R95" si="137">Q87*20</f>
        <v>0</v>
      </c>
      <c r="S87" s="104">
        <f t="shared" si="134"/>
        <v>0</v>
      </c>
      <c r="T87" s="105"/>
      <c r="U87" s="100">
        <f t="shared" si="126"/>
        <v>0</v>
      </c>
      <c r="V87" s="130"/>
      <c r="W87" s="134">
        <f t="shared" si="127"/>
        <v>0</v>
      </c>
      <c r="X87" s="106"/>
      <c r="Y87" s="106">
        <f t="shared" si="128"/>
        <v>0</v>
      </c>
      <c r="Z87" s="106">
        <f t="shared" si="46"/>
        <v>0</v>
      </c>
      <c r="AA87" s="106">
        <f t="shared" si="129"/>
        <v>0</v>
      </c>
      <c r="AB87" s="106">
        <f t="shared" si="130"/>
        <v>0</v>
      </c>
      <c r="AC87" s="107">
        <f t="shared" si="131"/>
        <v>0</v>
      </c>
    </row>
    <row r="88" spans="1:29" s="82" customFormat="1" ht="16.5" customHeight="1">
      <c r="A88" s="1267"/>
      <c r="B88" s="97"/>
      <c r="C88" s="98"/>
      <c r="D88" s="98"/>
      <c r="E88" s="102" t="s">
        <v>276</v>
      </c>
      <c r="F88" s="173"/>
      <c r="G88" s="104"/>
      <c r="H88" s="104"/>
      <c r="I88" s="105"/>
      <c r="J88" s="104">
        <f t="shared" si="132"/>
        <v>0</v>
      </c>
      <c r="K88" s="104">
        <f t="shared" si="135"/>
        <v>0</v>
      </c>
      <c r="L88" s="104">
        <f t="shared" si="136"/>
        <v>0</v>
      </c>
      <c r="M88" s="104"/>
      <c r="N88" s="104"/>
      <c r="O88" s="104"/>
      <c r="P88" s="104"/>
      <c r="Q88" s="104">
        <f t="shared" si="133"/>
        <v>0</v>
      </c>
      <c r="R88" s="104">
        <f t="shared" si="137"/>
        <v>0</v>
      </c>
      <c r="S88" s="104">
        <f t="shared" si="134"/>
        <v>0</v>
      </c>
      <c r="T88" s="105"/>
      <c r="U88" s="100">
        <f t="shared" si="126"/>
        <v>0</v>
      </c>
      <c r="V88" s="130"/>
      <c r="W88" s="134">
        <f t="shared" si="127"/>
        <v>0</v>
      </c>
      <c r="X88" s="106"/>
      <c r="Y88" s="106">
        <f t="shared" si="128"/>
        <v>0</v>
      </c>
      <c r="Z88" s="106">
        <f t="shared" si="46"/>
        <v>0</v>
      </c>
      <c r="AA88" s="106">
        <f t="shared" si="129"/>
        <v>0</v>
      </c>
      <c r="AB88" s="106">
        <f t="shared" si="130"/>
        <v>0</v>
      </c>
      <c r="AC88" s="107">
        <f t="shared" si="131"/>
        <v>0</v>
      </c>
    </row>
    <row r="89" spans="1:29" s="82" customFormat="1" ht="16.5" customHeight="1">
      <c r="A89" s="1267"/>
      <c r="B89" s="97"/>
      <c r="C89" s="98"/>
      <c r="D89" s="98"/>
      <c r="E89" s="102" t="s">
        <v>277</v>
      </c>
      <c r="F89" s="104"/>
      <c r="G89" s="104"/>
      <c r="H89" s="104"/>
      <c r="I89" s="105"/>
      <c r="J89" s="104">
        <f t="shared" si="132"/>
        <v>0</v>
      </c>
      <c r="K89" s="104">
        <f t="shared" si="135"/>
        <v>0</v>
      </c>
      <c r="L89" s="104">
        <f t="shared" si="136"/>
        <v>0</v>
      </c>
      <c r="M89" s="104"/>
      <c r="N89" s="104"/>
      <c r="O89" s="104"/>
      <c r="P89" s="104"/>
      <c r="Q89" s="104">
        <f t="shared" si="133"/>
        <v>0</v>
      </c>
      <c r="R89" s="104">
        <f t="shared" si="137"/>
        <v>0</v>
      </c>
      <c r="S89" s="104">
        <f t="shared" si="134"/>
        <v>0</v>
      </c>
      <c r="T89" s="105"/>
      <c r="U89" s="100">
        <f t="shared" si="126"/>
        <v>0</v>
      </c>
      <c r="V89" s="130"/>
      <c r="W89" s="134">
        <f t="shared" si="127"/>
        <v>0</v>
      </c>
      <c r="X89" s="106"/>
      <c r="Y89" s="106">
        <f t="shared" si="128"/>
        <v>0</v>
      </c>
      <c r="Z89" s="106">
        <f t="shared" si="46"/>
        <v>0</v>
      </c>
      <c r="AA89" s="106">
        <f t="shared" si="129"/>
        <v>0</v>
      </c>
      <c r="AB89" s="106">
        <f t="shared" si="130"/>
        <v>0</v>
      </c>
      <c r="AC89" s="107">
        <f t="shared" si="131"/>
        <v>0</v>
      </c>
    </row>
    <row r="90" spans="1:29" s="82" customFormat="1" ht="16.5" customHeight="1">
      <c r="A90" s="1267"/>
      <c r="B90" s="97"/>
      <c r="C90" s="98"/>
      <c r="D90" s="98"/>
      <c r="E90" s="102" t="s">
        <v>278</v>
      </c>
      <c r="F90" s="104"/>
      <c r="G90" s="104"/>
      <c r="H90" s="104"/>
      <c r="I90" s="105"/>
      <c r="J90" s="104">
        <f t="shared" si="132"/>
        <v>0</v>
      </c>
      <c r="K90" s="104">
        <f t="shared" si="135"/>
        <v>0</v>
      </c>
      <c r="L90" s="104">
        <f t="shared" si="136"/>
        <v>0</v>
      </c>
      <c r="M90" s="104"/>
      <c r="N90" s="104"/>
      <c r="O90" s="104"/>
      <c r="P90" s="104"/>
      <c r="Q90" s="104">
        <f t="shared" si="133"/>
        <v>0</v>
      </c>
      <c r="R90" s="104">
        <f t="shared" si="137"/>
        <v>0</v>
      </c>
      <c r="S90" s="104">
        <f t="shared" si="134"/>
        <v>0</v>
      </c>
      <c r="T90" s="105"/>
      <c r="U90" s="100">
        <f t="shared" si="126"/>
        <v>0</v>
      </c>
      <c r="V90" s="130"/>
      <c r="W90" s="134">
        <f t="shared" si="127"/>
        <v>0</v>
      </c>
      <c r="X90" s="106"/>
      <c r="Y90" s="106">
        <f t="shared" si="128"/>
        <v>0</v>
      </c>
      <c r="Z90" s="106">
        <f t="shared" si="46"/>
        <v>0</v>
      </c>
      <c r="AA90" s="106">
        <f t="shared" si="129"/>
        <v>0</v>
      </c>
      <c r="AB90" s="106">
        <f t="shared" si="130"/>
        <v>0</v>
      </c>
      <c r="AC90" s="107">
        <f t="shared" si="131"/>
        <v>0</v>
      </c>
    </row>
    <row r="91" spans="1:29" s="82" customFormat="1" ht="16.5" customHeight="1">
      <c r="A91" s="1267"/>
      <c r="B91" s="97"/>
      <c r="C91" s="98"/>
      <c r="D91" s="98"/>
      <c r="E91" s="102" t="s">
        <v>279</v>
      </c>
      <c r="F91" s="104"/>
      <c r="G91" s="104"/>
      <c r="H91" s="103"/>
      <c r="I91" s="105"/>
      <c r="J91" s="104">
        <f t="shared" si="132"/>
        <v>0</v>
      </c>
      <c r="K91" s="104">
        <f t="shared" si="135"/>
        <v>0</v>
      </c>
      <c r="L91" s="104">
        <f t="shared" si="136"/>
        <v>0</v>
      </c>
      <c r="M91" s="104"/>
      <c r="N91" s="104"/>
      <c r="O91" s="104"/>
      <c r="P91" s="104"/>
      <c r="Q91" s="104">
        <f t="shared" si="133"/>
        <v>0</v>
      </c>
      <c r="R91" s="104">
        <f t="shared" si="137"/>
        <v>0</v>
      </c>
      <c r="S91" s="104">
        <f t="shared" si="134"/>
        <v>0</v>
      </c>
      <c r="T91" s="105"/>
      <c r="U91" s="100">
        <f t="shared" si="126"/>
        <v>0</v>
      </c>
      <c r="V91" s="130"/>
      <c r="W91" s="134">
        <f t="shared" si="127"/>
        <v>0</v>
      </c>
      <c r="X91" s="106"/>
      <c r="Y91" s="106">
        <f t="shared" si="128"/>
        <v>0</v>
      </c>
      <c r="Z91" s="106">
        <f t="shared" si="46"/>
        <v>0</v>
      </c>
      <c r="AA91" s="106">
        <f t="shared" si="129"/>
        <v>0</v>
      </c>
      <c r="AB91" s="106">
        <f t="shared" si="130"/>
        <v>0</v>
      </c>
      <c r="AC91" s="107">
        <f t="shared" si="131"/>
        <v>0</v>
      </c>
    </row>
    <row r="92" spans="1:29" s="82" customFormat="1" ht="16.5" customHeight="1">
      <c r="A92" s="1267"/>
      <c r="B92" s="97"/>
      <c r="C92" s="98"/>
      <c r="D92" s="98"/>
      <c r="E92" s="102" t="s">
        <v>280</v>
      </c>
      <c r="F92" s="104"/>
      <c r="G92" s="104"/>
      <c r="H92" s="104"/>
      <c r="I92" s="105"/>
      <c r="J92" s="104">
        <f t="shared" si="132"/>
        <v>0</v>
      </c>
      <c r="K92" s="104">
        <f t="shared" si="135"/>
        <v>0</v>
      </c>
      <c r="L92" s="104">
        <f t="shared" si="136"/>
        <v>0</v>
      </c>
      <c r="M92" s="104"/>
      <c r="N92" s="104"/>
      <c r="O92" s="104"/>
      <c r="P92" s="104"/>
      <c r="Q92" s="104">
        <f t="shared" si="133"/>
        <v>0</v>
      </c>
      <c r="R92" s="104">
        <f t="shared" si="137"/>
        <v>0</v>
      </c>
      <c r="S92" s="104">
        <f t="shared" si="134"/>
        <v>0</v>
      </c>
      <c r="T92" s="105"/>
      <c r="U92" s="100">
        <f t="shared" si="126"/>
        <v>0</v>
      </c>
      <c r="V92" s="130"/>
      <c r="W92" s="134">
        <f t="shared" si="127"/>
        <v>0</v>
      </c>
      <c r="X92" s="106"/>
      <c r="Y92" s="106">
        <f t="shared" si="128"/>
        <v>0</v>
      </c>
      <c r="Z92" s="106">
        <f t="shared" si="46"/>
        <v>0</v>
      </c>
      <c r="AA92" s="106">
        <f t="shared" si="129"/>
        <v>0</v>
      </c>
      <c r="AB92" s="106">
        <f t="shared" si="130"/>
        <v>0</v>
      </c>
      <c r="AC92" s="107">
        <f t="shared" si="131"/>
        <v>0</v>
      </c>
    </row>
    <row r="93" spans="1:29" s="82" customFormat="1" ht="16.5" customHeight="1">
      <c r="A93" s="1267"/>
      <c r="B93" s="97"/>
      <c r="C93" s="98"/>
      <c r="D93" s="98"/>
      <c r="E93" s="102" t="s">
        <v>54</v>
      </c>
      <c r="F93" s="104"/>
      <c r="G93" s="104"/>
      <c r="H93" s="104"/>
      <c r="I93" s="105"/>
      <c r="J93" s="104">
        <f t="shared" si="132"/>
        <v>0</v>
      </c>
      <c r="K93" s="104">
        <f t="shared" si="135"/>
        <v>0</v>
      </c>
      <c r="L93" s="104">
        <f t="shared" si="136"/>
        <v>0</v>
      </c>
      <c r="M93" s="104">
        <f t="shared" ref="M93" si="138">F93*60%</f>
        <v>0</v>
      </c>
      <c r="N93" s="104"/>
      <c r="O93" s="104"/>
      <c r="P93" s="104"/>
      <c r="Q93" s="104">
        <f t="shared" si="133"/>
        <v>0</v>
      </c>
      <c r="R93" s="104">
        <f t="shared" si="137"/>
        <v>0</v>
      </c>
      <c r="S93" s="104">
        <f t="shared" si="134"/>
        <v>0</v>
      </c>
      <c r="T93" s="105"/>
      <c r="U93" s="100">
        <f t="shared" si="126"/>
        <v>0</v>
      </c>
      <c r="V93" s="130"/>
      <c r="W93" s="134">
        <f t="shared" si="127"/>
        <v>0</v>
      </c>
      <c r="X93" s="106"/>
      <c r="Y93" s="106">
        <f t="shared" si="128"/>
        <v>0</v>
      </c>
      <c r="Z93" s="106">
        <f t="shared" si="46"/>
        <v>0</v>
      </c>
      <c r="AA93" s="106">
        <f t="shared" si="129"/>
        <v>0</v>
      </c>
      <c r="AB93" s="106">
        <f t="shared" si="130"/>
        <v>0</v>
      </c>
      <c r="AC93" s="107">
        <f t="shared" si="131"/>
        <v>0</v>
      </c>
    </row>
    <row r="94" spans="1:29" s="82" customFormat="1" ht="16.5" customHeight="1">
      <c r="A94" s="1267"/>
      <c r="B94" s="97"/>
      <c r="C94" s="98"/>
      <c r="D94" s="98"/>
      <c r="E94" s="102" t="s">
        <v>55</v>
      </c>
      <c r="F94" s="104"/>
      <c r="G94" s="104"/>
      <c r="H94" s="104"/>
      <c r="I94" s="105"/>
      <c r="J94" s="104">
        <f t="shared" si="132"/>
        <v>0</v>
      </c>
      <c r="K94" s="104">
        <f t="shared" si="135"/>
        <v>0</v>
      </c>
      <c r="L94" s="104">
        <f t="shared" si="136"/>
        <v>0</v>
      </c>
      <c r="M94" s="104"/>
      <c r="N94" s="104"/>
      <c r="O94" s="104"/>
      <c r="P94" s="104"/>
      <c r="Q94" s="104">
        <f t="shared" si="133"/>
        <v>0</v>
      </c>
      <c r="R94" s="104">
        <f t="shared" si="137"/>
        <v>0</v>
      </c>
      <c r="S94" s="104">
        <f t="shared" si="134"/>
        <v>0</v>
      </c>
      <c r="T94" s="105"/>
      <c r="U94" s="100">
        <f t="shared" si="126"/>
        <v>0</v>
      </c>
      <c r="V94" s="130"/>
      <c r="W94" s="134">
        <f t="shared" si="127"/>
        <v>0</v>
      </c>
      <c r="X94" s="106"/>
      <c r="Y94" s="106">
        <f t="shared" si="128"/>
        <v>0</v>
      </c>
      <c r="Z94" s="106">
        <f t="shared" si="46"/>
        <v>0</v>
      </c>
      <c r="AA94" s="106">
        <f t="shared" si="129"/>
        <v>0</v>
      </c>
      <c r="AB94" s="106">
        <f t="shared" si="130"/>
        <v>0</v>
      </c>
      <c r="AC94" s="107">
        <f t="shared" si="131"/>
        <v>0</v>
      </c>
    </row>
    <row r="95" spans="1:29" s="82" customFormat="1" ht="16.5" customHeight="1">
      <c r="A95" s="1267"/>
      <c r="B95" s="97"/>
      <c r="C95" s="171">
        <v>10</v>
      </c>
      <c r="D95" s="171"/>
      <c r="E95" s="172" t="s">
        <v>56</v>
      </c>
      <c r="F95" s="104"/>
      <c r="G95" s="104"/>
      <c r="H95" s="104"/>
      <c r="I95" s="105"/>
      <c r="J95" s="104">
        <f t="shared" si="132"/>
        <v>0</v>
      </c>
      <c r="K95" s="104">
        <f t="shared" si="135"/>
        <v>0</v>
      </c>
      <c r="L95" s="104">
        <f>K95-R95-S95</f>
        <v>0</v>
      </c>
      <c r="M95" s="104"/>
      <c r="N95" s="104"/>
      <c r="O95" s="104"/>
      <c r="P95" s="104"/>
      <c r="Q95" s="104">
        <f t="shared" si="133"/>
        <v>0</v>
      </c>
      <c r="R95" s="104">
        <f t="shared" si="137"/>
        <v>0</v>
      </c>
      <c r="S95" s="104">
        <f t="shared" si="134"/>
        <v>0</v>
      </c>
      <c r="T95" s="105"/>
      <c r="U95" s="100">
        <f t="shared" si="126"/>
        <v>0</v>
      </c>
      <c r="V95" s="130"/>
      <c r="W95" s="134">
        <f t="shared" si="127"/>
        <v>0</v>
      </c>
      <c r="X95" s="106"/>
      <c r="Y95" s="106">
        <f t="shared" si="128"/>
        <v>0</v>
      </c>
      <c r="Z95" s="106">
        <f t="shared" si="46"/>
        <v>0</v>
      </c>
      <c r="AA95" s="106">
        <f t="shared" si="129"/>
        <v>0</v>
      </c>
      <c r="AB95" s="106">
        <f t="shared" si="130"/>
        <v>0</v>
      </c>
      <c r="AC95" s="107">
        <f t="shared" si="131"/>
        <v>0</v>
      </c>
    </row>
    <row r="96" spans="1:29" s="82" customFormat="1" ht="16.5" customHeight="1">
      <c r="A96" s="1267"/>
      <c r="B96" s="97"/>
      <c r="C96" s="98"/>
      <c r="D96" s="98"/>
      <c r="E96" s="102" t="s">
        <v>281</v>
      </c>
      <c r="F96" s="104"/>
      <c r="G96" s="104"/>
      <c r="H96" s="104"/>
      <c r="I96" s="105"/>
      <c r="J96" s="104">
        <f t="shared" si="132"/>
        <v>0</v>
      </c>
      <c r="K96" s="104">
        <f>J96*25*2</f>
        <v>0</v>
      </c>
      <c r="L96" s="104">
        <f>K96-R96-S96</f>
        <v>0</v>
      </c>
      <c r="M96" s="104"/>
      <c r="N96" s="104"/>
      <c r="O96" s="104"/>
      <c r="P96" s="104"/>
      <c r="Q96" s="104">
        <f t="shared" si="133"/>
        <v>0</v>
      </c>
      <c r="R96" s="104">
        <f>Q96*20*2</f>
        <v>0</v>
      </c>
      <c r="S96" s="104">
        <f t="shared" ref="S96" si="139">Q96*5*2</f>
        <v>0</v>
      </c>
      <c r="T96" s="105"/>
      <c r="U96" s="100">
        <f t="shared" si="126"/>
        <v>0</v>
      </c>
      <c r="V96" s="130"/>
      <c r="W96" s="134">
        <f t="shared" si="127"/>
        <v>0</v>
      </c>
      <c r="X96" s="106"/>
      <c r="Y96" s="106">
        <f t="shared" si="128"/>
        <v>0</v>
      </c>
      <c r="Z96" s="106">
        <f t="shared" si="46"/>
        <v>0</v>
      </c>
      <c r="AA96" s="106">
        <f t="shared" si="129"/>
        <v>0</v>
      </c>
      <c r="AB96" s="106">
        <f t="shared" si="130"/>
        <v>0</v>
      </c>
      <c r="AC96" s="107">
        <f t="shared" si="131"/>
        <v>0</v>
      </c>
    </row>
    <row r="97" spans="1:29" s="82" customFormat="1" ht="17.25" customHeight="1">
      <c r="A97" s="1267">
        <v>8</v>
      </c>
      <c r="B97" s="97" t="s">
        <v>711</v>
      </c>
      <c r="C97" s="98" t="s">
        <v>609</v>
      </c>
      <c r="D97" s="98">
        <v>1</v>
      </c>
      <c r="E97" s="99" t="s">
        <v>86</v>
      </c>
      <c r="F97" s="100">
        <f t="shared" ref="F97" si="140">SUM(F98:F109)</f>
        <v>0</v>
      </c>
      <c r="G97" s="100">
        <f t="shared" ref="G97:N97" si="141">SUM(G98:G109)</f>
        <v>0</v>
      </c>
      <c r="H97" s="100">
        <f t="shared" si="141"/>
        <v>0</v>
      </c>
      <c r="I97" s="100">
        <f t="shared" ref="I97" si="142">SUM(I98:I109)</f>
        <v>0</v>
      </c>
      <c r="J97" s="100">
        <f t="shared" si="141"/>
        <v>0</v>
      </c>
      <c r="K97" s="100">
        <f t="shared" si="141"/>
        <v>0</v>
      </c>
      <c r="L97" s="100">
        <f t="shared" si="141"/>
        <v>0</v>
      </c>
      <c r="M97" s="100">
        <f t="shared" si="141"/>
        <v>0</v>
      </c>
      <c r="N97" s="100">
        <f t="shared" si="141"/>
        <v>0</v>
      </c>
      <c r="O97" s="100">
        <f t="shared" ref="O97" si="143">SUM(O98:O109)</f>
        <v>0</v>
      </c>
      <c r="P97" s="100"/>
      <c r="Q97" s="100"/>
      <c r="R97" s="100">
        <f t="shared" ref="R97:S97" si="144">SUM(R98:R109)</f>
        <v>0</v>
      </c>
      <c r="S97" s="100">
        <f t="shared" si="144"/>
        <v>0</v>
      </c>
      <c r="T97" s="100"/>
      <c r="U97" s="100">
        <f t="shared" ref="U97" si="145">SUM(U98:U109)</f>
        <v>0</v>
      </c>
      <c r="V97" s="130"/>
      <c r="W97" s="143">
        <f t="shared" ref="W97:X97" si="146">SUM(W98:W109)</f>
        <v>0</v>
      </c>
      <c r="X97" s="100">
        <f t="shared" si="146"/>
        <v>0</v>
      </c>
      <c r="Y97" s="100">
        <f t="shared" ref="Y97:AB97" si="147">SUM(Y98:Y109)</f>
        <v>0</v>
      </c>
      <c r="Z97" s="100">
        <f t="shared" si="147"/>
        <v>0</v>
      </c>
      <c r="AA97" s="100">
        <f t="shared" si="147"/>
        <v>0</v>
      </c>
      <c r="AB97" s="100">
        <f t="shared" si="147"/>
        <v>0</v>
      </c>
      <c r="AC97" s="101">
        <f>SUM(AC98:AC109)</f>
        <v>0</v>
      </c>
    </row>
    <row r="98" spans="1:29" s="82" customFormat="1" ht="17.25" customHeight="1">
      <c r="A98" s="1267"/>
      <c r="B98" s="97" t="s">
        <v>435</v>
      </c>
      <c r="C98" s="171">
        <v>11</v>
      </c>
      <c r="D98" s="171"/>
      <c r="E98" s="172" t="s">
        <v>273</v>
      </c>
      <c r="F98" s="173"/>
      <c r="G98" s="104"/>
      <c r="H98" s="103"/>
      <c r="I98" s="105"/>
      <c r="J98" s="104"/>
      <c r="K98" s="104"/>
      <c r="L98" s="104"/>
      <c r="M98" s="104">
        <f t="shared" ref="M98" si="148">F98*60%</f>
        <v>0</v>
      </c>
      <c r="N98" s="104"/>
      <c r="O98" s="104"/>
      <c r="P98" s="104"/>
      <c r="Q98" s="104"/>
      <c r="R98" s="104"/>
      <c r="S98" s="104"/>
      <c r="T98" s="105"/>
      <c r="U98" s="100">
        <f t="shared" ref="U98" si="149">SUM(I98,L98)</f>
        <v>0</v>
      </c>
      <c r="V98" s="130"/>
      <c r="W98" s="134">
        <f t="shared" ref="W98:W99" si="150">ROUNDUP(U98*1/12,-1)</f>
        <v>0</v>
      </c>
      <c r="X98" s="106"/>
      <c r="Y98" s="106">
        <f t="shared" ref="Y98" si="151">ROUNDUP((U98-L98)*3.06%,-1)</f>
        <v>0</v>
      </c>
      <c r="Z98" s="106">
        <f t="shared" ref="Z98:Z135" si="152">ROUNDUP(Y98*6.55%,-1)</f>
        <v>0</v>
      </c>
      <c r="AA98" s="106">
        <f t="shared" ref="AA98:AA109" si="153">ROUND(U98*0.9%,-1)</f>
        <v>0</v>
      </c>
      <c r="AB98" s="106">
        <f t="shared" ref="AB98:AB109" si="154">ROUND(U98*0.8%,-1)</f>
        <v>0</v>
      </c>
      <c r="AC98" s="107">
        <f t="shared" ref="AC98:AC109" si="155">SUM(W98:AB98)</f>
        <v>0</v>
      </c>
    </row>
    <row r="99" spans="1:29" s="82" customFormat="1" ht="17.25" customHeight="1">
      <c r="A99" s="1267"/>
      <c r="B99" s="97"/>
      <c r="C99" s="98"/>
      <c r="D99" s="98"/>
      <c r="E99" s="102" t="s">
        <v>274</v>
      </c>
      <c r="F99" s="104"/>
      <c r="G99" s="104"/>
      <c r="H99" s="104"/>
      <c r="I99" s="105"/>
      <c r="J99" s="104">
        <f t="shared" ref="J99:J109" si="156">ROUND((F98+I98+T98)*1/209*1.5,-1)</f>
        <v>0</v>
      </c>
      <c r="K99" s="104">
        <f>J99*25</f>
        <v>0</v>
      </c>
      <c r="L99" s="104">
        <f>K99-R99-S99</f>
        <v>0</v>
      </c>
      <c r="M99" s="104"/>
      <c r="N99" s="104"/>
      <c r="O99" s="104"/>
      <c r="P99" s="104"/>
      <c r="Q99" s="104">
        <f t="shared" ref="Q99" si="157">ROUND((F98+T98)*1/209*1.5,-1)</f>
        <v>0</v>
      </c>
      <c r="R99" s="104">
        <f>Q99*20</f>
        <v>0</v>
      </c>
      <c r="S99" s="104">
        <f t="shared" ref="S99" si="158">Q99*5</f>
        <v>0</v>
      </c>
      <c r="T99" s="105"/>
      <c r="U99" s="100">
        <f t="shared" si="126"/>
        <v>0</v>
      </c>
      <c r="V99" s="130"/>
      <c r="W99" s="134">
        <f t="shared" si="150"/>
        <v>0</v>
      </c>
      <c r="X99" s="106"/>
      <c r="Y99" s="106">
        <f t="shared" si="128"/>
        <v>0</v>
      </c>
      <c r="Z99" s="106">
        <f t="shared" si="152"/>
        <v>0</v>
      </c>
      <c r="AA99" s="106">
        <f t="shared" si="153"/>
        <v>0</v>
      </c>
      <c r="AB99" s="106">
        <f t="shared" si="154"/>
        <v>0</v>
      </c>
      <c r="AC99" s="107">
        <f t="shared" si="155"/>
        <v>0</v>
      </c>
    </row>
    <row r="100" spans="1:29" s="82" customFormat="1" ht="17.25" customHeight="1">
      <c r="A100" s="1267"/>
      <c r="B100" s="97"/>
      <c r="C100" s="98"/>
      <c r="D100" s="98"/>
      <c r="E100" s="102" t="s">
        <v>275</v>
      </c>
      <c r="F100" s="104"/>
      <c r="G100" s="104"/>
      <c r="H100" s="104"/>
      <c r="I100" s="105"/>
      <c r="J100" s="104">
        <f t="shared" si="156"/>
        <v>0</v>
      </c>
      <c r="K100" s="104">
        <f t="shared" ref="K100:K108" si="159">J100*25</f>
        <v>0</v>
      </c>
      <c r="L100" s="104">
        <f t="shared" ref="L100:L107" si="160">K100-R100-S100</f>
        <v>0</v>
      </c>
      <c r="M100" s="104"/>
      <c r="N100" s="104"/>
      <c r="O100" s="104"/>
      <c r="P100" s="104"/>
      <c r="Q100" s="104">
        <f t="shared" si="133"/>
        <v>0</v>
      </c>
      <c r="R100" s="104">
        <f t="shared" ref="R100:R108" si="161">Q100*20</f>
        <v>0</v>
      </c>
      <c r="S100" s="104">
        <f t="shared" si="134"/>
        <v>0</v>
      </c>
      <c r="T100" s="105"/>
      <c r="U100" s="100">
        <f t="shared" si="126"/>
        <v>0</v>
      </c>
      <c r="V100" s="130"/>
      <c r="W100" s="134">
        <f t="shared" si="127"/>
        <v>0</v>
      </c>
      <c r="X100" s="106"/>
      <c r="Y100" s="106">
        <f t="shared" si="128"/>
        <v>0</v>
      </c>
      <c r="Z100" s="106">
        <f t="shared" si="152"/>
        <v>0</v>
      </c>
      <c r="AA100" s="106">
        <f t="shared" si="153"/>
        <v>0</v>
      </c>
      <c r="AB100" s="106">
        <f t="shared" si="154"/>
        <v>0</v>
      </c>
      <c r="AC100" s="107">
        <f t="shared" si="155"/>
        <v>0</v>
      </c>
    </row>
    <row r="101" spans="1:29" s="82" customFormat="1" ht="17.25" customHeight="1">
      <c r="A101" s="1267"/>
      <c r="B101" s="97"/>
      <c r="C101" s="98"/>
      <c r="D101" s="98"/>
      <c r="E101" s="102" t="s">
        <v>276</v>
      </c>
      <c r="F101" s="173"/>
      <c r="G101" s="104"/>
      <c r="H101" s="104"/>
      <c r="I101" s="105"/>
      <c r="J101" s="104">
        <f t="shared" si="156"/>
        <v>0</v>
      </c>
      <c r="K101" s="104">
        <f t="shared" si="159"/>
        <v>0</v>
      </c>
      <c r="L101" s="104">
        <f t="shared" si="160"/>
        <v>0</v>
      </c>
      <c r="M101" s="104"/>
      <c r="N101" s="104"/>
      <c r="O101" s="104"/>
      <c r="P101" s="104"/>
      <c r="Q101" s="104">
        <f t="shared" si="133"/>
        <v>0</v>
      </c>
      <c r="R101" s="104">
        <f t="shared" si="161"/>
        <v>0</v>
      </c>
      <c r="S101" s="104">
        <f t="shared" si="134"/>
        <v>0</v>
      </c>
      <c r="T101" s="105"/>
      <c r="U101" s="100">
        <f t="shared" si="126"/>
        <v>0</v>
      </c>
      <c r="V101" s="130"/>
      <c r="W101" s="134">
        <f t="shared" si="127"/>
        <v>0</v>
      </c>
      <c r="X101" s="106"/>
      <c r="Y101" s="106">
        <f t="shared" si="128"/>
        <v>0</v>
      </c>
      <c r="Z101" s="106">
        <f t="shared" si="152"/>
        <v>0</v>
      </c>
      <c r="AA101" s="106">
        <f t="shared" si="153"/>
        <v>0</v>
      </c>
      <c r="AB101" s="106">
        <f t="shared" si="154"/>
        <v>0</v>
      </c>
      <c r="AC101" s="107">
        <f t="shared" si="155"/>
        <v>0</v>
      </c>
    </row>
    <row r="102" spans="1:29" s="82" customFormat="1" ht="17.25" customHeight="1">
      <c r="A102" s="1267"/>
      <c r="B102" s="97"/>
      <c r="C102" s="98"/>
      <c r="D102" s="98"/>
      <c r="E102" s="102" t="s">
        <v>277</v>
      </c>
      <c r="F102" s="104"/>
      <c r="G102" s="104"/>
      <c r="H102" s="104"/>
      <c r="I102" s="105"/>
      <c r="J102" s="104">
        <f t="shared" si="156"/>
        <v>0</v>
      </c>
      <c r="K102" s="104">
        <f t="shared" si="159"/>
        <v>0</v>
      </c>
      <c r="L102" s="104">
        <f t="shared" si="160"/>
        <v>0</v>
      </c>
      <c r="M102" s="104"/>
      <c r="N102" s="104"/>
      <c r="O102" s="104"/>
      <c r="P102" s="104"/>
      <c r="Q102" s="104">
        <f t="shared" si="133"/>
        <v>0</v>
      </c>
      <c r="R102" s="104">
        <f t="shared" si="161"/>
        <v>0</v>
      </c>
      <c r="S102" s="104">
        <f t="shared" si="134"/>
        <v>0</v>
      </c>
      <c r="T102" s="105"/>
      <c r="U102" s="100">
        <f t="shared" si="126"/>
        <v>0</v>
      </c>
      <c r="V102" s="130"/>
      <c r="W102" s="134">
        <f t="shared" si="127"/>
        <v>0</v>
      </c>
      <c r="X102" s="106"/>
      <c r="Y102" s="106">
        <f t="shared" si="128"/>
        <v>0</v>
      </c>
      <c r="Z102" s="106">
        <f t="shared" si="152"/>
        <v>0</v>
      </c>
      <c r="AA102" s="106">
        <f t="shared" si="153"/>
        <v>0</v>
      </c>
      <c r="AB102" s="106">
        <f t="shared" si="154"/>
        <v>0</v>
      </c>
      <c r="AC102" s="107">
        <f t="shared" si="155"/>
        <v>0</v>
      </c>
    </row>
    <row r="103" spans="1:29" s="82" customFormat="1" ht="17.25" customHeight="1">
      <c r="A103" s="1267"/>
      <c r="B103" s="97"/>
      <c r="C103" s="98"/>
      <c r="D103" s="98"/>
      <c r="E103" s="102" t="s">
        <v>278</v>
      </c>
      <c r="F103" s="104"/>
      <c r="G103" s="104"/>
      <c r="H103" s="104"/>
      <c r="I103" s="105"/>
      <c r="J103" s="104">
        <f t="shared" si="156"/>
        <v>0</v>
      </c>
      <c r="K103" s="104">
        <f t="shared" si="159"/>
        <v>0</v>
      </c>
      <c r="L103" s="104">
        <f t="shared" si="160"/>
        <v>0</v>
      </c>
      <c r="M103" s="104"/>
      <c r="N103" s="104"/>
      <c r="O103" s="104"/>
      <c r="P103" s="104"/>
      <c r="Q103" s="104">
        <f t="shared" si="133"/>
        <v>0</v>
      </c>
      <c r="R103" s="104">
        <f t="shared" si="161"/>
        <v>0</v>
      </c>
      <c r="S103" s="104">
        <f t="shared" si="134"/>
        <v>0</v>
      </c>
      <c r="T103" s="105"/>
      <c r="U103" s="100">
        <f t="shared" si="126"/>
        <v>0</v>
      </c>
      <c r="V103" s="130"/>
      <c r="W103" s="134">
        <f t="shared" si="127"/>
        <v>0</v>
      </c>
      <c r="X103" s="106"/>
      <c r="Y103" s="106">
        <f t="shared" si="128"/>
        <v>0</v>
      </c>
      <c r="Z103" s="106">
        <f t="shared" si="152"/>
        <v>0</v>
      </c>
      <c r="AA103" s="106">
        <f t="shared" si="153"/>
        <v>0</v>
      </c>
      <c r="AB103" s="106">
        <f t="shared" si="154"/>
        <v>0</v>
      </c>
      <c r="AC103" s="107">
        <f t="shared" si="155"/>
        <v>0</v>
      </c>
    </row>
    <row r="104" spans="1:29" s="82" customFormat="1" ht="17.25" customHeight="1">
      <c r="A104" s="1267"/>
      <c r="B104" s="97"/>
      <c r="C104" s="98"/>
      <c r="D104" s="98"/>
      <c r="E104" s="102" t="s">
        <v>279</v>
      </c>
      <c r="F104" s="104"/>
      <c r="G104" s="104"/>
      <c r="H104" s="103"/>
      <c r="I104" s="105"/>
      <c r="J104" s="104">
        <f t="shared" si="156"/>
        <v>0</v>
      </c>
      <c r="K104" s="104">
        <f t="shared" si="159"/>
        <v>0</v>
      </c>
      <c r="L104" s="104">
        <f t="shared" si="160"/>
        <v>0</v>
      </c>
      <c r="M104" s="104"/>
      <c r="N104" s="104"/>
      <c r="O104" s="104"/>
      <c r="P104" s="104"/>
      <c r="Q104" s="104">
        <f t="shared" si="133"/>
        <v>0</v>
      </c>
      <c r="R104" s="104">
        <f t="shared" si="161"/>
        <v>0</v>
      </c>
      <c r="S104" s="104">
        <f t="shared" si="134"/>
        <v>0</v>
      </c>
      <c r="T104" s="105"/>
      <c r="U104" s="100">
        <f t="shared" si="126"/>
        <v>0</v>
      </c>
      <c r="V104" s="130"/>
      <c r="W104" s="134">
        <f t="shared" si="127"/>
        <v>0</v>
      </c>
      <c r="X104" s="106"/>
      <c r="Y104" s="106">
        <f t="shared" si="128"/>
        <v>0</v>
      </c>
      <c r="Z104" s="106">
        <f t="shared" si="152"/>
        <v>0</v>
      </c>
      <c r="AA104" s="106">
        <f t="shared" si="153"/>
        <v>0</v>
      </c>
      <c r="AB104" s="106">
        <f t="shared" si="154"/>
        <v>0</v>
      </c>
      <c r="AC104" s="107">
        <f t="shared" si="155"/>
        <v>0</v>
      </c>
    </row>
    <row r="105" spans="1:29" s="82" customFormat="1" ht="17.25" customHeight="1">
      <c r="A105" s="1267"/>
      <c r="B105" s="97"/>
      <c r="C105" s="98"/>
      <c r="D105" s="98"/>
      <c r="E105" s="102" t="s">
        <v>280</v>
      </c>
      <c r="F105" s="104"/>
      <c r="G105" s="104"/>
      <c r="H105" s="104"/>
      <c r="I105" s="105"/>
      <c r="J105" s="104">
        <f t="shared" si="156"/>
        <v>0</v>
      </c>
      <c r="K105" s="104">
        <f t="shared" si="159"/>
        <v>0</v>
      </c>
      <c r="L105" s="104">
        <f t="shared" si="160"/>
        <v>0</v>
      </c>
      <c r="M105" s="104"/>
      <c r="N105" s="104"/>
      <c r="O105" s="104"/>
      <c r="P105" s="104"/>
      <c r="Q105" s="104">
        <f t="shared" si="133"/>
        <v>0</v>
      </c>
      <c r="R105" s="104">
        <f t="shared" si="161"/>
        <v>0</v>
      </c>
      <c r="S105" s="104">
        <f t="shared" si="134"/>
        <v>0</v>
      </c>
      <c r="T105" s="105"/>
      <c r="U105" s="100">
        <f t="shared" si="126"/>
        <v>0</v>
      </c>
      <c r="V105" s="130"/>
      <c r="W105" s="134">
        <f t="shared" si="127"/>
        <v>0</v>
      </c>
      <c r="X105" s="106"/>
      <c r="Y105" s="106">
        <f t="shared" si="128"/>
        <v>0</v>
      </c>
      <c r="Z105" s="106">
        <f t="shared" si="152"/>
        <v>0</v>
      </c>
      <c r="AA105" s="106">
        <f t="shared" si="153"/>
        <v>0</v>
      </c>
      <c r="AB105" s="106">
        <f t="shared" si="154"/>
        <v>0</v>
      </c>
      <c r="AC105" s="107">
        <f t="shared" si="155"/>
        <v>0</v>
      </c>
    </row>
    <row r="106" spans="1:29" s="82" customFormat="1" ht="17.25" customHeight="1">
      <c r="A106" s="1267"/>
      <c r="B106" s="97"/>
      <c r="C106" s="171">
        <v>12</v>
      </c>
      <c r="D106" s="171"/>
      <c r="E106" s="172" t="s">
        <v>54</v>
      </c>
      <c r="F106" s="104"/>
      <c r="G106" s="104"/>
      <c r="H106" s="104"/>
      <c r="I106" s="105"/>
      <c r="J106" s="104">
        <f t="shared" si="156"/>
        <v>0</v>
      </c>
      <c r="K106" s="104">
        <f t="shared" si="159"/>
        <v>0</v>
      </c>
      <c r="L106" s="104">
        <f t="shared" si="160"/>
        <v>0</v>
      </c>
      <c r="M106" s="104">
        <f t="shared" ref="M106" si="162">F106*60%</f>
        <v>0</v>
      </c>
      <c r="N106" s="104"/>
      <c r="O106" s="104"/>
      <c r="P106" s="104"/>
      <c r="Q106" s="104">
        <f t="shared" si="133"/>
        <v>0</v>
      </c>
      <c r="R106" s="104">
        <f t="shared" si="161"/>
        <v>0</v>
      </c>
      <c r="S106" s="104">
        <f t="shared" si="134"/>
        <v>0</v>
      </c>
      <c r="T106" s="105"/>
      <c r="U106" s="100">
        <f t="shared" si="126"/>
        <v>0</v>
      </c>
      <c r="V106" s="130"/>
      <c r="W106" s="134">
        <f t="shared" si="127"/>
        <v>0</v>
      </c>
      <c r="X106" s="106"/>
      <c r="Y106" s="106">
        <f t="shared" si="128"/>
        <v>0</v>
      </c>
      <c r="Z106" s="106">
        <f t="shared" si="152"/>
        <v>0</v>
      </c>
      <c r="AA106" s="106">
        <f t="shared" si="153"/>
        <v>0</v>
      </c>
      <c r="AB106" s="106">
        <f t="shared" si="154"/>
        <v>0</v>
      </c>
      <c r="AC106" s="107">
        <f t="shared" si="155"/>
        <v>0</v>
      </c>
    </row>
    <row r="107" spans="1:29" s="82" customFormat="1" ht="17.25" customHeight="1">
      <c r="A107" s="1267"/>
      <c r="B107" s="97"/>
      <c r="C107" s="98"/>
      <c r="D107" s="98"/>
      <c r="E107" s="102" t="s">
        <v>55</v>
      </c>
      <c r="F107" s="104"/>
      <c r="G107" s="104"/>
      <c r="H107" s="104"/>
      <c r="I107" s="105"/>
      <c r="J107" s="104">
        <f t="shared" si="156"/>
        <v>0</v>
      </c>
      <c r="K107" s="104">
        <f t="shared" si="159"/>
        <v>0</v>
      </c>
      <c r="L107" s="104">
        <f t="shared" si="160"/>
        <v>0</v>
      </c>
      <c r="M107" s="104"/>
      <c r="N107" s="104"/>
      <c r="O107" s="104"/>
      <c r="P107" s="104"/>
      <c r="Q107" s="104">
        <f t="shared" si="133"/>
        <v>0</v>
      </c>
      <c r="R107" s="104">
        <f t="shared" si="161"/>
        <v>0</v>
      </c>
      <c r="S107" s="104">
        <f t="shared" si="134"/>
        <v>0</v>
      </c>
      <c r="T107" s="105"/>
      <c r="U107" s="100">
        <f t="shared" si="126"/>
        <v>0</v>
      </c>
      <c r="V107" s="130"/>
      <c r="W107" s="134">
        <f t="shared" si="127"/>
        <v>0</v>
      </c>
      <c r="X107" s="106"/>
      <c r="Y107" s="106">
        <f t="shared" si="128"/>
        <v>0</v>
      </c>
      <c r="Z107" s="106">
        <f t="shared" si="152"/>
        <v>0</v>
      </c>
      <c r="AA107" s="106">
        <f t="shared" si="153"/>
        <v>0</v>
      </c>
      <c r="AB107" s="106">
        <f t="shared" si="154"/>
        <v>0</v>
      </c>
      <c r="AC107" s="107">
        <f t="shared" si="155"/>
        <v>0</v>
      </c>
    </row>
    <row r="108" spans="1:29" s="82" customFormat="1" ht="17.25" customHeight="1">
      <c r="A108" s="1267"/>
      <c r="B108" s="97"/>
      <c r="C108" s="98"/>
      <c r="D108" s="98"/>
      <c r="E108" s="102" t="s">
        <v>56</v>
      </c>
      <c r="F108" s="104"/>
      <c r="G108" s="104"/>
      <c r="H108" s="104"/>
      <c r="I108" s="105"/>
      <c r="J108" s="104">
        <f t="shared" si="156"/>
        <v>0</v>
      </c>
      <c r="K108" s="104">
        <f t="shared" si="159"/>
        <v>0</v>
      </c>
      <c r="L108" s="104">
        <f>K108-R108-S108</f>
        <v>0</v>
      </c>
      <c r="M108" s="104"/>
      <c r="N108" s="104"/>
      <c r="O108" s="104"/>
      <c r="P108" s="104"/>
      <c r="Q108" s="104">
        <f t="shared" si="133"/>
        <v>0</v>
      </c>
      <c r="R108" s="104">
        <f t="shared" si="161"/>
        <v>0</v>
      </c>
      <c r="S108" s="104">
        <f t="shared" si="134"/>
        <v>0</v>
      </c>
      <c r="T108" s="105"/>
      <c r="U108" s="100">
        <f t="shared" si="126"/>
        <v>0</v>
      </c>
      <c r="V108" s="130"/>
      <c r="W108" s="134">
        <f t="shared" si="127"/>
        <v>0</v>
      </c>
      <c r="X108" s="106"/>
      <c r="Y108" s="106">
        <f t="shared" si="128"/>
        <v>0</v>
      </c>
      <c r="Z108" s="106">
        <f t="shared" si="152"/>
        <v>0</v>
      </c>
      <c r="AA108" s="106">
        <f t="shared" si="153"/>
        <v>0</v>
      </c>
      <c r="AB108" s="106">
        <f t="shared" si="154"/>
        <v>0</v>
      </c>
      <c r="AC108" s="107">
        <f t="shared" si="155"/>
        <v>0</v>
      </c>
    </row>
    <row r="109" spans="1:29" s="82" customFormat="1" ht="17.25" customHeight="1">
      <c r="A109" s="1267"/>
      <c r="B109" s="97"/>
      <c r="C109" s="98"/>
      <c r="D109" s="98"/>
      <c r="E109" s="102" t="s">
        <v>281</v>
      </c>
      <c r="F109" s="104"/>
      <c r="G109" s="104"/>
      <c r="H109" s="104"/>
      <c r="I109" s="105"/>
      <c r="J109" s="104">
        <f t="shared" si="156"/>
        <v>0</v>
      </c>
      <c r="K109" s="104">
        <f>J109*25*2</f>
        <v>0</v>
      </c>
      <c r="L109" s="104">
        <f>K109-R109-S109</f>
        <v>0</v>
      </c>
      <c r="M109" s="104"/>
      <c r="N109" s="104"/>
      <c r="O109" s="104"/>
      <c r="P109" s="104"/>
      <c r="Q109" s="104">
        <f t="shared" si="133"/>
        <v>0</v>
      </c>
      <c r="R109" s="104">
        <f>Q109*20*2</f>
        <v>0</v>
      </c>
      <c r="S109" s="104">
        <f t="shared" ref="S109" si="163">Q109*5*2</f>
        <v>0</v>
      </c>
      <c r="T109" s="105"/>
      <c r="U109" s="100">
        <f t="shared" si="126"/>
        <v>0</v>
      </c>
      <c r="V109" s="130"/>
      <c r="W109" s="134">
        <f t="shared" si="127"/>
        <v>0</v>
      </c>
      <c r="X109" s="106"/>
      <c r="Y109" s="106">
        <f t="shared" si="128"/>
        <v>0</v>
      </c>
      <c r="Z109" s="106">
        <f t="shared" si="152"/>
        <v>0</v>
      </c>
      <c r="AA109" s="106">
        <f t="shared" si="153"/>
        <v>0</v>
      </c>
      <c r="AB109" s="106">
        <f t="shared" si="154"/>
        <v>0</v>
      </c>
      <c r="AC109" s="107">
        <f t="shared" si="155"/>
        <v>0</v>
      </c>
    </row>
    <row r="110" spans="1:29" s="82" customFormat="1" ht="16.5" customHeight="1">
      <c r="A110" s="1267">
        <v>9</v>
      </c>
      <c r="B110" s="97" t="s">
        <v>87</v>
      </c>
      <c r="C110" s="98" t="s">
        <v>609</v>
      </c>
      <c r="D110" s="98"/>
      <c r="E110" s="99" t="s">
        <v>86</v>
      </c>
      <c r="F110" s="100">
        <f t="shared" ref="F110" si="164">SUM(F111:F122)</f>
        <v>0</v>
      </c>
      <c r="G110" s="100">
        <f t="shared" ref="G110:N110" si="165">SUM(G111:G122)</f>
        <v>0</v>
      </c>
      <c r="H110" s="100">
        <f t="shared" si="165"/>
        <v>0</v>
      </c>
      <c r="I110" s="100">
        <f t="shared" ref="I110" si="166">SUM(I111:I122)</f>
        <v>0</v>
      </c>
      <c r="J110" s="100">
        <f t="shared" si="165"/>
        <v>0</v>
      </c>
      <c r="K110" s="100">
        <f t="shared" si="165"/>
        <v>0</v>
      </c>
      <c r="L110" s="100">
        <f t="shared" si="165"/>
        <v>0</v>
      </c>
      <c r="M110" s="100">
        <f t="shared" si="165"/>
        <v>0</v>
      </c>
      <c r="N110" s="100">
        <f t="shared" si="165"/>
        <v>0</v>
      </c>
      <c r="O110" s="100">
        <f t="shared" ref="O110" si="167">SUM(O111:O122)</f>
        <v>0</v>
      </c>
      <c r="P110" s="100"/>
      <c r="Q110" s="100"/>
      <c r="R110" s="100">
        <f t="shared" ref="R110:S110" si="168">SUM(R111:R122)</f>
        <v>0</v>
      </c>
      <c r="S110" s="100">
        <f t="shared" si="168"/>
        <v>0</v>
      </c>
      <c r="T110" s="100"/>
      <c r="U110" s="100">
        <f t="shared" ref="U110" si="169">SUM(U111:U122)</f>
        <v>0</v>
      </c>
      <c r="V110" s="130"/>
      <c r="W110" s="143">
        <f t="shared" ref="W110:X110" si="170">SUM(W111:W122)</f>
        <v>0</v>
      </c>
      <c r="X110" s="100">
        <f t="shared" si="170"/>
        <v>0</v>
      </c>
      <c r="Y110" s="100">
        <f t="shared" ref="Y110:AB110" si="171">SUM(Y111:Y122)</f>
        <v>0</v>
      </c>
      <c r="Z110" s="100">
        <f t="shared" si="171"/>
        <v>0</v>
      </c>
      <c r="AA110" s="100">
        <f t="shared" si="171"/>
        <v>0</v>
      </c>
      <c r="AB110" s="100">
        <f t="shared" si="171"/>
        <v>0</v>
      </c>
      <c r="AC110" s="101">
        <f>SUM(AC111:AC122)</f>
        <v>0</v>
      </c>
    </row>
    <row r="111" spans="1:29" s="82" customFormat="1" ht="16.5" customHeight="1">
      <c r="A111" s="1267"/>
      <c r="B111" s="97" t="s">
        <v>813</v>
      </c>
      <c r="C111" s="171">
        <v>11</v>
      </c>
      <c r="D111" s="171"/>
      <c r="E111" s="172" t="s">
        <v>273</v>
      </c>
      <c r="F111" s="173"/>
      <c r="G111" s="104"/>
      <c r="H111" s="103"/>
      <c r="I111" s="105"/>
      <c r="J111" s="104"/>
      <c r="K111" s="104"/>
      <c r="L111" s="104"/>
      <c r="M111" s="104">
        <f t="shared" ref="M111" si="172">F111*60%</f>
        <v>0</v>
      </c>
      <c r="N111" s="104"/>
      <c r="O111" s="104"/>
      <c r="P111" s="104"/>
      <c r="Q111" s="104"/>
      <c r="R111" s="104"/>
      <c r="S111" s="104"/>
      <c r="T111" s="105"/>
      <c r="U111" s="100">
        <f t="shared" ref="U111" si="173">SUM(I111,L111)</f>
        <v>0</v>
      </c>
      <c r="V111" s="130"/>
      <c r="W111" s="134">
        <f t="shared" ref="W111:W112" si="174">ROUNDUP(U111*1/12,-1)</f>
        <v>0</v>
      </c>
      <c r="X111" s="106"/>
      <c r="Y111" s="106">
        <f t="shared" ref="Y111" si="175">ROUNDUP((U111-L111)*3.06%,-1)</f>
        <v>0</v>
      </c>
      <c r="Z111" s="106">
        <f>ROUNDUP(Y111*6.55%,-1)</f>
        <v>0</v>
      </c>
      <c r="AA111" s="106">
        <f t="shared" ref="AA111:AA122" si="176">ROUND(U111*0.9%,-1)</f>
        <v>0</v>
      </c>
      <c r="AB111" s="106">
        <f t="shared" ref="AB111:AB122" si="177">ROUND(U111*0.8%,-1)</f>
        <v>0</v>
      </c>
      <c r="AC111" s="107">
        <f t="shared" ref="AC111:AC122" si="178">SUM(W111:AB111)</f>
        <v>0</v>
      </c>
    </row>
    <row r="112" spans="1:29" s="82" customFormat="1" ht="16.5" customHeight="1">
      <c r="A112" s="1267"/>
      <c r="B112" s="97"/>
      <c r="C112" s="98"/>
      <c r="D112" s="98"/>
      <c r="E112" s="102" t="s">
        <v>274</v>
      </c>
      <c r="F112" s="104"/>
      <c r="G112" s="104"/>
      <c r="H112" s="104"/>
      <c r="I112" s="105"/>
      <c r="J112" s="104">
        <f t="shared" ref="J112:J122" si="179">ROUND((F111+I111+T111)*1/209*1.5,-1)</f>
        <v>0</v>
      </c>
      <c r="K112" s="104">
        <f>J112*25</f>
        <v>0</v>
      </c>
      <c r="L112" s="104">
        <f>K112-R112-S112</f>
        <v>0</v>
      </c>
      <c r="M112" s="104"/>
      <c r="N112" s="104"/>
      <c r="O112" s="104"/>
      <c r="P112" s="104"/>
      <c r="Q112" s="104">
        <f t="shared" ref="Q112" si="180">ROUND((F111+T111)*1/209*1.5,-1)</f>
        <v>0</v>
      </c>
      <c r="R112" s="104">
        <f>Q112*20</f>
        <v>0</v>
      </c>
      <c r="S112" s="104">
        <f t="shared" ref="S112" si="181">Q112*5</f>
        <v>0</v>
      </c>
      <c r="T112" s="105"/>
      <c r="U112" s="100">
        <f t="shared" si="126"/>
        <v>0</v>
      </c>
      <c r="V112" s="130"/>
      <c r="W112" s="134">
        <f t="shared" si="174"/>
        <v>0</v>
      </c>
      <c r="X112" s="106"/>
      <c r="Y112" s="106">
        <f t="shared" si="128"/>
        <v>0</v>
      </c>
      <c r="Z112" s="106">
        <f t="shared" si="152"/>
        <v>0</v>
      </c>
      <c r="AA112" s="106">
        <f t="shared" si="176"/>
        <v>0</v>
      </c>
      <c r="AB112" s="106">
        <f t="shared" si="177"/>
        <v>0</v>
      </c>
      <c r="AC112" s="107">
        <f t="shared" si="178"/>
        <v>0</v>
      </c>
    </row>
    <row r="113" spans="1:29" s="82" customFormat="1" ht="16.5" customHeight="1">
      <c r="A113" s="1267"/>
      <c r="B113" s="97"/>
      <c r="C113" s="98"/>
      <c r="D113" s="98"/>
      <c r="E113" s="102" t="s">
        <v>275</v>
      </c>
      <c r="F113" s="104"/>
      <c r="G113" s="104"/>
      <c r="H113" s="104"/>
      <c r="I113" s="105"/>
      <c r="J113" s="104">
        <f t="shared" si="179"/>
        <v>0</v>
      </c>
      <c r="K113" s="104">
        <f t="shared" ref="K113:K121" si="182">J113*25</f>
        <v>0</v>
      </c>
      <c r="L113" s="104">
        <f t="shared" ref="L113:L120" si="183">K113-R113-S113</f>
        <v>0</v>
      </c>
      <c r="M113" s="104"/>
      <c r="N113" s="104"/>
      <c r="O113" s="104"/>
      <c r="P113" s="104"/>
      <c r="Q113" s="104">
        <f t="shared" si="133"/>
        <v>0</v>
      </c>
      <c r="R113" s="104">
        <f t="shared" ref="R113:R121" si="184">Q113*20</f>
        <v>0</v>
      </c>
      <c r="S113" s="104">
        <f t="shared" si="134"/>
        <v>0</v>
      </c>
      <c r="T113" s="105"/>
      <c r="U113" s="100">
        <f t="shared" si="126"/>
        <v>0</v>
      </c>
      <c r="V113" s="130"/>
      <c r="W113" s="134">
        <f t="shared" si="127"/>
        <v>0</v>
      </c>
      <c r="X113" s="106"/>
      <c r="Y113" s="106">
        <f t="shared" si="128"/>
        <v>0</v>
      </c>
      <c r="Z113" s="106">
        <f t="shared" si="152"/>
        <v>0</v>
      </c>
      <c r="AA113" s="106">
        <f t="shared" si="176"/>
        <v>0</v>
      </c>
      <c r="AB113" s="106">
        <f t="shared" si="177"/>
        <v>0</v>
      </c>
      <c r="AC113" s="107">
        <f t="shared" si="178"/>
        <v>0</v>
      </c>
    </row>
    <row r="114" spans="1:29" s="82" customFormat="1" ht="16.5" customHeight="1">
      <c r="A114" s="1267"/>
      <c r="B114" s="97"/>
      <c r="C114" s="98"/>
      <c r="D114" s="98"/>
      <c r="E114" s="102" t="s">
        <v>276</v>
      </c>
      <c r="F114" s="173"/>
      <c r="G114" s="104"/>
      <c r="H114" s="104"/>
      <c r="I114" s="105"/>
      <c r="J114" s="104">
        <f t="shared" si="179"/>
        <v>0</v>
      </c>
      <c r="K114" s="104">
        <f t="shared" si="182"/>
        <v>0</v>
      </c>
      <c r="L114" s="104">
        <f t="shared" si="183"/>
        <v>0</v>
      </c>
      <c r="M114" s="104"/>
      <c r="N114" s="104"/>
      <c r="O114" s="104"/>
      <c r="P114" s="104"/>
      <c r="Q114" s="104">
        <f t="shared" si="133"/>
        <v>0</v>
      </c>
      <c r="R114" s="104">
        <f t="shared" si="184"/>
        <v>0</v>
      </c>
      <c r="S114" s="104">
        <f t="shared" si="134"/>
        <v>0</v>
      </c>
      <c r="T114" s="105"/>
      <c r="U114" s="100">
        <f t="shared" si="126"/>
        <v>0</v>
      </c>
      <c r="V114" s="130"/>
      <c r="W114" s="134">
        <f t="shared" si="127"/>
        <v>0</v>
      </c>
      <c r="X114" s="106"/>
      <c r="Y114" s="106">
        <f t="shared" si="128"/>
        <v>0</v>
      </c>
      <c r="Z114" s="106">
        <f t="shared" si="152"/>
        <v>0</v>
      </c>
      <c r="AA114" s="106">
        <f t="shared" si="176"/>
        <v>0</v>
      </c>
      <c r="AB114" s="106">
        <f t="shared" si="177"/>
        <v>0</v>
      </c>
      <c r="AC114" s="107">
        <f t="shared" si="178"/>
        <v>0</v>
      </c>
    </row>
    <row r="115" spans="1:29" s="82" customFormat="1" ht="16.5" customHeight="1">
      <c r="A115" s="1267"/>
      <c r="B115" s="97"/>
      <c r="C115" s="98"/>
      <c r="D115" s="98"/>
      <c r="E115" s="102" t="s">
        <v>277</v>
      </c>
      <c r="F115" s="104"/>
      <c r="G115" s="104"/>
      <c r="H115" s="104"/>
      <c r="I115" s="105"/>
      <c r="J115" s="104">
        <f t="shared" si="179"/>
        <v>0</v>
      </c>
      <c r="K115" s="104">
        <f t="shared" si="182"/>
        <v>0</v>
      </c>
      <c r="L115" s="104">
        <f t="shared" si="183"/>
        <v>0</v>
      </c>
      <c r="M115" s="104"/>
      <c r="N115" s="104"/>
      <c r="O115" s="104"/>
      <c r="P115" s="104"/>
      <c r="Q115" s="104">
        <f t="shared" si="133"/>
        <v>0</v>
      </c>
      <c r="R115" s="104">
        <f t="shared" si="184"/>
        <v>0</v>
      </c>
      <c r="S115" s="104">
        <f t="shared" si="134"/>
        <v>0</v>
      </c>
      <c r="T115" s="105"/>
      <c r="U115" s="100">
        <f t="shared" si="126"/>
        <v>0</v>
      </c>
      <c r="V115" s="130"/>
      <c r="W115" s="134">
        <f t="shared" si="127"/>
        <v>0</v>
      </c>
      <c r="X115" s="106"/>
      <c r="Y115" s="106">
        <f t="shared" si="128"/>
        <v>0</v>
      </c>
      <c r="Z115" s="106">
        <f t="shared" si="152"/>
        <v>0</v>
      </c>
      <c r="AA115" s="106">
        <f t="shared" si="176"/>
        <v>0</v>
      </c>
      <c r="AB115" s="106">
        <f t="shared" si="177"/>
        <v>0</v>
      </c>
      <c r="AC115" s="107">
        <f t="shared" si="178"/>
        <v>0</v>
      </c>
    </row>
    <row r="116" spans="1:29" s="82" customFormat="1" ht="16.5" customHeight="1">
      <c r="A116" s="1267"/>
      <c r="B116" s="97"/>
      <c r="C116" s="171">
        <v>12</v>
      </c>
      <c r="D116" s="171"/>
      <c r="E116" s="172" t="s">
        <v>278</v>
      </c>
      <c r="F116" s="104"/>
      <c r="G116" s="104"/>
      <c r="H116" s="104"/>
      <c r="I116" s="105"/>
      <c r="J116" s="104">
        <f t="shared" si="179"/>
        <v>0</v>
      </c>
      <c r="K116" s="104">
        <f t="shared" si="182"/>
        <v>0</v>
      </c>
      <c r="L116" s="104">
        <f t="shared" si="183"/>
        <v>0</v>
      </c>
      <c r="M116" s="104"/>
      <c r="N116" s="104"/>
      <c r="O116" s="104"/>
      <c r="P116" s="104"/>
      <c r="Q116" s="104">
        <f t="shared" si="133"/>
        <v>0</v>
      </c>
      <c r="R116" s="104">
        <f t="shared" si="184"/>
        <v>0</v>
      </c>
      <c r="S116" s="104">
        <f t="shared" si="134"/>
        <v>0</v>
      </c>
      <c r="T116" s="105"/>
      <c r="U116" s="100">
        <f t="shared" si="126"/>
        <v>0</v>
      </c>
      <c r="V116" s="130"/>
      <c r="W116" s="134">
        <f t="shared" si="127"/>
        <v>0</v>
      </c>
      <c r="X116" s="106"/>
      <c r="Y116" s="106">
        <f t="shared" si="128"/>
        <v>0</v>
      </c>
      <c r="Z116" s="106">
        <f t="shared" si="152"/>
        <v>0</v>
      </c>
      <c r="AA116" s="106">
        <f t="shared" si="176"/>
        <v>0</v>
      </c>
      <c r="AB116" s="106">
        <f t="shared" si="177"/>
        <v>0</v>
      </c>
      <c r="AC116" s="107">
        <f t="shared" si="178"/>
        <v>0</v>
      </c>
    </row>
    <row r="117" spans="1:29" s="82" customFormat="1" ht="16.5" customHeight="1">
      <c r="A117" s="1267"/>
      <c r="B117" s="97"/>
      <c r="C117" s="98"/>
      <c r="D117" s="98"/>
      <c r="E117" s="102" t="s">
        <v>279</v>
      </c>
      <c r="F117" s="104"/>
      <c r="G117" s="104"/>
      <c r="H117" s="103"/>
      <c r="I117" s="105"/>
      <c r="J117" s="104">
        <f t="shared" si="179"/>
        <v>0</v>
      </c>
      <c r="K117" s="104">
        <f t="shared" si="182"/>
        <v>0</v>
      </c>
      <c r="L117" s="104">
        <f t="shared" si="183"/>
        <v>0</v>
      </c>
      <c r="M117" s="104"/>
      <c r="N117" s="104"/>
      <c r="O117" s="104"/>
      <c r="P117" s="104"/>
      <c r="Q117" s="104">
        <f t="shared" si="133"/>
        <v>0</v>
      </c>
      <c r="R117" s="104">
        <f t="shared" si="184"/>
        <v>0</v>
      </c>
      <c r="S117" s="104">
        <f t="shared" si="134"/>
        <v>0</v>
      </c>
      <c r="T117" s="105"/>
      <c r="U117" s="100">
        <f t="shared" si="126"/>
        <v>0</v>
      </c>
      <c r="V117" s="130"/>
      <c r="W117" s="134">
        <f t="shared" si="127"/>
        <v>0</v>
      </c>
      <c r="X117" s="106"/>
      <c r="Y117" s="106">
        <f t="shared" si="128"/>
        <v>0</v>
      </c>
      <c r="Z117" s="106">
        <f t="shared" si="152"/>
        <v>0</v>
      </c>
      <c r="AA117" s="106">
        <f t="shared" si="176"/>
        <v>0</v>
      </c>
      <c r="AB117" s="106">
        <f t="shared" si="177"/>
        <v>0</v>
      </c>
      <c r="AC117" s="107">
        <f t="shared" si="178"/>
        <v>0</v>
      </c>
    </row>
    <row r="118" spans="1:29" s="82" customFormat="1" ht="16.5" customHeight="1">
      <c r="A118" s="1267"/>
      <c r="B118" s="97"/>
      <c r="C118" s="98"/>
      <c r="D118" s="98"/>
      <c r="E118" s="102" t="s">
        <v>280</v>
      </c>
      <c r="F118" s="104"/>
      <c r="G118" s="104"/>
      <c r="H118" s="104"/>
      <c r="I118" s="105"/>
      <c r="J118" s="104">
        <f t="shared" si="179"/>
        <v>0</v>
      </c>
      <c r="K118" s="104">
        <f t="shared" si="182"/>
        <v>0</v>
      </c>
      <c r="L118" s="104">
        <f t="shared" si="183"/>
        <v>0</v>
      </c>
      <c r="M118" s="104"/>
      <c r="N118" s="104"/>
      <c r="O118" s="104"/>
      <c r="P118" s="104"/>
      <c r="Q118" s="104">
        <f t="shared" si="133"/>
        <v>0</v>
      </c>
      <c r="R118" s="104">
        <f t="shared" si="184"/>
        <v>0</v>
      </c>
      <c r="S118" s="104">
        <f t="shared" si="134"/>
        <v>0</v>
      </c>
      <c r="T118" s="105"/>
      <c r="U118" s="100">
        <f t="shared" si="126"/>
        <v>0</v>
      </c>
      <c r="V118" s="130"/>
      <c r="W118" s="134">
        <f t="shared" si="127"/>
        <v>0</v>
      </c>
      <c r="X118" s="106"/>
      <c r="Y118" s="106">
        <f t="shared" si="128"/>
        <v>0</v>
      </c>
      <c r="Z118" s="106">
        <f t="shared" si="152"/>
        <v>0</v>
      </c>
      <c r="AA118" s="106">
        <f t="shared" si="176"/>
        <v>0</v>
      </c>
      <c r="AB118" s="106">
        <f t="shared" si="177"/>
        <v>0</v>
      </c>
      <c r="AC118" s="107">
        <f t="shared" si="178"/>
        <v>0</v>
      </c>
    </row>
    <row r="119" spans="1:29" s="82" customFormat="1" ht="16.5" customHeight="1">
      <c r="A119" s="1267"/>
      <c r="B119" s="97"/>
      <c r="C119" s="98"/>
      <c r="D119" s="98"/>
      <c r="E119" s="102" t="s">
        <v>54</v>
      </c>
      <c r="F119" s="104"/>
      <c r="G119" s="104"/>
      <c r="H119" s="104"/>
      <c r="I119" s="105"/>
      <c r="J119" s="104">
        <f t="shared" si="179"/>
        <v>0</v>
      </c>
      <c r="K119" s="104">
        <f t="shared" si="182"/>
        <v>0</v>
      </c>
      <c r="L119" s="104">
        <f t="shared" si="183"/>
        <v>0</v>
      </c>
      <c r="M119" s="104">
        <f t="shared" ref="M119" si="185">F119*60%</f>
        <v>0</v>
      </c>
      <c r="N119" s="104"/>
      <c r="O119" s="104"/>
      <c r="P119" s="104"/>
      <c r="Q119" s="104">
        <f t="shared" si="133"/>
        <v>0</v>
      </c>
      <c r="R119" s="104">
        <f t="shared" si="184"/>
        <v>0</v>
      </c>
      <c r="S119" s="104">
        <f t="shared" si="134"/>
        <v>0</v>
      </c>
      <c r="T119" s="105"/>
      <c r="U119" s="100">
        <f t="shared" si="126"/>
        <v>0</v>
      </c>
      <c r="V119" s="130"/>
      <c r="W119" s="134">
        <f t="shared" si="127"/>
        <v>0</v>
      </c>
      <c r="X119" s="106"/>
      <c r="Y119" s="106">
        <f t="shared" si="128"/>
        <v>0</v>
      </c>
      <c r="Z119" s="106">
        <f t="shared" si="152"/>
        <v>0</v>
      </c>
      <c r="AA119" s="106">
        <f t="shared" si="176"/>
        <v>0</v>
      </c>
      <c r="AB119" s="106">
        <f t="shared" si="177"/>
        <v>0</v>
      </c>
      <c r="AC119" s="107">
        <f t="shared" si="178"/>
        <v>0</v>
      </c>
    </row>
    <row r="120" spans="1:29" s="82" customFormat="1" ht="16.5" customHeight="1">
      <c r="A120" s="1267"/>
      <c r="B120" s="97"/>
      <c r="C120" s="98"/>
      <c r="D120" s="98"/>
      <c r="E120" s="102" t="s">
        <v>55</v>
      </c>
      <c r="F120" s="104"/>
      <c r="G120" s="104"/>
      <c r="H120" s="104"/>
      <c r="I120" s="105"/>
      <c r="J120" s="104">
        <f t="shared" si="179"/>
        <v>0</v>
      </c>
      <c r="K120" s="104">
        <f t="shared" si="182"/>
        <v>0</v>
      </c>
      <c r="L120" s="104">
        <f t="shared" si="183"/>
        <v>0</v>
      </c>
      <c r="M120" s="104"/>
      <c r="N120" s="104"/>
      <c r="O120" s="104"/>
      <c r="P120" s="104"/>
      <c r="Q120" s="104">
        <f t="shared" si="133"/>
        <v>0</v>
      </c>
      <c r="R120" s="104">
        <f t="shared" si="184"/>
        <v>0</v>
      </c>
      <c r="S120" s="104">
        <f t="shared" si="134"/>
        <v>0</v>
      </c>
      <c r="T120" s="105"/>
      <c r="U120" s="100">
        <f t="shared" si="126"/>
        <v>0</v>
      </c>
      <c r="V120" s="130"/>
      <c r="W120" s="134">
        <f t="shared" si="127"/>
        <v>0</v>
      </c>
      <c r="X120" s="106"/>
      <c r="Y120" s="106">
        <f t="shared" si="128"/>
        <v>0</v>
      </c>
      <c r="Z120" s="106">
        <f t="shared" si="152"/>
        <v>0</v>
      </c>
      <c r="AA120" s="106">
        <f t="shared" si="176"/>
        <v>0</v>
      </c>
      <c r="AB120" s="106">
        <f t="shared" si="177"/>
        <v>0</v>
      </c>
      <c r="AC120" s="107">
        <f t="shared" si="178"/>
        <v>0</v>
      </c>
    </row>
    <row r="121" spans="1:29" s="82" customFormat="1" ht="16.5" customHeight="1">
      <c r="A121" s="1267"/>
      <c r="B121" s="97"/>
      <c r="C121" s="98"/>
      <c r="D121" s="98"/>
      <c r="E121" s="102" t="s">
        <v>56</v>
      </c>
      <c r="F121" s="104"/>
      <c r="G121" s="104"/>
      <c r="H121" s="104"/>
      <c r="I121" s="105"/>
      <c r="J121" s="104">
        <f t="shared" si="179"/>
        <v>0</v>
      </c>
      <c r="K121" s="104">
        <f t="shared" si="182"/>
        <v>0</v>
      </c>
      <c r="L121" s="104">
        <f>K121-R121-S121</f>
        <v>0</v>
      </c>
      <c r="M121" s="104"/>
      <c r="N121" s="104"/>
      <c r="O121" s="104"/>
      <c r="P121" s="104"/>
      <c r="Q121" s="104">
        <f t="shared" si="133"/>
        <v>0</v>
      </c>
      <c r="R121" s="104">
        <f t="shared" si="184"/>
        <v>0</v>
      </c>
      <c r="S121" s="104">
        <f t="shared" si="134"/>
        <v>0</v>
      </c>
      <c r="T121" s="105"/>
      <c r="U121" s="100">
        <f t="shared" si="126"/>
        <v>0</v>
      </c>
      <c r="V121" s="130"/>
      <c r="W121" s="134">
        <f t="shared" si="127"/>
        <v>0</v>
      </c>
      <c r="X121" s="106"/>
      <c r="Y121" s="106">
        <f t="shared" si="128"/>
        <v>0</v>
      </c>
      <c r="Z121" s="106">
        <f t="shared" si="152"/>
        <v>0</v>
      </c>
      <c r="AA121" s="106">
        <f t="shared" si="176"/>
        <v>0</v>
      </c>
      <c r="AB121" s="106">
        <f t="shared" si="177"/>
        <v>0</v>
      </c>
      <c r="AC121" s="107">
        <f t="shared" si="178"/>
        <v>0</v>
      </c>
    </row>
    <row r="122" spans="1:29" s="82" customFormat="1" ht="16.5" customHeight="1">
      <c r="A122" s="1267"/>
      <c r="B122" s="97"/>
      <c r="C122" s="98"/>
      <c r="D122" s="98"/>
      <c r="E122" s="102" t="s">
        <v>281</v>
      </c>
      <c r="F122" s="104"/>
      <c r="G122" s="104"/>
      <c r="H122" s="104"/>
      <c r="I122" s="105"/>
      <c r="J122" s="104">
        <f t="shared" si="179"/>
        <v>0</v>
      </c>
      <c r="K122" s="104">
        <f>J122*25*2</f>
        <v>0</v>
      </c>
      <c r="L122" s="104">
        <f>K122-R122-S122</f>
        <v>0</v>
      </c>
      <c r="M122" s="104"/>
      <c r="N122" s="104"/>
      <c r="O122" s="104"/>
      <c r="P122" s="104"/>
      <c r="Q122" s="104">
        <f t="shared" si="133"/>
        <v>0</v>
      </c>
      <c r="R122" s="104">
        <f>Q122*20*2</f>
        <v>0</v>
      </c>
      <c r="S122" s="104">
        <f t="shared" ref="S122" si="186">Q122*5*2</f>
        <v>0</v>
      </c>
      <c r="T122" s="105"/>
      <c r="U122" s="100">
        <f t="shared" si="126"/>
        <v>0</v>
      </c>
      <c r="V122" s="130"/>
      <c r="W122" s="134">
        <f t="shared" si="127"/>
        <v>0</v>
      </c>
      <c r="X122" s="106"/>
      <c r="Y122" s="106">
        <f t="shared" si="128"/>
        <v>0</v>
      </c>
      <c r="Z122" s="106">
        <f t="shared" si="152"/>
        <v>0</v>
      </c>
      <c r="AA122" s="106">
        <f t="shared" si="176"/>
        <v>0</v>
      </c>
      <c r="AB122" s="106">
        <f t="shared" si="177"/>
        <v>0</v>
      </c>
      <c r="AC122" s="107">
        <f t="shared" si="178"/>
        <v>0</v>
      </c>
    </row>
    <row r="123" spans="1:29" s="82" customFormat="1" ht="16.5" customHeight="1">
      <c r="A123" s="1267">
        <v>10</v>
      </c>
      <c r="B123" s="97" t="s">
        <v>87</v>
      </c>
      <c r="C123" s="98" t="s">
        <v>785</v>
      </c>
      <c r="D123" s="98">
        <v>1</v>
      </c>
      <c r="E123" s="99" t="s">
        <v>86</v>
      </c>
      <c r="F123" s="100">
        <f t="shared" ref="F123" si="187">SUM(F124:F135)</f>
        <v>0</v>
      </c>
      <c r="G123" s="100">
        <f t="shared" ref="G123:N123" si="188">SUM(G124:G135)</f>
        <v>0</v>
      </c>
      <c r="H123" s="100">
        <f t="shared" si="188"/>
        <v>0</v>
      </c>
      <c r="I123" s="100">
        <f t="shared" ref="I123" si="189">SUM(I124:I135)</f>
        <v>0</v>
      </c>
      <c r="J123" s="100">
        <f t="shared" si="188"/>
        <v>0</v>
      </c>
      <c r="K123" s="100">
        <f t="shared" si="188"/>
        <v>0</v>
      </c>
      <c r="L123" s="100">
        <f t="shared" si="188"/>
        <v>0</v>
      </c>
      <c r="M123" s="100">
        <f t="shared" si="188"/>
        <v>0</v>
      </c>
      <c r="N123" s="100">
        <f t="shared" si="188"/>
        <v>0</v>
      </c>
      <c r="O123" s="100">
        <f t="shared" ref="O123" si="190">SUM(O124:O135)</f>
        <v>0</v>
      </c>
      <c r="P123" s="100"/>
      <c r="Q123" s="100"/>
      <c r="R123" s="100">
        <f t="shared" ref="R123:S123" si="191">SUM(R124:R135)</f>
        <v>0</v>
      </c>
      <c r="S123" s="100">
        <f t="shared" si="191"/>
        <v>0</v>
      </c>
      <c r="T123" s="100"/>
      <c r="U123" s="100">
        <f t="shared" ref="U123" si="192">SUM(U124:U135)</f>
        <v>0</v>
      </c>
      <c r="V123" s="130"/>
      <c r="W123" s="143">
        <f t="shared" ref="W123:X123" si="193">SUM(W124:W135)</f>
        <v>0</v>
      </c>
      <c r="X123" s="100">
        <f t="shared" si="193"/>
        <v>0</v>
      </c>
      <c r="Y123" s="100">
        <f t="shared" ref="Y123:AB123" si="194">SUM(Y124:Y135)</f>
        <v>0</v>
      </c>
      <c r="Z123" s="100">
        <f t="shared" si="194"/>
        <v>0</v>
      </c>
      <c r="AA123" s="100">
        <f t="shared" si="194"/>
        <v>0</v>
      </c>
      <c r="AB123" s="100">
        <f t="shared" si="194"/>
        <v>0</v>
      </c>
      <c r="AC123" s="101">
        <f>SUM(AC124:AC135)</f>
        <v>0</v>
      </c>
    </row>
    <row r="124" spans="1:29" s="82" customFormat="1" ht="16.5" customHeight="1">
      <c r="A124" s="1267"/>
      <c r="B124" s="97" t="s">
        <v>436</v>
      </c>
      <c r="C124" s="171">
        <v>10</v>
      </c>
      <c r="D124" s="171"/>
      <c r="E124" s="172" t="s">
        <v>273</v>
      </c>
      <c r="F124" s="173"/>
      <c r="G124" s="104"/>
      <c r="H124" s="103"/>
      <c r="I124" s="105"/>
      <c r="J124" s="104"/>
      <c r="K124" s="104"/>
      <c r="L124" s="104"/>
      <c r="M124" s="104">
        <f t="shared" ref="M124" si="195">F124*60%</f>
        <v>0</v>
      </c>
      <c r="N124" s="104"/>
      <c r="O124" s="104"/>
      <c r="P124" s="104"/>
      <c r="Q124" s="104"/>
      <c r="R124" s="104"/>
      <c r="S124" s="104"/>
      <c r="T124" s="105"/>
      <c r="U124" s="100">
        <f t="shared" ref="U124" si="196">SUM(I124,L124)</f>
        <v>0</v>
      </c>
      <c r="V124" s="130"/>
      <c r="W124" s="134">
        <f t="shared" ref="W124:W125" si="197">ROUNDUP(U124*1/12,-1)</f>
        <v>0</v>
      </c>
      <c r="X124" s="106"/>
      <c r="Y124" s="106">
        <f t="shared" ref="Y124" si="198">ROUNDUP((U124-L124)*3.06%,-1)</f>
        <v>0</v>
      </c>
      <c r="Z124" s="106">
        <f>ROUNDUP(Y124*6.55%,-1)</f>
        <v>0</v>
      </c>
      <c r="AA124" s="106">
        <f t="shared" ref="AA124:AA135" si="199">ROUND(U124*0.9%,-1)</f>
        <v>0</v>
      </c>
      <c r="AB124" s="106">
        <f t="shared" ref="AB124:AB135" si="200">ROUND(U124*0.8%,-1)</f>
        <v>0</v>
      </c>
      <c r="AC124" s="107">
        <f t="shared" ref="AC124:AC135" si="201">SUM(W124:AB124)</f>
        <v>0</v>
      </c>
    </row>
    <row r="125" spans="1:29" s="82" customFormat="1" ht="16.5" customHeight="1">
      <c r="A125" s="1267"/>
      <c r="B125" s="97"/>
      <c r="C125" s="98"/>
      <c r="D125" s="98"/>
      <c r="E125" s="102" t="s">
        <v>274</v>
      </c>
      <c r="F125" s="104"/>
      <c r="G125" s="104"/>
      <c r="H125" s="104"/>
      <c r="I125" s="105"/>
      <c r="J125" s="104">
        <f t="shared" ref="J125:J135" si="202">ROUND((F124+I124+T124)*1/209*1.5,-1)</f>
        <v>0</v>
      </c>
      <c r="K125" s="104">
        <f>J125*25</f>
        <v>0</v>
      </c>
      <c r="L125" s="104">
        <f>K125-R125-S125</f>
        <v>0</v>
      </c>
      <c r="M125" s="104"/>
      <c r="N125" s="104"/>
      <c r="O125" s="104"/>
      <c r="P125" s="104"/>
      <c r="Q125" s="104">
        <f t="shared" ref="Q125" si="203">ROUND((F124+T124)*1/209*1.5,-1)</f>
        <v>0</v>
      </c>
      <c r="R125" s="104">
        <f>Q125*20</f>
        <v>0</v>
      </c>
      <c r="S125" s="104">
        <f t="shared" ref="S125" si="204">Q125*5</f>
        <v>0</v>
      </c>
      <c r="T125" s="105"/>
      <c r="U125" s="100">
        <f t="shared" si="126"/>
        <v>0</v>
      </c>
      <c r="V125" s="130"/>
      <c r="W125" s="134">
        <f t="shared" si="197"/>
        <v>0</v>
      </c>
      <c r="X125" s="106"/>
      <c r="Y125" s="106">
        <f t="shared" si="128"/>
        <v>0</v>
      </c>
      <c r="Z125" s="106">
        <f t="shared" si="152"/>
        <v>0</v>
      </c>
      <c r="AA125" s="106">
        <f t="shared" si="199"/>
        <v>0</v>
      </c>
      <c r="AB125" s="106">
        <f t="shared" si="200"/>
        <v>0</v>
      </c>
      <c r="AC125" s="107">
        <f t="shared" si="201"/>
        <v>0</v>
      </c>
    </row>
    <row r="126" spans="1:29" s="82" customFormat="1" ht="16.5" customHeight="1">
      <c r="A126" s="1267"/>
      <c r="B126" s="97"/>
      <c r="C126" s="98"/>
      <c r="D126" s="98"/>
      <c r="E126" s="102" t="s">
        <v>275</v>
      </c>
      <c r="F126" s="104"/>
      <c r="G126" s="104"/>
      <c r="H126" s="104"/>
      <c r="I126" s="105"/>
      <c r="J126" s="104">
        <f t="shared" si="202"/>
        <v>0</v>
      </c>
      <c r="K126" s="104">
        <f t="shared" ref="K126:K134" si="205">J126*25</f>
        <v>0</v>
      </c>
      <c r="L126" s="104">
        <f t="shared" ref="L126:L133" si="206">K126-R126-S126</f>
        <v>0</v>
      </c>
      <c r="M126" s="104"/>
      <c r="N126" s="104"/>
      <c r="O126" s="104"/>
      <c r="P126" s="104"/>
      <c r="Q126" s="104">
        <f t="shared" si="133"/>
        <v>0</v>
      </c>
      <c r="R126" s="104">
        <f t="shared" ref="R126:R134" si="207">Q126*20</f>
        <v>0</v>
      </c>
      <c r="S126" s="104">
        <f t="shared" si="134"/>
        <v>0</v>
      </c>
      <c r="T126" s="105"/>
      <c r="U126" s="100">
        <f t="shared" si="126"/>
        <v>0</v>
      </c>
      <c r="V126" s="130"/>
      <c r="W126" s="134">
        <f t="shared" si="127"/>
        <v>0</v>
      </c>
      <c r="X126" s="106"/>
      <c r="Y126" s="106">
        <f t="shared" si="128"/>
        <v>0</v>
      </c>
      <c r="Z126" s="106">
        <f t="shared" si="152"/>
        <v>0</v>
      </c>
      <c r="AA126" s="106">
        <f t="shared" si="199"/>
        <v>0</v>
      </c>
      <c r="AB126" s="106">
        <f t="shared" si="200"/>
        <v>0</v>
      </c>
      <c r="AC126" s="107">
        <f t="shared" si="201"/>
        <v>0</v>
      </c>
    </row>
    <row r="127" spans="1:29" s="82" customFormat="1" ht="16.5" customHeight="1">
      <c r="A127" s="1267"/>
      <c r="B127" s="97"/>
      <c r="C127" s="98"/>
      <c r="D127" s="98"/>
      <c r="E127" s="102" t="s">
        <v>276</v>
      </c>
      <c r="F127" s="173"/>
      <c r="G127" s="104"/>
      <c r="H127" s="104"/>
      <c r="I127" s="105"/>
      <c r="J127" s="104">
        <f t="shared" si="202"/>
        <v>0</v>
      </c>
      <c r="K127" s="104">
        <f t="shared" si="205"/>
        <v>0</v>
      </c>
      <c r="L127" s="104">
        <f t="shared" si="206"/>
        <v>0</v>
      </c>
      <c r="M127" s="104"/>
      <c r="N127" s="104"/>
      <c r="O127" s="104"/>
      <c r="P127" s="104"/>
      <c r="Q127" s="104">
        <f t="shared" si="133"/>
        <v>0</v>
      </c>
      <c r="R127" s="104">
        <f t="shared" si="207"/>
        <v>0</v>
      </c>
      <c r="S127" s="104">
        <f t="shared" si="134"/>
        <v>0</v>
      </c>
      <c r="T127" s="105"/>
      <c r="U127" s="100">
        <f t="shared" si="126"/>
        <v>0</v>
      </c>
      <c r="V127" s="130"/>
      <c r="W127" s="134">
        <f t="shared" si="127"/>
        <v>0</v>
      </c>
      <c r="X127" s="106"/>
      <c r="Y127" s="106">
        <f t="shared" si="128"/>
        <v>0</v>
      </c>
      <c r="Z127" s="106">
        <f t="shared" si="152"/>
        <v>0</v>
      </c>
      <c r="AA127" s="106">
        <f t="shared" si="199"/>
        <v>0</v>
      </c>
      <c r="AB127" s="106">
        <f t="shared" si="200"/>
        <v>0</v>
      </c>
      <c r="AC127" s="107">
        <f t="shared" si="201"/>
        <v>0</v>
      </c>
    </row>
    <row r="128" spans="1:29" s="82" customFormat="1" ht="16.5" customHeight="1">
      <c r="A128" s="1267"/>
      <c r="B128" s="97"/>
      <c r="C128" s="98"/>
      <c r="D128" s="98"/>
      <c r="E128" s="102" t="s">
        <v>277</v>
      </c>
      <c r="F128" s="104"/>
      <c r="G128" s="104"/>
      <c r="H128" s="104"/>
      <c r="I128" s="105"/>
      <c r="J128" s="104">
        <f t="shared" si="202"/>
        <v>0</v>
      </c>
      <c r="K128" s="104">
        <f t="shared" si="205"/>
        <v>0</v>
      </c>
      <c r="L128" s="104">
        <f t="shared" si="206"/>
        <v>0</v>
      </c>
      <c r="M128" s="104"/>
      <c r="N128" s="104"/>
      <c r="O128" s="104"/>
      <c r="P128" s="104"/>
      <c r="Q128" s="104">
        <f t="shared" si="133"/>
        <v>0</v>
      </c>
      <c r="R128" s="104">
        <f t="shared" si="207"/>
        <v>0</v>
      </c>
      <c r="S128" s="104">
        <f t="shared" si="134"/>
        <v>0</v>
      </c>
      <c r="T128" s="105"/>
      <c r="U128" s="100">
        <f t="shared" si="126"/>
        <v>0</v>
      </c>
      <c r="V128" s="130"/>
      <c r="W128" s="134">
        <f t="shared" si="127"/>
        <v>0</v>
      </c>
      <c r="X128" s="106"/>
      <c r="Y128" s="106">
        <f t="shared" si="128"/>
        <v>0</v>
      </c>
      <c r="Z128" s="106">
        <f t="shared" si="152"/>
        <v>0</v>
      </c>
      <c r="AA128" s="106">
        <f t="shared" si="199"/>
        <v>0</v>
      </c>
      <c r="AB128" s="106">
        <f t="shared" si="200"/>
        <v>0</v>
      </c>
      <c r="AC128" s="107">
        <f t="shared" si="201"/>
        <v>0</v>
      </c>
    </row>
    <row r="129" spans="1:29" s="82" customFormat="1" ht="16.5" customHeight="1">
      <c r="A129" s="1267"/>
      <c r="B129" s="97"/>
      <c r="C129" s="98"/>
      <c r="D129" s="98"/>
      <c r="E129" s="102" t="s">
        <v>278</v>
      </c>
      <c r="F129" s="104"/>
      <c r="G129" s="104"/>
      <c r="H129" s="104"/>
      <c r="I129" s="105"/>
      <c r="J129" s="104">
        <f t="shared" si="202"/>
        <v>0</v>
      </c>
      <c r="K129" s="104">
        <f t="shared" si="205"/>
        <v>0</v>
      </c>
      <c r="L129" s="104">
        <f t="shared" si="206"/>
        <v>0</v>
      </c>
      <c r="M129" s="104"/>
      <c r="N129" s="104"/>
      <c r="O129" s="104"/>
      <c r="P129" s="104"/>
      <c r="Q129" s="104">
        <f t="shared" si="133"/>
        <v>0</v>
      </c>
      <c r="R129" s="104">
        <f t="shared" si="207"/>
        <v>0</v>
      </c>
      <c r="S129" s="104">
        <f t="shared" si="134"/>
        <v>0</v>
      </c>
      <c r="T129" s="105"/>
      <c r="U129" s="100">
        <f t="shared" si="126"/>
        <v>0</v>
      </c>
      <c r="V129" s="130"/>
      <c r="W129" s="134">
        <f t="shared" si="127"/>
        <v>0</v>
      </c>
      <c r="X129" s="106"/>
      <c r="Y129" s="106">
        <f t="shared" si="128"/>
        <v>0</v>
      </c>
      <c r="Z129" s="106">
        <f t="shared" si="152"/>
        <v>0</v>
      </c>
      <c r="AA129" s="106">
        <f t="shared" si="199"/>
        <v>0</v>
      </c>
      <c r="AB129" s="106">
        <f t="shared" si="200"/>
        <v>0</v>
      </c>
      <c r="AC129" s="107">
        <f t="shared" si="201"/>
        <v>0</v>
      </c>
    </row>
    <row r="130" spans="1:29" s="82" customFormat="1" ht="16.5" customHeight="1">
      <c r="A130" s="1267"/>
      <c r="B130" s="97"/>
      <c r="C130" s="98"/>
      <c r="D130" s="98"/>
      <c r="E130" s="102" t="s">
        <v>279</v>
      </c>
      <c r="F130" s="104"/>
      <c r="G130" s="104"/>
      <c r="H130" s="103"/>
      <c r="I130" s="105"/>
      <c r="J130" s="104">
        <f t="shared" si="202"/>
        <v>0</v>
      </c>
      <c r="K130" s="104">
        <f t="shared" si="205"/>
        <v>0</v>
      </c>
      <c r="L130" s="104">
        <f t="shared" si="206"/>
        <v>0</v>
      </c>
      <c r="M130" s="104"/>
      <c r="N130" s="104"/>
      <c r="O130" s="104"/>
      <c r="P130" s="104"/>
      <c r="Q130" s="104">
        <f t="shared" si="133"/>
        <v>0</v>
      </c>
      <c r="R130" s="104">
        <f t="shared" si="207"/>
        <v>0</v>
      </c>
      <c r="S130" s="104">
        <f t="shared" si="134"/>
        <v>0</v>
      </c>
      <c r="T130" s="105"/>
      <c r="U130" s="100">
        <f t="shared" si="126"/>
        <v>0</v>
      </c>
      <c r="V130" s="130"/>
      <c r="W130" s="134">
        <f t="shared" si="127"/>
        <v>0</v>
      </c>
      <c r="X130" s="106"/>
      <c r="Y130" s="106">
        <f t="shared" si="128"/>
        <v>0</v>
      </c>
      <c r="Z130" s="106">
        <f t="shared" si="152"/>
        <v>0</v>
      </c>
      <c r="AA130" s="106">
        <f t="shared" si="199"/>
        <v>0</v>
      </c>
      <c r="AB130" s="106">
        <f t="shared" si="200"/>
        <v>0</v>
      </c>
      <c r="AC130" s="107">
        <f t="shared" si="201"/>
        <v>0</v>
      </c>
    </row>
    <row r="131" spans="1:29" s="82" customFormat="1" ht="16.5" customHeight="1">
      <c r="A131" s="1267"/>
      <c r="B131" s="97"/>
      <c r="C131" s="98"/>
      <c r="D131" s="98"/>
      <c r="E131" s="102" t="s">
        <v>280</v>
      </c>
      <c r="F131" s="104"/>
      <c r="G131" s="104"/>
      <c r="H131" s="104"/>
      <c r="I131" s="105"/>
      <c r="J131" s="104">
        <f t="shared" si="202"/>
        <v>0</v>
      </c>
      <c r="K131" s="104">
        <f t="shared" si="205"/>
        <v>0</v>
      </c>
      <c r="L131" s="104">
        <f t="shared" si="206"/>
        <v>0</v>
      </c>
      <c r="M131" s="104"/>
      <c r="N131" s="104"/>
      <c r="O131" s="104"/>
      <c r="P131" s="104"/>
      <c r="Q131" s="104">
        <f t="shared" si="133"/>
        <v>0</v>
      </c>
      <c r="R131" s="104">
        <f t="shared" si="207"/>
        <v>0</v>
      </c>
      <c r="S131" s="104">
        <f t="shared" si="134"/>
        <v>0</v>
      </c>
      <c r="T131" s="105"/>
      <c r="U131" s="100">
        <f t="shared" si="126"/>
        <v>0</v>
      </c>
      <c r="V131" s="130"/>
      <c r="W131" s="134">
        <f t="shared" si="127"/>
        <v>0</v>
      </c>
      <c r="X131" s="106"/>
      <c r="Y131" s="106">
        <f t="shared" si="128"/>
        <v>0</v>
      </c>
      <c r="Z131" s="106">
        <f t="shared" si="152"/>
        <v>0</v>
      </c>
      <c r="AA131" s="106">
        <f t="shared" si="199"/>
        <v>0</v>
      </c>
      <c r="AB131" s="106">
        <f t="shared" si="200"/>
        <v>0</v>
      </c>
      <c r="AC131" s="107">
        <f t="shared" si="201"/>
        <v>0</v>
      </c>
    </row>
    <row r="132" spans="1:29" s="82" customFormat="1" ht="16.5" customHeight="1">
      <c r="A132" s="1267"/>
      <c r="B132" s="97"/>
      <c r="C132" s="171">
        <v>11</v>
      </c>
      <c r="D132" s="171"/>
      <c r="E132" s="172" t="s">
        <v>54</v>
      </c>
      <c r="F132" s="104"/>
      <c r="G132" s="104"/>
      <c r="H132" s="104"/>
      <c r="I132" s="105"/>
      <c r="J132" s="104">
        <f t="shared" si="202"/>
        <v>0</v>
      </c>
      <c r="K132" s="104">
        <f t="shared" si="205"/>
        <v>0</v>
      </c>
      <c r="L132" s="104">
        <f t="shared" si="206"/>
        <v>0</v>
      </c>
      <c r="M132" s="104">
        <f t="shared" ref="M132" si="208">F132*60%</f>
        <v>0</v>
      </c>
      <c r="N132" s="104"/>
      <c r="O132" s="104"/>
      <c r="P132" s="104"/>
      <c r="Q132" s="104">
        <f t="shared" si="133"/>
        <v>0</v>
      </c>
      <c r="R132" s="104">
        <f t="shared" si="207"/>
        <v>0</v>
      </c>
      <c r="S132" s="104">
        <f t="shared" si="134"/>
        <v>0</v>
      </c>
      <c r="T132" s="105"/>
      <c r="U132" s="100">
        <f t="shared" si="126"/>
        <v>0</v>
      </c>
      <c r="V132" s="130"/>
      <c r="W132" s="134">
        <f t="shared" si="127"/>
        <v>0</v>
      </c>
      <c r="X132" s="106"/>
      <c r="Y132" s="106">
        <f t="shared" si="128"/>
        <v>0</v>
      </c>
      <c r="Z132" s="106">
        <f t="shared" si="152"/>
        <v>0</v>
      </c>
      <c r="AA132" s="106">
        <f t="shared" si="199"/>
        <v>0</v>
      </c>
      <c r="AB132" s="106">
        <f t="shared" si="200"/>
        <v>0</v>
      </c>
      <c r="AC132" s="107">
        <f t="shared" si="201"/>
        <v>0</v>
      </c>
    </row>
    <row r="133" spans="1:29" s="82" customFormat="1" ht="16.5" customHeight="1">
      <c r="A133" s="1267"/>
      <c r="B133" s="97"/>
      <c r="C133" s="98"/>
      <c r="D133" s="98"/>
      <c r="E133" s="102" t="s">
        <v>55</v>
      </c>
      <c r="F133" s="104"/>
      <c r="G133" s="104"/>
      <c r="H133" s="104"/>
      <c r="I133" s="105"/>
      <c r="J133" s="104">
        <f t="shared" si="202"/>
        <v>0</v>
      </c>
      <c r="K133" s="104">
        <f t="shared" si="205"/>
        <v>0</v>
      </c>
      <c r="L133" s="104">
        <f t="shared" si="206"/>
        <v>0</v>
      </c>
      <c r="M133" s="104"/>
      <c r="N133" s="104"/>
      <c r="O133" s="104"/>
      <c r="P133" s="104"/>
      <c r="Q133" s="104">
        <f t="shared" si="133"/>
        <v>0</v>
      </c>
      <c r="R133" s="104">
        <f t="shared" si="207"/>
        <v>0</v>
      </c>
      <c r="S133" s="104">
        <f t="shared" si="134"/>
        <v>0</v>
      </c>
      <c r="T133" s="105"/>
      <c r="U133" s="100">
        <f t="shared" si="126"/>
        <v>0</v>
      </c>
      <c r="V133" s="130"/>
      <c r="W133" s="134">
        <f t="shared" si="127"/>
        <v>0</v>
      </c>
      <c r="X133" s="106"/>
      <c r="Y133" s="106">
        <f t="shared" si="128"/>
        <v>0</v>
      </c>
      <c r="Z133" s="106">
        <f t="shared" si="152"/>
        <v>0</v>
      </c>
      <c r="AA133" s="106">
        <f t="shared" si="199"/>
        <v>0</v>
      </c>
      <c r="AB133" s="106">
        <f t="shared" si="200"/>
        <v>0</v>
      </c>
      <c r="AC133" s="107">
        <f t="shared" si="201"/>
        <v>0</v>
      </c>
    </row>
    <row r="134" spans="1:29" s="82" customFormat="1" ht="16.5" customHeight="1">
      <c r="A134" s="1267"/>
      <c r="B134" s="97"/>
      <c r="C134" s="98"/>
      <c r="D134" s="98"/>
      <c r="E134" s="102" t="s">
        <v>56</v>
      </c>
      <c r="F134" s="104"/>
      <c r="G134" s="104"/>
      <c r="H134" s="104"/>
      <c r="I134" s="105"/>
      <c r="J134" s="104">
        <f t="shared" si="202"/>
        <v>0</v>
      </c>
      <c r="K134" s="104">
        <f t="shared" si="205"/>
        <v>0</v>
      </c>
      <c r="L134" s="104">
        <f>K134-R134-S134</f>
        <v>0</v>
      </c>
      <c r="M134" s="104"/>
      <c r="N134" s="104"/>
      <c r="O134" s="104"/>
      <c r="P134" s="104"/>
      <c r="Q134" s="104">
        <f t="shared" si="133"/>
        <v>0</v>
      </c>
      <c r="R134" s="104">
        <f t="shared" si="207"/>
        <v>0</v>
      </c>
      <c r="S134" s="104">
        <f t="shared" si="134"/>
        <v>0</v>
      </c>
      <c r="T134" s="105"/>
      <c r="U134" s="100">
        <f t="shared" si="126"/>
        <v>0</v>
      </c>
      <c r="V134" s="130"/>
      <c r="W134" s="134">
        <f t="shared" si="127"/>
        <v>0</v>
      </c>
      <c r="X134" s="106"/>
      <c r="Y134" s="106">
        <f t="shared" si="128"/>
        <v>0</v>
      </c>
      <c r="Z134" s="106">
        <f t="shared" si="152"/>
        <v>0</v>
      </c>
      <c r="AA134" s="106">
        <f t="shared" si="199"/>
        <v>0</v>
      </c>
      <c r="AB134" s="106">
        <f t="shared" si="200"/>
        <v>0</v>
      </c>
      <c r="AC134" s="107">
        <f t="shared" si="201"/>
        <v>0</v>
      </c>
    </row>
    <row r="135" spans="1:29" s="82" customFormat="1" ht="16.5" customHeight="1">
      <c r="A135" s="1267"/>
      <c r="B135" s="97"/>
      <c r="C135" s="98"/>
      <c r="D135" s="98"/>
      <c r="E135" s="102" t="s">
        <v>281</v>
      </c>
      <c r="F135" s="104"/>
      <c r="G135" s="104"/>
      <c r="H135" s="104"/>
      <c r="I135" s="105"/>
      <c r="J135" s="104">
        <f t="shared" si="202"/>
        <v>0</v>
      </c>
      <c r="K135" s="104">
        <f>J135*25*2</f>
        <v>0</v>
      </c>
      <c r="L135" s="104">
        <f>K135-R135-S135</f>
        <v>0</v>
      </c>
      <c r="M135" s="104"/>
      <c r="N135" s="104"/>
      <c r="O135" s="104"/>
      <c r="P135" s="104"/>
      <c r="Q135" s="104">
        <f t="shared" si="133"/>
        <v>0</v>
      </c>
      <c r="R135" s="104">
        <f>Q135*20*2</f>
        <v>0</v>
      </c>
      <c r="S135" s="104">
        <f t="shared" ref="S135" si="209">Q135*5*2</f>
        <v>0</v>
      </c>
      <c r="T135" s="105"/>
      <c r="U135" s="100">
        <f t="shared" si="126"/>
        <v>0</v>
      </c>
      <c r="V135" s="130"/>
      <c r="W135" s="134">
        <f t="shared" si="127"/>
        <v>0</v>
      </c>
      <c r="X135" s="106"/>
      <c r="Y135" s="106">
        <f t="shared" si="128"/>
        <v>0</v>
      </c>
      <c r="Z135" s="106">
        <f t="shared" si="152"/>
        <v>0</v>
      </c>
      <c r="AA135" s="106">
        <f t="shared" si="199"/>
        <v>0</v>
      </c>
      <c r="AB135" s="106">
        <f t="shared" si="200"/>
        <v>0</v>
      </c>
      <c r="AC135" s="107">
        <f t="shared" si="201"/>
        <v>0</v>
      </c>
    </row>
    <row r="136" spans="1:29" s="82" customFormat="1" ht="17.25" customHeight="1">
      <c r="A136" s="1267">
        <v>11</v>
      </c>
      <c r="B136" s="97" t="s">
        <v>87</v>
      </c>
      <c r="C136" s="98" t="s">
        <v>609</v>
      </c>
      <c r="D136" s="98">
        <v>1</v>
      </c>
      <c r="E136" s="99" t="s">
        <v>86</v>
      </c>
      <c r="F136" s="100">
        <f t="shared" ref="F136" si="210">SUM(F137:F148)</f>
        <v>0</v>
      </c>
      <c r="G136" s="100">
        <f t="shared" ref="G136:N136" si="211">SUM(G137:G148)</f>
        <v>0</v>
      </c>
      <c r="H136" s="100">
        <f t="shared" si="211"/>
        <v>0</v>
      </c>
      <c r="I136" s="100">
        <f t="shared" ref="I136" si="212">SUM(I137:I148)</f>
        <v>0</v>
      </c>
      <c r="J136" s="100">
        <f t="shared" si="211"/>
        <v>0</v>
      </c>
      <c r="K136" s="100">
        <f t="shared" si="211"/>
        <v>0</v>
      </c>
      <c r="L136" s="100">
        <f t="shared" si="211"/>
        <v>0</v>
      </c>
      <c r="M136" s="100">
        <f t="shared" si="211"/>
        <v>0</v>
      </c>
      <c r="N136" s="100">
        <f t="shared" si="211"/>
        <v>0</v>
      </c>
      <c r="O136" s="100">
        <f t="shared" ref="O136" si="213">SUM(O137:O148)</f>
        <v>0</v>
      </c>
      <c r="P136" s="100"/>
      <c r="Q136" s="100"/>
      <c r="R136" s="100">
        <f>SUM(R137:R148)</f>
        <v>0</v>
      </c>
      <c r="S136" s="100">
        <f>SUM(S137:S148)</f>
        <v>0</v>
      </c>
      <c r="T136" s="100"/>
      <c r="U136" s="100">
        <f t="shared" ref="U136" si="214">SUM(U137:U148)</f>
        <v>0</v>
      </c>
      <c r="V136" s="130"/>
      <c r="W136" s="143">
        <f t="shared" ref="W136:X136" si="215">SUM(W137:W148)</f>
        <v>0</v>
      </c>
      <c r="X136" s="100">
        <f t="shared" si="215"/>
        <v>0</v>
      </c>
      <c r="Y136" s="100">
        <f t="shared" ref="Y136:AB136" si="216">SUM(Y137:Y148)</f>
        <v>0</v>
      </c>
      <c r="Z136" s="100">
        <f t="shared" si="216"/>
        <v>0</v>
      </c>
      <c r="AA136" s="100">
        <f t="shared" si="216"/>
        <v>0</v>
      </c>
      <c r="AB136" s="100">
        <f t="shared" si="216"/>
        <v>0</v>
      </c>
      <c r="AC136" s="101">
        <f>SUM(AC137:AC148)</f>
        <v>0</v>
      </c>
    </row>
    <row r="137" spans="1:29" s="82" customFormat="1" ht="17.25" customHeight="1">
      <c r="A137" s="1267"/>
      <c r="B137" s="97" t="s">
        <v>437</v>
      </c>
      <c r="C137" s="171">
        <v>11</v>
      </c>
      <c r="D137" s="171"/>
      <c r="E137" s="172" t="s">
        <v>273</v>
      </c>
      <c r="F137" s="173"/>
      <c r="G137" s="104"/>
      <c r="H137" s="103"/>
      <c r="I137" s="105"/>
      <c r="J137" s="104"/>
      <c r="K137" s="104"/>
      <c r="L137" s="104"/>
      <c r="M137" s="104">
        <f t="shared" ref="M137" si="217">F137*60%</f>
        <v>0</v>
      </c>
      <c r="N137" s="104"/>
      <c r="O137" s="104"/>
      <c r="P137" s="104"/>
      <c r="Q137" s="104"/>
      <c r="R137" s="104"/>
      <c r="S137" s="104"/>
      <c r="T137" s="105"/>
      <c r="U137" s="100">
        <f t="shared" ref="U137" si="218">SUM(I137,L137)</f>
        <v>0</v>
      </c>
      <c r="V137" s="130"/>
      <c r="W137" s="134">
        <f t="shared" ref="W137:W138" si="219">ROUNDUP(U137*1/12,-1)</f>
        <v>0</v>
      </c>
      <c r="X137" s="106"/>
      <c r="Y137" s="106">
        <f t="shared" ref="Y137" si="220">ROUNDUP((U137-L137)*3.06%,-1)</f>
        <v>0</v>
      </c>
      <c r="Z137" s="106">
        <f>ROUNDUP(Y137*6.55%,-1)</f>
        <v>0</v>
      </c>
      <c r="AA137" s="106">
        <f t="shared" ref="AA137:AA148" si="221">ROUND(U137*0.9%,-1)</f>
        <v>0</v>
      </c>
      <c r="AB137" s="106">
        <f t="shared" ref="AB137:AB148" si="222">ROUND(U137*0.8%,-1)</f>
        <v>0</v>
      </c>
      <c r="AC137" s="107">
        <f t="shared" ref="AC137:AC148" si="223">SUM(W137:AB137)</f>
        <v>0</v>
      </c>
    </row>
    <row r="138" spans="1:29" s="82" customFormat="1" ht="17.25" customHeight="1">
      <c r="A138" s="1267"/>
      <c r="B138" s="97"/>
      <c r="C138" s="98"/>
      <c r="D138" s="98"/>
      <c r="E138" s="102" t="s">
        <v>274</v>
      </c>
      <c r="F138" s="104"/>
      <c r="G138" s="104"/>
      <c r="H138" s="104"/>
      <c r="I138" s="105"/>
      <c r="J138" s="104">
        <f t="shared" ref="J138:J148" si="224">ROUND((F137+I137+T137)*1/209*1.5,-1)</f>
        <v>0</v>
      </c>
      <c r="K138" s="104">
        <f>J138*40</f>
        <v>0</v>
      </c>
      <c r="L138" s="104">
        <f t="shared" ref="L138:L148" si="225">K138-R138</f>
        <v>0</v>
      </c>
      <c r="M138" s="104"/>
      <c r="N138" s="104"/>
      <c r="O138" s="104"/>
      <c r="P138" s="104"/>
      <c r="Q138" s="104">
        <f t="shared" ref="Q138" si="226">ROUND((F137+T137)*1/209*1.5,-1)</f>
        <v>0</v>
      </c>
      <c r="R138" s="104">
        <f>Q138*40</f>
        <v>0</v>
      </c>
      <c r="S138" s="104"/>
      <c r="T138" s="105"/>
      <c r="U138" s="100">
        <f t="shared" si="126"/>
        <v>0</v>
      </c>
      <c r="V138" s="130"/>
      <c r="W138" s="134">
        <f t="shared" si="219"/>
        <v>0</v>
      </c>
      <c r="X138" s="106"/>
      <c r="Y138" s="106">
        <f t="shared" si="128"/>
        <v>0</v>
      </c>
      <c r="Z138" s="106">
        <f t="shared" ref="Z138:Z148" si="227">ROUNDUP(Y138*6.55%,-1)</f>
        <v>0</v>
      </c>
      <c r="AA138" s="106">
        <f t="shared" si="221"/>
        <v>0</v>
      </c>
      <c r="AB138" s="106">
        <f t="shared" si="222"/>
        <v>0</v>
      </c>
      <c r="AC138" s="107">
        <f t="shared" si="223"/>
        <v>0</v>
      </c>
    </row>
    <row r="139" spans="1:29" s="82" customFormat="1" ht="17.25" customHeight="1">
      <c r="A139" s="1267"/>
      <c r="B139" s="97"/>
      <c r="C139" s="98"/>
      <c r="D139" s="98"/>
      <c r="E139" s="102" t="s">
        <v>275</v>
      </c>
      <c r="F139" s="104"/>
      <c r="G139" s="104"/>
      <c r="H139" s="104"/>
      <c r="I139" s="105"/>
      <c r="J139" s="104">
        <f t="shared" si="224"/>
        <v>0</v>
      </c>
      <c r="K139" s="104">
        <f t="shared" ref="K139:K147" si="228">J139*40</f>
        <v>0</v>
      </c>
      <c r="L139" s="104">
        <f t="shared" si="225"/>
        <v>0</v>
      </c>
      <c r="M139" s="104"/>
      <c r="N139" s="104"/>
      <c r="O139" s="104"/>
      <c r="P139" s="104"/>
      <c r="Q139" s="104">
        <f t="shared" si="133"/>
        <v>0</v>
      </c>
      <c r="R139" s="104">
        <f t="shared" ref="R139:R147" si="229">Q139*40</f>
        <v>0</v>
      </c>
      <c r="S139" s="104"/>
      <c r="T139" s="105"/>
      <c r="U139" s="100">
        <f t="shared" si="126"/>
        <v>0</v>
      </c>
      <c r="V139" s="130"/>
      <c r="W139" s="134">
        <f t="shared" si="127"/>
        <v>0</v>
      </c>
      <c r="X139" s="106"/>
      <c r="Y139" s="106">
        <f t="shared" si="128"/>
        <v>0</v>
      </c>
      <c r="Z139" s="106">
        <f t="shared" si="227"/>
        <v>0</v>
      </c>
      <c r="AA139" s="106">
        <f t="shared" si="221"/>
        <v>0</v>
      </c>
      <c r="AB139" s="106">
        <f t="shared" si="222"/>
        <v>0</v>
      </c>
      <c r="AC139" s="107">
        <f t="shared" si="223"/>
        <v>0</v>
      </c>
    </row>
    <row r="140" spans="1:29" s="82" customFormat="1" ht="17.25" customHeight="1">
      <c r="A140" s="1267"/>
      <c r="B140" s="97"/>
      <c r="C140" s="98"/>
      <c r="D140" s="98"/>
      <c r="E140" s="102" t="s">
        <v>276</v>
      </c>
      <c r="F140" s="173"/>
      <c r="G140" s="104"/>
      <c r="H140" s="104"/>
      <c r="I140" s="105"/>
      <c r="J140" s="104">
        <f t="shared" si="224"/>
        <v>0</v>
      </c>
      <c r="K140" s="104">
        <f t="shared" si="228"/>
        <v>0</v>
      </c>
      <c r="L140" s="104">
        <f t="shared" si="225"/>
        <v>0</v>
      </c>
      <c r="M140" s="104"/>
      <c r="N140" s="104"/>
      <c r="O140" s="104"/>
      <c r="P140" s="104"/>
      <c r="Q140" s="104">
        <f t="shared" si="133"/>
        <v>0</v>
      </c>
      <c r="R140" s="104">
        <f t="shared" si="229"/>
        <v>0</v>
      </c>
      <c r="S140" s="104"/>
      <c r="T140" s="105"/>
      <c r="U140" s="100">
        <f t="shared" si="126"/>
        <v>0</v>
      </c>
      <c r="V140" s="130"/>
      <c r="W140" s="134">
        <f t="shared" si="127"/>
        <v>0</v>
      </c>
      <c r="X140" s="106"/>
      <c r="Y140" s="106">
        <f t="shared" si="128"/>
        <v>0</v>
      </c>
      <c r="Z140" s="106">
        <f t="shared" si="227"/>
        <v>0</v>
      </c>
      <c r="AA140" s="106">
        <f t="shared" si="221"/>
        <v>0</v>
      </c>
      <c r="AB140" s="106">
        <f t="shared" si="222"/>
        <v>0</v>
      </c>
      <c r="AC140" s="107">
        <f t="shared" si="223"/>
        <v>0</v>
      </c>
    </row>
    <row r="141" spans="1:29" s="82" customFormat="1" ht="17.25" customHeight="1">
      <c r="A141" s="1267"/>
      <c r="B141" s="97"/>
      <c r="C141" s="171">
        <v>12</v>
      </c>
      <c r="D141" s="171"/>
      <c r="E141" s="172" t="s">
        <v>277</v>
      </c>
      <c r="F141" s="104"/>
      <c r="G141" s="104"/>
      <c r="H141" s="104"/>
      <c r="I141" s="105"/>
      <c r="J141" s="104">
        <f t="shared" si="224"/>
        <v>0</v>
      </c>
      <c r="K141" s="104">
        <f t="shared" si="228"/>
        <v>0</v>
      </c>
      <c r="L141" s="104">
        <f t="shared" si="225"/>
        <v>0</v>
      </c>
      <c r="M141" s="104"/>
      <c r="N141" s="104"/>
      <c r="O141" s="104"/>
      <c r="P141" s="104"/>
      <c r="Q141" s="104">
        <f t="shared" si="133"/>
        <v>0</v>
      </c>
      <c r="R141" s="104">
        <f t="shared" si="229"/>
        <v>0</v>
      </c>
      <c r="S141" s="104"/>
      <c r="T141" s="105"/>
      <c r="U141" s="100">
        <f t="shared" si="126"/>
        <v>0</v>
      </c>
      <c r="V141" s="130"/>
      <c r="W141" s="134">
        <f t="shared" si="127"/>
        <v>0</v>
      </c>
      <c r="X141" s="106"/>
      <c r="Y141" s="106">
        <f t="shared" si="128"/>
        <v>0</v>
      </c>
      <c r="Z141" s="106">
        <f t="shared" si="227"/>
        <v>0</v>
      </c>
      <c r="AA141" s="106">
        <f t="shared" si="221"/>
        <v>0</v>
      </c>
      <c r="AB141" s="106">
        <f t="shared" si="222"/>
        <v>0</v>
      </c>
      <c r="AC141" s="107">
        <f t="shared" si="223"/>
        <v>0</v>
      </c>
    </row>
    <row r="142" spans="1:29" s="82" customFormat="1" ht="17.25" customHeight="1">
      <c r="A142" s="1267"/>
      <c r="B142" s="97"/>
      <c r="C142" s="98"/>
      <c r="D142" s="98"/>
      <c r="E142" s="102" t="s">
        <v>278</v>
      </c>
      <c r="F142" s="104"/>
      <c r="G142" s="104"/>
      <c r="H142" s="104"/>
      <c r="I142" s="105"/>
      <c r="J142" s="104">
        <f t="shared" si="224"/>
        <v>0</v>
      </c>
      <c r="K142" s="104">
        <f t="shared" si="228"/>
        <v>0</v>
      </c>
      <c r="L142" s="104">
        <f t="shared" si="225"/>
        <v>0</v>
      </c>
      <c r="M142" s="104"/>
      <c r="N142" s="104"/>
      <c r="O142" s="104"/>
      <c r="P142" s="104"/>
      <c r="Q142" s="104">
        <f t="shared" si="133"/>
        <v>0</v>
      </c>
      <c r="R142" s="104">
        <f t="shared" si="229"/>
        <v>0</v>
      </c>
      <c r="S142" s="104"/>
      <c r="T142" s="105"/>
      <c r="U142" s="100">
        <f t="shared" si="126"/>
        <v>0</v>
      </c>
      <c r="V142" s="130"/>
      <c r="W142" s="134">
        <f t="shared" si="127"/>
        <v>0</v>
      </c>
      <c r="X142" s="106"/>
      <c r="Y142" s="106">
        <f t="shared" si="128"/>
        <v>0</v>
      </c>
      <c r="Z142" s="106">
        <f t="shared" si="227"/>
        <v>0</v>
      </c>
      <c r="AA142" s="106">
        <f t="shared" si="221"/>
        <v>0</v>
      </c>
      <c r="AB142" s="106">
        <f t="shared" si="222"/>
        <v>0</v>
      </c>
      <c r="AC142" s="107">
        <f t="shared" si="223"/>
        <v>0</v>
      </c>
    </row>
    <row r="143" spans="1:29" s="82" customFormat="1" ht="17.25" customHeight="1">
      <c r="A143" s="1267"/>
      <c r="B143" s="97"/>
      <c r="C143" s="98"/>
      <c r="D143" s="98"/>
      <c r="E143" s="102" t="s">
        <v>279</v>
      </c>
      <c r="F143" s="104"/>
      <c r="G143" s="104"/>
      <c r="H143" s="103"/>
      <c r="I143" s="105"/>
      <c r="J143" s="104">
        <f t="shared" si="224"/>
        <v>0</v>
      </c>
      <c r="K143" s="104">
        <f t="shared" si="228"/>
        <v>0</v>
      </c>
      <c r="L143" s="104">
        <f t="shared" si="225"/>
        <v>0</v>
      </c>
      <c r="M143" s="104"/>
      <c r="N143" s="104"/>
      <c r="O143" s="104"/>
      <c r="P143" s="104"/>
      <c r="Q143" s="104">
        <f t="shared" si="133"/>
        <v>0</v>
      </c>
      <c r="R143" s="104">
        <f t="shared" si="229"/>
        <v>0</v>
      </c>
      <c r="S143" s="104"/>
      <c r="T143" s="105"/>
      <c r="U143" s="100">
        <f t="shared" si="126"/>
        <v>0</v>
      </c>
      <c r="V143" s="130"/>
      <c r="W143" s="134">
        <f t="shared" si="127"/>
        <v>0</v>
      </c>
      <c r="X143" s="106"/>
      <c r="Y143" s="106">
        <f t="shared" si="128"/>
        <v>0</v>
      </c>
      <c r="Z143" s="106">
        <f t="shared" si="227"/>
        <v>0</v>
      </c>
      <c r="AA143" s="106">
        <f t="shared" si="221"/>
        <v>0</v>
      </c>
      <c r="AB143" s="106">
        <f t="shared" si="222"/>
        <v>0</v>
      </c>
      <c r="AC143" s="107">
        <f t="shared" si="223"/>
        <v>0</v>
      </c>
    </row>
    <row r="144" spans="1:29" s="82" customFormat="1" ht="17.25" customHeight="1">
      <c r="A144" s="1267"/>
      <c r="B144" s="97"/>
      <c r="C144" s="98"/>
      <c r="D144" s="98"/>
      <c r="E144" s="102" t="s">
        <v>280</v>
      </c>
      <c r="F144" s="104"/>
      <c r="G144" s="104"/>
      <c r="H144" s="104"/>
      <c r="I144" s="105"/>
      <c r="J144" s="104">
        <f t="shared" si="224"/>
        <v>0</v>
      </c>
      <c r="K144" s="104">
        <f t="shared" si="228"/>
        <v>0</v>
      </c>
      <c r="L144" s="104">
        <f t="shared" si="225"/>
        <v>0</v>
      </c>
      <c r="M144" s="104"/>
      <c r="N144" s="104"/>
      <c r="O144" s="104"/>
      <c r="P144" s="104"/>
      <c r="Q144" s="104">
        <f t="shared" si="133"/>
        <v>0</v>
      </c>
      <c r="R144" s="104">
        <f t="shared" si="229"/>
        <v>0</v>
      </c>
      <c r="S144" s="104"/>
      <c r="T144" s="105"/>
      <c r="U144" s="100">
        <f t="shared" si="126"/>
        <v>0</v>
      </c>
      <c r="V144" s="130"/>
      <c r="W144" s="134">
        <f t="shared" si="127"/>
        <v>0</v>
      </c>
      <c r="X144" s="106"/>
      <c r="Y144" s="106">
        <f t="shared" si="128"/>
        <v>0</v>
      </c>
      <c r="Z144" s="106">
        <f t="shared" si="227"/>
        <v>0</v>
      </c>
      <c r="AA144" s="106">
        <f t="shared" si="221"/>
        <v>0</v>
      </c>
      <c r="AB144" s="106">
        <f t="shared" si="222"/>
        <v>0</v>
      </c>
      <c r="AC144" s="107">
        <f t="shared" si="223"/>
        <v>0</v>
      </c>
    </row>
    <row r="145" spans="1:29" s="82" customFormat="1" ht="17.25" customHeight="1">
      <c r="A145" s="1267"/>
      <c r="B145" s="97"/>
      <c r="C145" s="98"/>
      <c r="D145" s="98"/>
      <c r="E145" s="102" t="s">
        <v>54</v>
      </c>
      <c r="F145" s="104"/>
      <c r="G145" s="104"/>
      <c r="H145" s="104"/>
      <c r="I145" s="105"/>
      <c r="J145" s="104">
        <f t="shared" si="224"/>
        <v>0</v>
      </c>
      <c r="K145" s="104">
        <f t="shared" si="228"/>
        <v>0</v>
      </c>
      <c r="L145" s="104">
        <f t="shared" si="225"/>
        <v>0</v>
      </c>
      <c r="M145" s="104">
        <f t="shared" ref="M145" si="230">F145*60%</f>
        <v>0</v>
      </c>
      <c r="N145" s="104"/>
      <c r="O145" s="104"/>
      <c r="P145" s="104"/>
      <c r="Q145" s="104">
        <f t="shared" si="133"/>
        <v>0</v>
      </c>
      <c r="R145" s="104">
        <f t="shared" si="229"/>
        <v>0</v>
      </c>
      <c r="S145" s="104"/>
      <c r="T145" s="105"/>
      <c r="U145" s="100">
        <f t="shared" si="126"/>
        <v>0</v>
      </c>
      <c r="V145" s="130"/>
      <c r="W145" s="134">
        <f t="shared" si="127"/>
        <v>0</v>
      </c>
      <c r="X145" s="106"/>
      <c r="Y145" s="106">
        <f t="shared" si="128"/>
        <v>0</v>
      </c>
      <c r="Z145" s="106">
        <f t="shared" si="227"/>
        <v>0</v>
      </c>
      <c r="AA145" s="106">
        <f t="shared" si="221"/>
        <v>0</v>
      </c>
      <c r="AB145" s="106">
        <f t="shared" si="222"/>
        <v>0</v>
      </c>
      <c r="AC145" s="107">
        <f t="shared" si="223"/>
        <v>0</v>
      </c>
    </row>
    <row r="146" spans="1:29" s="82" customFormat="1" ht="17.25" customHeight="1">
      <c r="A146" s="1267"/>
      <c r="B146" s="97"/>
      <c r="C146" s="98"/>
      <c r="D146" s="98"/>
      <c r="E146" s="102" t="s">
        <v>55</v>
      </c>
      <c r="F146" s="104"/>
      <c r="G146" s="104"/>
      <c r="H146" s="104"/>
      <c r="I146" s="105"/>
      <c r="J146" s="104">
        <f t="shared" si="224"/>
        <v>0</v>
      </c>
      <c r="K146" s="104">
        <f t="shared" si="228"/>
        <v>0</v>
      </c>
      <c r="L146" s="104">
        <f t="shared" si="225"/>
        <v>0</v>
      </c>
      <c r="M146" s="104"/>
      <c r="N146" s="104"/>
      <c r="O146" s="104"/>
      <c r="P146" s="104"/>
      <c r="Q146" s="104">
        <f t="shared" si="133"/>
        <v>0</v>
      </c>
      <c r="R146" s="104">
        <f t="shared" si="229"/>
        <v>0</v>
      </c>
      <c r="S146" s="104"/>
      <c r="T146" s="105"/>
      <c r="U146" s="100">
        <f t="shared" si="126"/>
        <v>0</v>
      </c>
      <c r="V146" s="130"/>
      <c r="W146" s="134">
        <f t="shared" si="127"/>
        <v>0</v>
      </c>
      <c r="X146" s="106"/>
      <c r="Y146" s="106">
        <f t="shared" si="128"/>
        <v>0</v>
      </c>
      <c r="Z146" s="106">
        <f t="shared" si="227"/>
        <v>0</v>
      </c>
      <c r="AA146" s="106">
        <f t="shared" si="221"/>
        <v>0</v>
      </c>
      <c r="AB146" s="106">
        <f t="shared" si="222"/>
        <v>0</v>
      </c>
      <c r="AC146" s="107">
        <f t="shared" si="223"/>
        <v>0</v>
      </c>
    </row>
    <row r="147" spans="1:29" s="82" customFormat="1" ht="17.25" customHeight="1">
      <c r="A147" s="1267"/>
      <c r="B147" s="97"/>
      <c r="C147" s="98"/>
      <c r="D147" s="98"/>
      <c r="E147" s="102" t="s">
        <v>56</v>
      </c>
      <c r="F147" s="104"/>
      <c r="G147" s="104"/>
      <c r="H147" s="104"/>
      <c r="I147" s="105"/>
      <c r="J147" s="104">
        <f t="shared" si="224"/>
        <v>0</v>
      </c>
      <c r="K147" s="104">
        <f t="shared" si="228"/>
        <v>0</v>
      </c>
      <c r="L147" s="104">
        <f t="shared" si="225"/>
        <v>0</v>
      </c>
      <c r="M147" s="104"/>
      <c r="N147" s="104"/>
      <c r="O147" s="104"/>
      <c r="P147" s="104"/>
      <c r="Q147" s="104">
        <f t="shared" si="133"/>
        <v>0</v>
      </c>
      <c r="R147" s="104">
        <f t="shared" si="229"/>
        <v>0</v>
      </c>
      <c r="S147" s="104"/>
      <c r="T147" s="105"/>
      <c r="U147" s="100">
        <f t="shared" si="126"/>
        <v>0</v>
      </c>
      <c r="V147" s="130"/>
      <c r="W147" s="134">
        <f t="shared" si="127"/>
        <v>0</v>
      </c>
      <c r="X147" s="106"/>
      <c r="Y147" s="106">
        <f t="shared" si="128"/>
        <v>0</v>
      </c>
      <c r="Z147" s="106">
        <f t="shared" si="227"/>
        <v>0</v>
      </c>
      <c r="AA147" s="106">
        <f t="shared" si="221"/>
        <v>0</v>
      </c>
      <c r="AB147" s="106">
        <f t="shared" si="222"/>
        <v>0</v>
      </c>
      <c r="AC147" s="107">
        <f t="shared" si="223"/>
        <v>0</v>
      </c>
    </row>
    <row r="148" spans="1:29" s="82" customFormat="1" ht="17.25" customHeight="1">
      <c r="A148" s="1267"/>
      <c r="B148" s="97"/>
      <c r="C148" s="98"/>
      <c r="D148" s="98"/>
      <c r="E148" s="102" t="s">
        <v>281</v>
      </c>
      <c r="F148" s="104"/>
      <c r="G148" s="104"/>
      <c r="H148" s="104"/>
      <c r="I148" s="105"/>
      <c r="J148" s="104">
        <f t="shared" si="224"/>
        <v>0</v>
      </c>
      <c r="K148" s="104">
        <f>J148*40*2</f>
        <v>0</v>
      </c>
      <c r="L148" s="104">
        <f t="shared" si="225"/>
        <v>0</v>
      </c>
      <c r="M148" s="104"/>
      <c r="N148" s="104"/>
      <c r="O148" s="104"/>
      <c r="P148" s="104"/>
      <c r="Q148" s="104">
        <f t="shared" si="133"/>
        <v>0</v>
      </c>
      <c r="R148" s="104">
        <f>Q148*40*2</f>
        <v>0</v>
      </c>
      <c r="S148" s="104"/>
      <c r="T148" s="105"/>
      <c r="U148" s="100">
        <f t="shared" si="126"/>
        <v>0</v>
      </c>
      <c r="V148" s="130"/>
      <c r="W148" s="134">
        <f t="shared" si="127"/>
        <v>0</v>
      </c>
      <c r="X148" s="106"/>
      <c r="Y148" s="106">
        <f t="shared" si="128"/>
        <v>0</v>
      </c>
      <c r="Z148" s="106">
        <f t="shared" si="227"/>
        <v>0</v>
      </c>
      <c r="AA148" s="106">
        <f t="shared" si="221"/>
        <v>0</v>
      </c>
      <c r="AB148" s="106">
        <f t="shared" si="222"/>
        <v>0</v>
      </c>
      <c r="AC148" s="107">
        <f t="shared" si="223"/>
        <v>0</v>
      </c>
    </row>
    <row r="149" spans="1:29" s="82" customFormat="1" ht="16.5" customHeight="1">
      <c r="A149" s="1267">
        <v>12</v>
      </c>
      <c r="B149" s="97" t="s">
        <v>87</v>
      </c>
      <c r="C149" s="98" t="s">
        <v>714</v>
      </c>
      <c r="D149" s="98">
        <v>1</v>
      </c>
      <c r="E149" s="99" t="s">
        <v>86</v>
      </c>
      <c r="F149" s="100">
        <f t="shared" ref="F149" si="231">SUM(F150:F161)</f>
        <v>0</v>
      </c>
      <c r="G149" s="100">
        <f t="shared" ref="G149:N149" si="232">SUM(G150:G161)</f>
        <v>0</v>
      </c>
      <c r="H149" s="100">
        <f t="shared" si="232"/>
        <v>0</v>
      </c>
      <c r="I149" s="100">
        <f t="shared" ref="I149" si="233">SUM(I150:I161)</f>
        <v>0</v>
      </c>
      <c r="J149" s="100">
        <f t="shared" si="232"/>
        <v>0</v>
      </c>
      <c r="K149" s="100">
        <f t="shared" si="232"/>
        <v>0</v>
      </c>
      <c r="L149" s="100">
        <f t="shared" si="232"/>
        <v>0</v>
      </c>
      <c r="M149" s="100">
        <f t="shared" si="232"/>
        <v>0</v>
      </c>
      <c r="N149" s="100">
        <f t="shared" si="232"/>
        <v>0</v>
      </c>
      <c r="O149" s="100">
        <f t="shared" ref="O149" si="234">SUM(O150:O161)</f>
        <v>0</v>
      </c>
      <c r="P149" s="100"/>
      <c r="Q149" s="100"/>
      <c r="R149" s="100">
        <f t="shared" ref="R149:S149" si="235">SUM(R150:R161)</f>
        <v>0</v>
      </c>
      <c r="S149" s="100">
        <f t="shared" si="235"/>
        <v>0</v>
      </c>
      <c r="T149" s="100"/>
      <c r="U149" s="100">
        <f t="shared" ref="U149" si="236">SUM(U150:U161)</f>
        <v>0</v>
      </c>
      <c r="V149" s="130"/>
      <c r="W149" s="143">
        <f t="shared" ref="W149" si="237">SUM(W150:W161)</f>
        <v>0</v>
      </c>
      <c r="X149" s="100">
        <f t="shared" ref="X149" si="238">SUM(X150:X161)</f>
        <v>0</v>
      </c>
      <c r="Y149" s="100">
        <f t="shared" ref="Y149:AB149" si="239">SUM(Y150:Y161)</f>
        <v>0</v>
      </c>
      <c r="Z149" s="100">
        <f t="shared" si="239"/>
        <v>0</v>
      </c>
      <c r="AA149" s="100">
        <f t="shared" si="239"/>
        <v>0</v>
      </c>
      <c r="AB149" s="100">
        <f t="shared" si="239"/>
        <v>0</v>
      </c>
      <c r="AC149" s="101">
        <f>SUM(AC150:AC161)</f>
        <v>0</v>
      </c>
    </row>
    <row r="150" spans="1:29" s="82" customFormat="1" ht="16.5" customHeight="1">
      <c r="A150" s="1267"/>
      <c r="B150" s="97" t="s">
        <v>438</v>
      </c>
      <c r="C150" s="171">
        <v>12</v>
      </c>
      <c r="D150" s="171"/>
      <c r="E150" s="172" t="s">
        <v>273</v>
      </c>
      <c r="F150" s="173"/>
      <c r="G150" s="104"/>
      <c r="H150" s="103"/>
      <c r="I150" s="105"/>
      <c r="J150" s="104"/>
      <c r="K150" s="104"/>
      <c r="L150" s="104"/>
      <c r="M150" s="104">
        <f t="shared" ref="M150" si="240">F150*60%</f>
        <v>0</v>
      </c>
      <c r="N150" s="104"/>
      <c r="O150" s="104"/>
      <c r="P150" s="104"/>
      <c r="Q150" s="104"/>
      <c r="R150" s="104"/>
      <c r="S150" s="104"/>
      <c r="T150" s="105"/>
      <c r="U150" s="100">
        <f t="shared" ref="U150:U213" si="241">SUM(I150,L150)</f>
        <v>0</v>
      </c>
      <c r="V150" s="130"/>
      <c r="W150" s="134">
        <f t="shared" ref="W150:W213" si="242">ROUNDUP(U150*1/12,-1)</f>
        <v>0</v>
      </c>
      <c r="X150" s="106"/>
      <c r="Y150" s="106">
        <f t="shared" ref="Y150:Y213" si="243">ROUNDUP((U150-L150)*3.06%,-1)</f>
        <v>0</v>
      </c>
      <c r="Z150" s="106">
        <f>ROUNDUP(Y150*6.55%,-1)</f>
        <v>0</v>
      </c>
      <c r="AA150" s="106">
        <f t="shared" ref="AA150:AA161" si="244">ROUND(U150*0.9%,-1)</f>
        <v>0</v>
      </c>
      <c r="AB150" s="106">
        <f t="shared" ref="AB150:AB161" si="245">ROUND(U150*0.8%,-1)</f>
        <v>0</v>
      </c>
      <c r="AC150" s="107">
        <f t="shared" ref="AC150:AC161" si="246">SUM(W150:AB150)</f>
        <v>0</v>
      </c>
    </row>
    <row r="151" spans="1:29" s="82" customFormat="1" ht="16.5" customHeight="1">
      <c r="A151" s="1267"/>
      <c r="B151" s="97"/>
      <c r="C151" s="98"/>
      <c r="D151" s="98"/>
      <c r="E151" s="102" t="s">
        <v>274</v>
      </c>
      <c r="F151" s="104"/>
      <c r="G151" s="104"/>
      <c r="H151" s="104"/>
      <c r="I151" s="105"/>
      <c r="J151" s="104">
        <f t="shared" ref="J151:J161" si="247">ROUND((F150+I150+T150)*1/209*1.5,-1)</f>
        <v>0</v>
      </c>
      <c r="K151" s="104">
        <f>J151*25</f>
        <v>0</v>
      </c>
      <c r="L151" s="104">
        <f>K151-R151-S151</f>
        <v>0</v>
      </c>
      <c r="M151" s="104"/>
      <c r="N151" s="104"/>
      <c r="O151" s="104"/>
      <c r="P151" s="104"/>
      <c r="Q151" s="104">
        <f t="shared" ref="Q151:Q213" si="248">ROUND((F150+T150)*1/209*1.5,-1)</f>
        <v>0</v>
      </c>
      <c r="R151" s="104">
        <f>Q151*20</f>
        <v>0</v>
      </c>
      <c r="S151" s="104">
        <f t="shared" ref="S151:S160" si="249">Q151*5</f>
        <v>0</v>
      </c>
      <c r="T151" s="105"/>
      <c r="U151" s="100">
        <f t="shared" si="241"/>
        <v>0</v>
      </c>
      <c r="V151" s="130"/>
      <c r="W151" s="134">
        <f t="shared" si="242"/>
        <v>0</v>
      </c>
      <c r="X151" s="106"/>
      <c r="Y151" s="106">
        <f t="shared" si="243"/>
        <v>0</v>
      </c>
      <c r="Z151" s="106">
        <f t="shared" ref="Z151:Z161" si="250">ROUNDUP(Y151*6.55%,-1)</f>
        <v>0</v>
      </c>
      <c r="AA151" s="106">
        <f t="shared" si="244"/>
        <v>0</v>
      </c>
      <c r="AB151" s="106">
        <f t="shared" si="245"/>
        <v>0</v>
      </c>
      <c r="AC151" s="107">
        <f t="shared" si="246"/>
        <v>0</v>
      </c>
    </row>
    <row r="152" spans="1:29" s="82" customFormat="1" ht="16.5" customHeight="1">
      <c r="A152" s="1267"/>
      <c r="B152" s="97"/>
      <c r="C152" s="98"/>
      <c r="D152" s="98"/>
      <c r="E152" s="102" t="s">
        <v>275</v>
      </c>
      <c r="F152" s="104"/>
      <c r="G152" s="104"/>
      <c r="H152" s="104"/>
      <c r="I152" s="105"/>
      <c r="J152" s="104">
        <f t="shared" si="247"/>
        <v>0</v>
      </c>
      <c r="K152" s="104">
        <f t="shared" ref="K152:K160" si="251">J152*25</f>
        <v>0</v>
      </c>
      <c r="L152" s="104">
        <f t="shared" ref="L152:L159" si="252">K152-R152-S152</f>
        <v>0</v>
      </c>
      <c r="M152" s="104"/>
      <c r="N152" s="104"/>
      <c r="O152" s="104"/>
      <c r="P152" s="104"/>
      <c r="Q152" s="104">
        <f t="shared" si="248"/>
        <v>0</v>
      </c>
      <c r="R152" s="104">
        <f t="shared" ref="R152:R160" si="253">Q152*20</f>
        <v>0</v>
      </c>
      <c r="S152" s="104">
        <f t="shared" si="249"/>
        <v>0</v>
      </c>
      <c r="T152" s="105"/>
      <c r="U152" s="100">
        <f t="shared" si="241"/>
        <v>0</v>
      </c>
      <c r="V152" s="130"/>
      <c r="W152" s="134">
        <f t="shared" si="242"/>
        <v>0</v>
      </c>
      <c r="X152" s="106"/>
      <c r="Y152" s="106">
        <f t="shared" si="243"/>
        <v>0</v>
      </c>
      <c r="Z152" s="106">
        <f t="shared" si="250"/>
        <v>0</v>
      </c>
      <c r="AA152" s="106">
        <f t="shared" si="244"/>
        <v>0</v>
      </c>
      <c r="AB152" s="106">
        <f t="shared" si="245"/>
        <v>0</v>
      </c>
      <c r="AC152" s="107">
        <f t="shared" si="246"/>
        <v>0</v>
      </c>
    </row>
    <row r="153" spans="1:29" s="82" customFormat="1" ht="16.5" customHeight="1">
      <c r="A153" s="1267"/>
      <c r="B153" s="97"/>
      <c r="C153" s="98"/>
      <c r="D153" s="98"/>
      <c r="E153" s="102" t="s">
        <v>276</v>
      </c>
      <c r="F153" s="173"/>
      <c r="G153" s="104"/>
      <c r="H153" s="104"/>
      <c r="I153" s="105"/>
      <c r="J153" s="104">
        <f t="shared" si="247"/>
        <v>0</v>
      </c>
      <c r="K153" s="104">
        <f t="shared" si="251"/>
        <v>0</v>
      </c>
      <c r="L153" s="104">
        <f t="shared" si="252"/>
        <v>0</v>
      </c>
      <c r="M153" s="104"/>
      <c r="N153" s="104"/>
      <c r="O153" s="104"/>
      <c r="P153" s="104"/>
      <c r="Q153" s="104">
        <f t="shared" si="248"/>
        <v>0</v>
      </c>
      <c r="R153" s="104">
        <f t="shared" si="253"/>
        <v>0</v>
      </c>
      <c r="S153" s="104">
        <f t="shared" si="249"/>
        <v>0</v>
      </c>
      <c r="T153" s="105"/>
      <c r="U153" s="100">
        <f t="shared" si="241"/>
        <v>0</v>
      </c>
      <c r="V153" s="130"/>
      <c r="W153" s="134">
        <f t="shared" si="242"/>
        <v>0</v>
      </c>
      <c r="X153" s="106"/>
      <c r="Y153" s="106">
        <f t="shared" si="243"/>
        <v>0</v>
      </c>
      <c r="Z153" s="106">
        <f t="shared" si="250"/>
        <v>0</v>
      </c>
      <c r="AA153" s="106">
        <f t="shared" si="244"/>
        <v>0</v>
      </c>
      <c r="AB153" s="106">
        <f t="shared" si="245"/>
        <v>0</v>
      </c>
      <c r="AC153" s="107">
        <f t="shared" si="246"/>
        <v>0</v>
      </c>
    </row>
    <row r="154" spans="1:29" s="82" customFormat="1" ht="16.5" customHeight="1">
      <c r="A154" s="1267"/>
      <c r="B154" s="97"/>
      <c r="C154" s="98"/>
      <c r="D154" s="98"/>
      <c r="E154" s="102" t="s">
        <v>277</v>
      </c>
      <c r="F154" s="104"/>
      <c r="G154" s="104"/>
      <c r="H154" s="104"/>
      <c r="I154" s="105"/>
      <c r="J154" s="104">
        <f t="shared" si="247"/>
        <v>0</v>
      </c>
      <c r="K154" s="104">
        <f t="shared" si="251"/>
        <v>0</v>
      </c>
      <c r="L154" s="104">
        <f t="shared" si="252"/>
        <v>0</v>
      </c>
      <c r="M154" s="104"/>
      <c r="N154" s="104"/>
      <c r="O154" s="104"/>
      <c r="P154" s="104"/>
      <c r="Q154" s="104">
        <f t="shared" si="248"/>
        <v>0</v>
      </c>
      <c r="R154" s="104">
        <f t="shared" si="253"/>
        <v>0</v>
      </c>
      <c r="S154" s="104">
        <f t="shared" si="249"/>
        <v>0</v>
      </c>
      <c r="T154" s="105"/>
      <c r="U154" s="100">
        <f t="shared" si="241"/>
        <v>0</v>
      </c>
      <c r="V154" s="130"/>
      <c r="W154" s="134">
        <f t="shared" si="242"/>
        <v>0</v>
      </c>
      <c r="X154" s="106"/>
      <c r="Y154" s="106">
        <f t="shared" si="243"/>
        <v>0</v>
      </c>
      <c r="Z154" s="106">
        <f t="shared" si="250"/>
        <v>0</v>
      </c>
      <c r="AA154" s="106">
        <f t="shared" si="244"/>
        <v>0</v>
      </c>
      <c r="AB154" s="106">
        <f t="shared" si="245"/>
        <v>0</v>
      </c>
      <c r="AC154" s="107">
        <f t="shared" si="246"/>
        <v>0</v>
      </c>
    </row>
    <row r="155" spans="1:29" s="82" customFormat="1" ht="16.5" customHeight="1">
      <c r="A155" s="1267"/>
      <c r="B155" s="97"/>
      <c r="C155" s="98"/>
      <c r="D155" s="98"/>
      <c r="E155" s="102" t="s">
        <v>278</v>
      </c>
      <c r="F155" s="104"/>
      <c r="G155" s="104"/>
      <c r="H155" s="104"/>
      <c r="I155" s="105"/>
      <c r="J155" s="104">
        <f t="shared" si="247"/>
        <v>0</v>
      </c>
      <c r="K155" s="104">
        <f t="shared" si="251"/>
        <v>0</v>
      </c>
      <c r="L155" s="104">
        <f t="shared" si="252"/>
        <v>0</v>
      </c>
      <c r="M155" s="104"/>
      <c r="N155" s="104"/>
      <c r="O155" s="104"/>
      <c r="P155" s="104"/>
      <c r="Q155" s="104">
        <f t="shared" si="248"/>
        <v>0</v>
      </c>
      <c r="R155" s="104">
        <f t="shared" si="253"/>
        <v>0</v>
      </c>
      <c r="S155" s="104">
        <f t="shared" si="249"/>
        <v>0</v>
      </c>
      <c r="T155" s="105"/>
      <c r="U155" s="100">
        <f t="shared" si="241"/>
        <v>0</v>
      </c>
      <c r="V155" s="130"/>
      <c r="W155" s="134">
        <f t="shared" si="242"/>
        <v>0</v>
      </c>
      <c r="X155" s="106"/>
      <c r="Y155" s="106">
        <f t="shared" si="243"/>
        <v>0</v>
      </c>
      <c r="Z155" s="106">
        <f t="shared" si="250"/>
        <v>0</v>
      </c>
      <c r="AA155" s="106">
        <f t="shared" si="244"/>
        <v>0</v>
      </c>
      <c r="AB155" s="106">
        <f t="shared" si="245"/>
        <v>0</v>
      </c>
      <c r="AC155" s="107">
        <f t="shared" si="246"/>
        <v>0</v>
      </c>
    </row>
    <row r="156" spans="1:29" s="82" customFormat="1" ht="16.5" customHeight="1">
      <c r="A156" s="1267"/>
      <c r="B156" s="97"/>
      <c r="C156" s="98"/>
      <c r="D156" s="98"/>
      <c r="E156" s="102" t="s">
        <v>279</v>
      </c>
      <c r="F156" s="104"/>
      <c r="G156" s="104"/>
      <c r="H156" s="103"/>
      <c r="I156" s="105"/>
      <c r="J156" s="104">
        <f t="shared" si="247"/>
        <v>0</v>
      </c>
      <c r="K156" s="104">
        <f t="shared" si="251"/>
        <v>0</v>
      </c>
      <c r="L156" s="104">
        <f t="shared" si="252"/>
        <v>0</v>
      </c>
      <c r="M156" s="104"/>
      <c r="N156" s="104"/>
      <c r="O156" s="104"/>
      <c r="P156" s="104"/>
      <c r="Q156" s="104">
        <f t="shared" si="248"/>
        <v>0</v>
      </c>
      <c r="R156" s="104">
        <f t="shared" si="253"/>
        <v>0</v>
      </c>
      <c r="S156" s="104">
        <f t="shared" si="249"/>
        <v>0</v>
      </c>
      <c r="T156" s="105"/>
      <c r="U156" s="100">
        <f t="shared" si="241"/>
        <v>0</v>
      </c>
      <c r="V156" s="130"/>
      <c r="W156" s="134">
        <f t="shared" si="242"/>
        <v>0</v>
      </c>
      <c r="X156" s="106"/>
      <c r="Y156" s="106">
        <f t="shared" si="243"/>
        <v>0</v>
      </c>
      <c r="Z156" s="106">
        <f t="shared" si="250"/>
        <v>0</v>
      </c>
      <c r="AA156" s="106">
        <f t="shared" si="244"/>
        <v>0</v>
      </c>
      <c r="AB156" s="106">
        <f t="shared" si="245"/>
        <v>0</v>
      </c>
      <c r="AC156" s="107">
        <f t="shared" si="246"/>
        <v>0</v>
      </c>
    </row>
    <row r="157" spans="1:29" s="82" customFormat="1" ht="16.5" customHeight="1">
      <c r="A157" s="1267"/>
      <c r="B157" s="97"/>
      <c r="C157" s="98"/>
      <c r="D157" s="98"/>
      <c r="E157" s="102" t="s">
        <v>280</v>
      </c>
      <c r="F157" s="104"/>
      <c r="G157" s="104"/>
      <c r="H157" s="104"/>
      <c r="I157" s="105"/>
      <c r="J157" s="104">
        <f t="shared" si="247"/>
        <v>0</v>
      </c>
      <c r="K157" s="104">
        <f t="shared" si="251"/>
        <v>0</v>
      </c>
      <c r="L157" s="104">
        <f t="shared" si="252"/>
        <v>0</v>
      </c>
      <c r="M157" s="104"/>
      <c r="N157" s="104"/>
      <c r="O157" s="104"/>
      <c r="P157" s="104"/>
      <c r="Q157" s="104">
        <f t="shared" si="248"/>
        <v>0</v>
      </c>
      <c r="R157" s="104">
        <f t="shared" si="253"/>
        <v>0</v>
      </c>
      <c r="S157" s="104">
        <f t="shared" si="249"/>
        <v>0</v>
      </c>
      <c r="T157" s="105"/>
      <c r="U157" s="100">
        <f t="shared" si="241"/>
        <v>0</v>
      </c>
      <c r="V157" s="130"/>
      <c r="W157" s="134">
        <f t="shared" si="242"/>
        <v>0</v>
      </c>
      <c r="X157" s="106"/>
      <c r="Y157" s="106">
        <f t="shared" si="243"/>
        <v>0</v>
      </c>
      <c r="Z157" s="106">
        <f t="shared" si="250"/>
        <v>0</v>
      </c>
      <c r="AA157" s="106">
        <f t="shared" si="244"/>
        <v>0</v>
      </c>
      <c r="AB157" s="106">
        <f t="shared" si="245"/>
        <v>0</v>
      </c>
      <c r="AC157" s="107">
        <f t="shared" si="246"/>
        <v>0</v>
      </c>
    </row>
    <row r="158" spans="1:29" s="82" customFormat="1" ht="16.5" customHeight="1">
      <c r="A158" s="1267"/>
      <c r="B158" s="97"/>
      <c r="C158" s="98"/>
      <c r="D158" s="98"/>
      <c r="E158" s="102" t="s">
        <v>54</v>
      </c>
      <c r="F158" s="104"/>
      <c r="G158" s="104"/>
      <c r="H158" s="104"/>
      <c r="I158" s="105"/>
      <c r="J158" s="104">
        <f t="shared" si="247"/>
        <v>0</v>
      </c>
      <c r="K158" s="104">
        <f t="shared" si="251"/>
        <v>0</v>
      </c>
      <c r="L158" s="104">
        <f t="shared" si="252"/>
        <v>0</v>
      </c>
      <c r="M158" s="104">
        <f t="shared" ref="M158" si="254">F158*60%</f>
        <v>0</v>
      </c>
      <c r="N158" s="104"/>
      <c r="O158" s="104"/>
      <c r="P158" s="104"/>
      <c r="Q158" s="104">
        <f t="shared" si="248"/>
        <v>0</v>
      </c>
      <c r="R158" s="104">
        <f t="shared" si="253"/>
        <v>0</v>
      </c>
      <c r="S158" s="104">
        <f t="shared" si="249"/>
        <v>0</v>
      </c>
      <c r="T158" s="105"/>
      <c r="U158" s="100">
        <f t="shared" si="241"/>
        <v>0</v>
      </c>
      <c r="V158" s="130"/>
      <c r="W158" s="134">
        <f t="shared" si="242"/>
        <v>0</v>
      </c>
      <c r="X158" s="106"/>
      <c r="Y158" s="106">
        <f t="shared" si="243"/>
        <v>0</v>
      </c>
      <c r="Z158" s="106">
        <f t="shared" si="250"/>
        <v>0</v>
      </c>
      <c r="AA158" s="106">
        <f t="shared" si="244"/>
        <v>0</v>
      </c>
      <c r="AB158" s="106">
        <f t="shared" si="245"/>
        <v>0</v>
      </c>
      <c r="AC158" s="107">
        <f t="shared" si="246"/>
        <v>0</v>
      </c>
    </row>
    <row r="159" spans="1:29" s="82" customFormat="1" ht="16.5" customHeight="1">
      <c r="A159" s="1267"/>
      <c r="B159" s="97"/>
      <c r="C159" s="171">
        <v>13</v>
      </c>
      <c r="D159" s="171"/>
      <c r="E159" s="172" t="s">
        <v>55</v>
      </c>
      <c r="F159" s="104"/>
      <c r="G159" s="104"/>
      <c r="H159" s="105"/>
      <c r="I159" s="105"/>
      <c r="J159" s="104">
        <f t="shared" si="247"/>
        <v>0</v>
      </c>
      <c r="K159" s="104">
        <f t="shared" si="251"/>
        <v>0</v>
      </c>
      <c r="L159" s="104">
        <f t="shared" si="252"/>
        <v>0</v>
      </c>
      <c r="M159" s="104"/>
      <c r="N159" s="104"/>
      <c r="O159" s="104"/>
      <c r="P159" s="104"/>
      <c r="Q159" s="104">
        <f t="shared" si="248"/>
        <v>0</v>
      </c>
      <c r="R159" s="104">
        <f t="shared" si="253"/>
        <v>0</v>
      </c>
      <c r="S159" s="104">
        <f t="shared" si="249"/>
        <v>0</v>
      </c>
      <c r="T159" s="105"/>
      <c r="U159" s="100">
        <f t="shared" si="241"/>
        <v>0</v>
      </c>
      <c r="V159" s="130"/>
      <c r="W159" s="134">
        <f t="shared" si="242"/>
        <v>0</v>
      </c>
      <c r="X159" s="106"/>
      <c r="Y159" s="106">
        <f t="shared" si="243"/>
        <v>0</v>
      </c>
      <c r="Z159" s="106">
        <f t="shared" si="250"/>
        <v>0</v>
      </c>
      <c r="AA159" s="106">
        <f t="shared" si="244"/>
        <v>0</v>
      </c>
      <c r="AB159" s="106">
        <f t="shared" si="245"/>
        <v>0</v>
      </c>
      <c r="AC159" s="107">
        <f t="shared" si="246"/>
        <v>0</v>
      </c>
    </row>
    <row r="160" spans="1:29" s="82" customFormat="1" ht="16.5" customHeight="1">
      <c r="A160" s="1267"/>
      <c r="B160" s="97"/>
      <c r="C160" s="98"/>
      <c r="D160" s="98"/>
      <c r="E160" s="102" t="s">
        <v>56</v>
      </c>
      <c r="F160" s="104"/>
      <c r="G160" s="104"/>
      <c r="H160" s="104"/>
      <c r="I160" s="105"/>
      <c r="J160" s="104">
        <f t="shared" si="247"/>
        <v>0</v>
      </c>
      <c r="K160" s="104">
        <f t="shared" si="251"/>
        <v>0</v>
      </c>
      <c r="L160" s="104">
        <f>K160-R160-S160</f>
        <v>0</v>
      </c>
      <c r="M160" s="104"/>
      <c r="N160" s="104"/>
      <c r="O160" s="104"/>
      <c r="P160" s="104"/>
      <c r="Q160" s="104">
        <f t="shared" si="248"/>
        <v>0</v>
      </c>
      <c r="R160" s="104">
        <f t="shared" si="253"/>
        <v>0</v>
      </c>
      <c r="S160" s="104">
        <f t="shared" si="249"/>
        <v>0</v>
      </c>
      <c r="T160" s="105"/>
      <c r="U160" s="100">
        <f t="shared" si="241"/>
        <v>0</v>
      </c>
      <c r="V160" s="130"/>
      <c r="W160" s="134">
        <f t="shared" si="242"/>
        <v>0</v>
      </c>
      <c r="X160" s="106"/>
      <c r="Y160" s="106">
        <f t="shared" si="243"/>
        <v>0</v>
      </c>
      <c r="Z160" s="106">
        <f t="shared" si="250"/>
        <v>0</v>
      </c>
      <c r="AA160" s="106">
        <f t="shared" si="244"/>
        <v>0</v>
      </c>
      <c r="AB160" s="106">
        <f t="shared" si="245"/>
        <v>0</v>
      </c>
      <c r="AC160" s="107">
        <f t="shared" si="246"/>
        <v>0</v>
      </c>
    </row>
    <row r="161" spans="1:29" s="82" customFormat="1" ht="16.5" customHeight="1">
      <c r="A161" s="1267"/>
      <c r="B161" s="97"/>
      <c r="C161" s="98"/>
      <c r="D161" s="98"/>
      <c r="E161" s="102" t="s">
        <v>281</v>
      </c>
      <c r="F161" s="104"/>
      <c r="G161" s="104"/>
      <c r="H161" s="104"/>
      <c r="I161" s="105"/>
      <c r="J161" s="104">
        <f t="shared" si="247"/>
        <v>0</v>
      </c>
      <c r="K161" s="104">
        <f>J161*25*2</f>
        <v>0</v>
      </c>
      <c r="L161" s="104">
        <f>K161-R161-S161</f>
        <v>0</v>
      </c>
      <c r="M161" s="104"/>
      <c r="N161" s="104"/>
      <c r="O161" s="104"/>
      <c r="P161" s="104"/>
      <c r="Q161" s="104">
        <f t="shared" si="248"/>
        <v>0</v>
      </c>
      <c r="R161" s="104">
        <f>Q161*20*2</f>
        <v>0</v>
      </c>
      <c r="S161" s="104">
        <f t="shared" ref="S161" si="255">Q161*5*2</f>
        <v>0</v>
      </c>
      <c r="T161" s="105"/>
      <c r="U161" s="100">
        <f t="shared" si="241"/>
        <v>0</v>
      </c>
      <c r="V161" s="130"/>
      <c r="W161" s="134">
        <f t="shared" si="242"/>
        <v>0</v>
      </c>
      <c r="X161" s="106"/>
      <c r="Y161" s="106">
        <f t="shared" si="243"/>
        <v>0</v>
      </c>
      <c r="Z161" s="106">
        <f t="shared" si="250"/>
        <v>0</v>
      </c>
      <c r="AA161" s="106">
        <f t="shared" si="244"/>
        <v>0</v>
      </c>
      <c r="AB161" s="106">
        <f t="shared" si="245"/>
        <v>0</v>
      </c>
      <c r="AC161" s="107">
        <f t="shared" si="246"/>
        <v>0</v>
      </c>
    </row>
    <row r="162" spans="1:29" s="82" customFormat="1" ht="18" customHeight="1">
      <c r="A162" s="1267">
        <v>13</v>
      </c>
      <c r="B162" s="97" t="s">
        <v>87</v>
      </c>
      <c r="C162" s="98" t="s">
        <v>522</v>
      </c>
      <c r="D162" s="98">
        <v>1</v>
      </c>
      <c r="E162" s="99" t="s">
        <v>86</v>
      </c>
      <c r="F162" s="100">
        <f t="shared" ref="F162" si="256">SUM(F163:F174)</f>
        <v>0</v>
      </c>
      <c r="G162" s="100">
        <f t="shared" ref="G162:N162" si="257">SUM(G163:G174)</f>
        <v>0</v>
      </c>
      <c r="H162" s="100">
        <f t="shared" si="257"/>
        <v>0</v>
      </c>
      <c r="I162" s="100">
        <f t="shared" ref="I162" si="258">SUM(I163:I174)</f>
        <v>0</v>
      </c>
      <c r="J162" s="100">
        <f t="shared" si="257"/>
        <v>0</v>
      </c>
      <c r="K162" s="100">
        <f t="shared" si="257"/>
        <v>0</v>
      </c>
      <c r="L162" s="100">
        <f t="shared" si="257"/>
        <v>0</v>
      </c>
      <c r="M162" s="100">
        <f t="shared" si="257"/>
        <v>0</v>
      </c>
      <c r="N162" s="100">
        <f t="shared" si="257"/>
        <v>0</v>
      </c>
      <c r="O162" s="100">
        <f t="shared" ref="O162" si="259">SUM(O163:O174)</f>
        <v>0</v>
      </c>
      <c r="P162" s="100"/>
      <c r="Q162" s="100"/>
      <c r="R162" s="100">
        <f t="shared" ref="R162:S162" si="260">SUM(R163:R174)</f>
        <v>0</v>
      </c>
      <c r="S162" s="100">
        <f t="shared" si="260"/>
        <v>0</v>
      </c>
      <c r="T162" s="100"/>
      <c r="U162" s="100">
        <f t="shared" ref="U162" si="261">SUM(U163:U174)</f>
        <v>0</v>
      </c>
      <c r="V162" s="130"/>
      <c r="W162" s="143">
        <f t="shared" ref="W162:X162" si="262">SUM(W163:W174)</f>
        <v>0</v>
      </c>
      <c r="X162" s="100">
        <f t="shared" si="262"/>
        <v>0</v>
      </c>
      <c r="Y162" s="100">
        <f t="shared" ref="Y162:AB162" si="263">SUM(Y163:Y174)</f>
        <v>0</v>
      </c>
      <c r="Z162" s="100">
        <f t="shared" si="263"/>
        <v>0</v>
      </c>
      <c r="AA162" s="100">
        <f t="shared" si="263"/>
        <v>0</v>
      </c>
      <c r="AB162" s="100">
        <f t="shared" si="263"/>
        <v>0</v>
      </c>
      <c r="AC162" s="101">
        <f>SUM(AC163:AC174)</f>
        <v>0</v>
      </c>
    </row>
    <row r="163" spans="1:29" s="82" customFormat="1" ht="18" customHeight="1">
      <c r="A163" s="1267"/>
      <c r="B163" s="97" t="s">
        <v>442</v>
      </c>
      <c r="C163" s="171">
        <v>8</v>
      </c>
      <c r="D163" s="171"/>
      <c r="E163" s="172" t="s">
        <v>273</v>
      </c>
      <c r="F163" s="173"/>
      <c r="G163" s="104"/>
      <c r="H163" s="103"/>
      <c r="I163" s="105"/>
      <c r="J163" s="104"/>
      <c r="K163" s="104"/>
      <c r="L163" s="104"/>
      <c r="M163" s="104">
        <f t="shared" ref="M163" si="264">F163*60%</f>
        <v>0</v>
      </c>
      <c r="N163" s="104"/>
      <c r="O163" s="104"/>
      <c r="P163" s="104"/>
      <c r="Q163" s="104"/>
      <c r="R163" s="104"/>
      <c r="S163" s="104"/>
      <c r="T163" s="105"/>
      <c r="U163" s="100">
        <f t="shared" ref="U163" si="265">SUM(I163,L163)</f>
        <v>0</v>
      </c>
      <c r="V163" s="130"/>
      <c r="W163" s="134">
        <f t="shared" ref="W163:W164" si="266">ROUNDUP(U163*1/12,-1)</f>
        <v>0</v>
      </c>
      <c r="X163" s="106"/>
      <c r="Y163" s="106">
        <f t="shared" ref="Y163" si="267">ROUNDUP((U163-L163)*3.06%,-1)</f>
        <v>0</v>
      </c>
      <c r="Z163" s="106">
        <f>ROUNDUP(Y163*6.55%,-1)</f>
        <v>0</v>
      </c>
      <c r="AA163" s="106">
        <f t="shared" ref="AA163:AA174" si="268">ROUND(U163*0.9%,-1)</f>
        <v>0</v>
      </c>
      <c r="AB163" s="106">
        <f t="shared" ref="AB163:AB174" si="269">ROUND(U163*0.8%,-1)</f>
        <v>0</v>
      </c>
      <c r="AC163" s="107">
        <f t="shared" ref="AC163:AC174" si="270">SUM(W163:AB163)</f>
        <v>0</v>
      </c>
    </row>
    <row r="164" spans="1:29" s="82" customFormat="1" ht="18" customHeight="1">
      <c r="A164" s="1267"/>
      <c r="B164" s="97"/>
      <c r="C164" s="98"/>
      <c r="D164" s="98"/>
      <c r="E164" s="102" t="s">
        <v>274</v>
      </c>
      <c r="F164" s="104"/>
      <c r="G164" s="104"/>
      <c r="H164" s="104"/>
      <c r="I164" s="105"/>
      <c r="J164" s="104">
        <f t="shared" ref="J164:J174" si="271">ROUND((F163+I163+T163)*1/209*1.5,-1)</f>
        <v>0</v>
      </c>
      <c r="K164" s="104">
        <f t="shared" ref="K164:K186" si="272">J164*25</f>
        <v>0</v>
      </c>
      <c r="L164" s="104">
        <f t="shared" ref="L164:L174" si="273">K164-R164-S164</f>
        <v>0</v>
      </c>
      <c r="M164" s="104"/>
      <c r="N164" s="104"/>
      <c r="O164" s="104"/>
      <c r="P164" s="104"/>
      <c r="Q164" s="104">
        <f t="shared" ref="Q164" si="274">ROUND((F163+T163)*1/209*1.5,-1)</f>
        <v>0</v>
      </c>
      <c r="R164" s="104">
        <f>Q164*20</f>
        <v>0</v>
      </c>
      <c r="S164" s="104">
        <f t="shared" ref="S164:S173" si="275">Q164*5</f>
        <v>0</v>
      </c>
      <c r="T164" s="105"/>
      <c r="U164" s="100">
        <f t="shared" si="241"/>
        <v>0</v>
      </c>
      <c r="V164" s="130"/>
      <c r="W164" s="134">
        <f t="shared" si="266"/>
        <v>0</v>
      </c>
      <c r="X164" s="106"/>
      <c r="Y164" s="106">
        <f t="shared" si="243"/>
        <v>0</v>
      </c>
      <c r="Z164" s="106">
        <f t="shared" ref="Z164:Z174" si="276">ROUNDUP(Y164*6.55%,-1)</f>
        <v>0</v>
      </c>
      <c r="AA164" s="106">
        <f t="shared" si="268"/>
        <v>0</v>
      </c>
      <c r="AB164" s="106">
        <f t="shared" si="269"/>
        <v>0</v>
      </c>
      <c r="AC164" s="107">
        <f t="shared" si="270"/>
        <v>0</v>
      </c>
    </row>
    <row r="165" spans="1:29" s="82" customFormat="1" ht="18" customHeight="1">
      <c r="A165" s="1267"/>
      <c r="B165" s="97"/>
      <c r="C165" s="98"/>
      <c r="D165" s="98"/>
      <c r="E165" s="102" t="s">
        <v>275</v>
      </c>
      <c r="F165" s="104"/>
      <c r="G165" s="104"/>
      <c r="H165" s="104"/>
      <c r="I165" s="105"/>
      <c r="J165" s="104">
        <f t="shared" si="271"/>
        <v>0</v>
      </c>
      <c r="K165" s="104">
        <f t="shared" si="272"/>
        <v>0</v>
      </c>
      <c r="L165" s="104">
        <f t="shared" si="273"/>
        <v>0</v>
      </c>
      <c r="M165" s="104"/>
      <c r="N165" s="104"/>
      <c r="O165" s="104"/>
      <c r="P165" s="104"/>
      <c r="Q165" s="104">
        <f t="shared" si="248"/>
        <v>0</v>
      </c>
      <c r="R165" s="104">
        <f t="shared" ref="R165:R173" si="277">Q165*20</f>
        <v>0</v>
      </c>
      <c r="S165" s="104">
        <f t="shared" si="275"/>
        <v>0</v>
      </c>
      <c r="T165" s="105"/>
      <c r="U165" s="100">
        <f t="shared" si="241"/>
        <v>0</v>
      </c>
      <c r="V165" s="130"/>
      <c r="W165" s="134">
        <f t="shared" si="242"/>
        <v>0</v>
      </c>
      <c r="X165" s="106"/>
      <c r="Y165" s="106">
        <f t="shared" si="243"/>
        <v>0</v>
      </c>
      <c r="Z165" s="106">
        <f t="shared" si="276"/>
        <v>0</v>
      </c>
      <c r="AA165" s="106">
        <f t="shared" si="268"/>
        <v>0</v>
      </c>
      <c r="AB165" s="106">
        <f t="shared" si="269"/>
        <v>0</v>
      </c>
      <c r="AC165" s="107">
        <f t="shared" si="270"/>
        <v>0</v>
      </c>
    </row>
    <row r="166" spans="1:29" s="82" customFormat="1" ht="18" customHeight="1">
      <c r="A166" s="1267"/>
      <c r="B166" s="97"/>
      <c r="C166" s="98"/>
      <c r="D166" s="98"/>
      <c r="E166" s="102" t="s">
        <v>276</v>
      </c>
      <c r="F166" s="173"/>
      <c r="G166" s="104"/>
      <c r="H166" s="104"/>
      <c r="I166" s="105"/>
      <c r="J166" s="104">
        <f t="shared" si="271"/>
        <v>0</v>
      </c>
      <c r="K166" s="104">
        <f t="shared" si="272"/>
        <v>0</v>
      </c>
      <c r="L166" s="104">
        <f t="shared" si="273"/>
        <v>0</v>
      </c>
      <c r="M166" s="104"/>
      <c r="N166" s="104"/>
      <c r="O166" s="104"/>
      <c r="P166" s="104"/>
      <c r="Q166" s="104">
        <f t="shared" si="248"/>
        <v>0</v>
      </c>
      <c r="R166" s="104">
        <f t="shared" si="277"/>
        <v>0</v>
      </c>
      <c r="S166" s="104">
        <f t="shared" si="275"/>
        <v>0</v>
      </c>
      <c r="T166" s="105"/>
      <c r="U166" s="100">
        <f t="shared" si="241"/>
        <v>0</v>
      </c>
      <c r="V166" s="130"/>
      <c r="W166" s="134">
        <f t="shared" si="242"/>
        <v>0</v>
      </c>
      <c r="X166" s="106"/>
      <c r="Y166" s="106">
        <f t="shared" si="243"/>
        <v>0</v>
      </c>
      <c r="Z166" s="106">
        <f t="shared" si="276"/>
        <v>0</v>
      </c>
      <c r="AA166" s="106">
        <f t="shared" si="268"/>
        <v>0</v>
      </c>
      <c r="AB166" s="106">
        <f t="shared" si="269"/>
        <v>0</v>
      </c>
      <c r="AC166" s="107">
        <f t="shared" si="270"/>
        <v>0</v>
      </c>
    </row>
    <row r="167" spans="1:29" s="82" customFormat="1" ht="18" customHeight="1">
      <c r="A167" s="1267"/>
      <c r="B167" s="97"/>
      <c r="C167" s="98"/>
      <c r="D167" s="98"/>
      <c r="E167" s="102" t="s">
        <v>277</v>
      </c>
      <c r="F167" s="104"/>
      <c r="G167" s="104"/>
      <c r="H167" s="104"/>
      <c r="I167" s="105"/>
      <c r="J167" s="104">
        <f t="shared" si="271"/>
        <v>0</v>
      </c>
      <c r="K167" s="104">
        <f t="shared" si="272"/>
        <v>0</v>
      </c>
      <c r="L167" s="104">
        <f t="shared" si="273"/>
        <v>0</v>
      </c>
      <c r="M167" s="104"/>
      <c r="N167" s="104"/>
      <c r="O167" s="104"/>
      <c r="P167" s="104"/>
      <c r="Q167" s="104">
        <f t="shared" si="248"/>
        <v>0</v>
      </c>
      <c r="R167" s="104">
        <f t="shared" si="277"/>
        <v>0</v>
      </c>
      <c r="S167" s="104">
        <f t="shared" si="275"/>
        <v>0</v>
      </c>
      <c r="T167" s="105"/>
      <c r="U167" s="100">
        <f t="shared" si="241"/>
        <v>0</v>
      </c>
      <c r="V167" s="130"/>
      <c r="W167" s="134">
        <f t="shared" si="242"/>
        <v>0</v>
      </c>
      <c r="X167" s="106"/>
      <c r="Y167" s="106">
        <f t="shared" si="243"/>
        <v>0</v>
      </c>
      <c r="Z167" s="106">
        <f t="shared" si="276"/>
        <v>0</v>
      </c>
      <c r="AA167" s="106">
        <f t="shared" si="268"/>
        <v>0</v>
      </c>
      <c r="AB167" s="106">
        <f t="shared" si="269"/>
        <v>0</v>
      </c>
      <c r="AC167" s="107">
        <f t="shared" si="270"/>
        <v>0</v>
      </c>
    </row>
    <row r="168" spans="1:29" s="82" customFormat="1" ht="18" customHeight="1">
      <c r="A168" s="1267"/>
      <c r="B168" s="97"/>
      <c r="C168" s="98"/>
      <c r="D168" s="98"/>
      <c r="E168" s="102" t="s">
        <v>278</v>
      </c>
      <c r="F168" s="104"/>
      <c r="G168" s="104"/>
      <c r="H168" s="104"/>
      <c r="I168" s="105"/>
      <c r="J168" s="104">
        <f t="shared" si="271"/>
        <v>0</v>
      </c>
      <c r="K168" s="104">
        <f t="shared" si="272"/>
        <v>0</v>
      </c>
      <c r="L168" s="104">
        <f t="shared" si="273"/>
        <v>0</v>
      </c>
      <c r="M168" s="104"/>
      <c r="N168" s="104"/>
      <c r="O168" s="104"/>
      <c r="P168" s="104"/>
      <c r="Q168" s="104">
        <f t="shared" si="248"/>
        <v>0</v>
      </c>
      <c r="R168" s="104">
        <f t="shared" si="277"/>
        <v>0</v>
      </c>
      <c r="S168" s="104">
        <f t="shared" si="275"/>
        <v>0</v>
      </c>
      <c r="T168" s="105"/>
      <c r="U168" s="100">
        <f t="shared" si="241"/>
        <v>0</v>
      </c>
      <c r="V168" s="130"/>
      <c r="W168" s="134">
        <f t="shared" si="242"/>
        <v>0</v>
      </c>
      <c r="X168" s="106"/>
      <c r="Y168" s="106">
        <f t="shared" si="243"/>
        <v>0</v>
      </c>
      <c r="Z168" s="106">
        <f t="shared" si="276"/>
        <v>0</v>
      </c>
      <c r="AA168" s="106">
        <f t="shared" si="268"/>
        <v>0</v>
      </c>
      <c r="AB168" s="106">
        <f t="shared" si="269"/>
        <v>0</v>
      </c>
      <c r="AC168" s="107">
        <f t="shared" si="270"/>
        <v>0</v>
      </c>
    </row>
    <row r="169" spans="1:29" s="82" customFormat="1" ht="18" customHeight="1">
      <c r="A169" s="1267"/>
      <c r="B169" s="97"/>
      <c r="C169" s="98"/>
      <c r="D169" s="98"/>
      <c r="E169" s="102" t="s">
        <v>279</v>
      </c>
      <c r="F169" s="104"/>
      <c r="G169" s="104"/>
      <c r="H169" s="103"/>
      <c r="I169" s="105"/>
      <c r="J169" s="104">
        <f t="shared" si="271"/>
        <v>0</v>
      </c>
      <c r="K169" s="104">
        <f t="shared" si="272"/>
        <v>0</v>
      </c>
      <c r="L169" s="104">
        <f t="shared" si="273"/>
        <v>0</v>
      </c>
      <c r="M169" s="104"/>
      <c r="N169" s="104"/>
      <c r="O169" s="104"/>
      <c r="P169" s="104"/>
      <c r="Q169" s="104">
        <f t="shared" si="248"/>
        <v>0</v>
      </c>
      <c r="R169" s="104">
        <f t="shared" si="277"/>
        <v>0</v>
      </c>
      <c r="S169" s="104">
        <f t="shared" si="275"/>
        <v>0</v>
      </c>
      <c r="T169" s="105"/>
      <c r="U169" s="100">
        <f t="shared" si="241"/>
        <v>0</v>
      </c>
      <c r="V169" s="130"/>
      <c r="W169" s="134">
        <f t="shared" si="242"/>
        <v>0</v>
      </c>
      <c r="X169" s="106"/>
      <c r="Y169" s="106">
        <f t="shared" si="243"/>
        <v>0</v>
      </c>
      <c r="Z169" s="106">
        <f t="shared" si="276"/>
        <v>0</v>
      </c>
      <c r="AA169" s="106">
        <f t="shared" si="268"/>
        <v>0</v>
      </c>
      <c r="AB169" s="106">
        <f t="shared" si="269"/>
        <v>0</v>
      </c>
      <c r="AC169" s="107">
        <f t="shared" si="270"/>
        <v>0</v>
      </c>
    </row>
    <row r="170" spans="1:29" s="82" customFormat="1" ht="18" customHeight="1">
      <c r="A170" s="1267"/>
      <c r="B170" s="97"/>
      <c r="C170" s="171">
        <v>9</v>
      </c>
      <c r="D170" s="171"/>
      <c r="E170" s="172" t="s">
        <v>280</v>
      </c>
      <c r="F170" s="104"/>
      <c r="G170" s="104"/>
      <c r="H170" s="104"/>
      <c r="I170" s="105"/>
      <c r="J170" s="104">
        <f t="shared" si="271"/>
        <v>0</v>
      </c>
      <c r="K170" s="104">
        <f t="shared" si="272"/>
        <v>0</v>
      </c>
      <c r="L170" s="104">
        <f t="shared" si="273"/>
        <v>0</v>
      </c>
      <c r="M170" s="104"/>
      <c r="N170" s="104"/>
      <c r="O170" s="104"/>
      <c r="P170" s="104"/>
      <c r="Q170" s="104">
        <f t="shared" si="248"/>
        <v>0</v>
      </c>
      <c r="R170" s="104">
        <f t="shared" si="277"/>
        <v>0</v>
      </c>
      <c r="S170" s="104">
        <f t="shared" si="275"/>
        <v>0</v>
      </c>
      <c r="T170" s="105"/>
      <c r="U170" s="100">
        <f t="shared" si="241"/>
        <v>0</v>
      </c>
      <c r="V170" s="130"/>
      <c r="W170" s="134">
        <f t="shared" si="242"/>
        <v>0</v>
      </c>
      <c r="X170" s="106"/>
      <c r="Y170" s="106">
        <f t="shared" si="243"/>
        <v>0</v>
      </c>
      <c r="Z170" s="106">
        <f t="shared" si="276"/>
        <v>0</v>
      </c>
      <c r="AA170" s="106">
        <f t="shared" si="268"/>
        <v>0</v>
      </c>
      <c r="AB170" s="106">
        <f t="shared" si="269"/>
        <v>0</v>
      </c>
      <c r="AC170" s="107">
        <f t="shared" si="270"/>
        <v>0</v>
      </c>
    </row>
    <row r="171" spans="1:29" s="82" customFormat="1" ht="16.5" customHeight="1">
      <c r="A171" s="1267"/>
      <c r="B171" s="97"/>
      <c r="C171" s="98"/>
      <c r="D171" s="98"/>
      <c r="E171" s="102" t="s">
        <v>54</v>
      </c>
      <c r="F171" s="104"/>
      <c r="G171" s="104"/>
      <c r="H171" s="104"/>
      <c r="I171" s="105"/>
      <c r="J171" s="104">
        <f t="shared" si="271"/>
        <v>0</v>
      </c>
      <c r="K171" s="104">
        <f t="shared" si="272"/>
        <v>0</v>
      </c>
      <c r="L171" s="104">
        <f t="shared" si="273"/>
        <v>0</v>
      </c>
      <c r="M171" s="104">
        <f t="shared" ref="M171" si="278">F171*60%</f>
        <v>0</v>
      </c>
      <c r="N171" s="104"/>
      <c r="O171" s="104"/>
      <c r="P171" s="104"/>
      <c r="Q171" s="104">
        <f t="shared" si="248"/>
        <v>0</v>
      </c>
      <c r="R171" s="104">
        <f t="shared" si="277"/>
        <v>0</v>
      </c>
      <c r="S171" s="104">
        <f t="shared" si="275"/>
        <v>0</v>
      </c>
      <c r="T171" s="105"/>
      <c r="U171" s="100">
        <f t="shared" si="241"/>
        <v>0</v>
      </c>
      <c r="V171" s="130"/>
      <c r="W171" s="134">
        <f t="shared" si="242"/>
        <v>0</v>
      </c>
      <c r="X171" s="106"/>
      <c r="Y171" s="106">
        <f t="shared" si="243"/>
        <v>0</v>
      </c>
      <c r="Z171" s="106">
        <f t="shared" si="276"/>
        <v>0</v>
      </c>
      <c r="AA171" s="106">
        <f t="shared" si="268"/>
        <v>0</v>
      </c>
      <c r="AB171" s="106">
        <f t="shared" si="269"/>
        <v>0</v>
      </c>
      <c r="AC171" s="107">
        <f t="shared" si="270"/>
        <v>0</v>
      </c>
    </row>
    <row r="172" spans="1:29" s="82" customFormat="1" ht="16.5" customHeight="1">
      <c r="A172" s="1267"/>
      <c r="B172" s="97"/>
      <c r="C172" s="98"/>
      <c r="D172" s="98"/>
      <c r="E172" s="102" t="s">
        <v>55</v>
      </c>
      <c r="F172" s="104"/>
      <c r="G172" s="104"/>
      <c r="H172" s="105"/>
      <c r="I172" s="105"/>
      <c r="J172" s="104">
        <f t="shared" si="271"/>
        <v>0</v>
      </c>
      <c r="K172" s="104">
        <f t="shared" si="272"/>
        <v>0</v>
      </c>
      <c r="L172" s="104">
        <f t="shared" si="273"/>
        <v>0</v>
      </c>
      <c r="M172" s="104"/>
      <c r="N172" s="104"/>
      <c r="O172" s="104"/>
      <c r="P172" s="104"/>
      <c r="Q172" s="104">
        <f t="shared" si="248"/>
        <v>0</v>
      </c>
      <c r="R172" s="104">
        <f t="shared" si="277"/>
        <v>0</v>
      </c>
      <c r="S172" s="104">
        <f t="shared" si="275"/>
        <v>0</v>
      </c>
      <c r="T172" s="105"/>
      <c r="U172" s="100">
        <f t="shared" si="241"/>
        <v>0</v>
      </c>
      <c r="V172" s="130"/>
      <c r="W172" s="134">
        <f t="shared" si="242"/>
        <v>0</v>
      </c>
      <c r="X172" s="106"/>
      <c r="Y172" s="106">
        <f t="shared" si="243"/>
        <v>0</v>
      </c>
      <c r="Z172" s="106">
        <f t="shared" si="276"/>
        <v>0</v>
      </c>
      <c r="AA172" s="106">
        <f t="shared" si="268"/>
        <v>0</v>
      </c>
      <c r="AB172" s="106">
        <f t="shared" si="269"/>
        <v>0</v>
      </c>
      <c r="AC172" s="107">
        <f t="shared" si="270"/>
        <v>0</v>
      </c>
    </row>
    <row r="173" spans="1:29" s="82" customFormat="1" ht="16.5" customHeight="1">
      <c r="A173" s="1267"/>
      <c r="B173" s="97"/>
      <c r="C173" s="98"/>
      <c r="D173" s="98"/>
      <c r="E173" s="102" t="s">
        <v>56</v>
      </c>
      <c r="F173" s="104"/>
      <c r="G173" s="104"/>
      <c r="H173" s="104"/>
      <c r="I173" s="105"/>
      <c r="J173" s="104">
        <f t="shared" si="271"/>
        <v>0</v>
      </c>
      <c r="K173" s="104">
        <f t="shared" si="272"/>
        <v>0</v>
      </c>
      <c r="L173" s="104">
        <f t="shared" si="273"/>
        <v>0</v>
      </c>
      <c r="M173" s="104"/>
      <c r="N173" s="104"/>
      <c r="O173" s="104"/>
      <c r="P173" s="104"/>
      <c r="Q173" s="104">
        <f t="shared" si="248"/>
        <v>0</v>
      </c>
      <c r="R173" s="104">
        <f t="shared" si="277"/>
        <v>0</v>
      </c>
      <c r="S173" s="104">
        <f t="shared" si="275"/>
        <v>0</v>
      </c>
      <c r="T173" s="105"/>
      <c r="U173" s="100">
        <f t="shared" si="241"/>
        <v>0</v>
      </c>
      <c r="V173" s="130"/>
      <c r="W173" s="134">
        <f t="shared" si="242"/>
        <v>0</v>
      </c>
      <c r="X173" s="106"/>
      <c r="Y173" s="106">
        <f t="shared" si="243"/>
        <v>0</v>
      </c>
      <c r="Z173" s="106">
        <f t="shared" si="276"/>
        <v>0</v>
      </c>
      <c r="AA173" s="106">
        <f t="shared" si="268"/>
        <v>0</v>
      </c>
      <c r="AB173" s="106">
        <f t="shared" si="269"/>
        <v>0</v>
      </c>
      <c r="AC173" s="107">
        <f t="shared" si="270"/>
        <v>0</v>
      </c>
    </row>
    <row r="174" spans="1:29" s="82" customFormat="1" ht="16.5" customHeight="1">
      <c r="A174" s="1267"/>
      <c r="B174" s="97"/>
      <c r="C174" s="98"/>
      <c r="D174" s="98"/>
      <c r="E174" s="102" t="s">
        <v>281</v>
      </c>
      <c r="F174" s="104"/>
      <c r="G174" s="104"/>
      <c r="H174" s="104"/>
      <c r="I174" s="105"/>
      <c r="J174" s="104">
        <f t="shared" si="271"/>
        <v>0</v>
      </c>
      <c r="K174" s="104">
        <f t="shared" ref="K174" si="279">J174*25*2</f>
        <v>0</v>
      </c>
      <c r="L174" s="104">
        <f t="shared" si="273"/>
        <v>0</v>
      </c>
      <c r="M174" s="104"/>
      <c r="N174" s="104"/>
      <c r="O174" s="104"/>
      <c r="P174" s="104"/>
      <c r="Q174" s="104">
        <f t="shared" si="248"/>
        <v>0</v>
      </c>
      <c r="R174" s="104">
        <f>Q174*20*2</f>
        <v>0</v>
      </c>
      <c r="S174" s="104">
        <f t="shared" ref="S174" si="280">Q174*5*2</f>
        <v>0</v>
      </c>
      <c r="T174" s="105"/>
      <c r="U174" s="100">
        <f t="shared" si="241"/>
        <v>0</v>
      </c>
      <c r="V174" s="130"/>
      <c r="W174" s="134">
        <f t="shared" si="242"/>
        <v>0</v>
      </c>
      <c r="X174" s="106"/>
      <c r="Y174" s="106">
        <f t="shared" si="243"/>
        <v>0</v>
      </c>
      <c r="Z174" s="106">
        <f t="shared" si="276"/>
        <v>0</v>
      </c>
      <c r="AA174" s="106">
        <f t="shared" si="268"/>
        <v>0</v>
      </c>
      <c r="AB174" s="106">
        <f t="shared" si="269"/>
        <v>0</v>
      </c>
      <c r="AC174" s="107">
        <f t="shared" si="270"/>
        <v>0</v>
      </c>
    </row>
    <row r="175" spans="1:29" s="82" customFormat="1" ht="16.5" customHeight="1">
      <c r="A175" s="1267">
        <v>14</v>
      </c>
      <c r="B175" s="97" t="s">
        <v>87</v>
      </c>
      <c r="C175" s="98" t="s">
        <v>785</v>
      </c>
      <c r="D175" s="98">
        <v>1</v>
      </c>
      <c r="E175" s="99" t="s">
        <v>86</v>
      </c>
      <c r="F175" s="100">
        <f t="shared" ref="F175" si="281">SUM(F176:F187)</f>
        <v>0</v>
      </c>
      <c r="G175" s="100">
        <f t="shared" ref="G175:N175" si="282">SUM(G176:G187)</f>
        <v>0</v>
      </c>
      <c r="H175" s="100">
        <f t="shared" si="282"/>
        <v>0</v>
      </c>
      <c r="I175" s="100">
        <f t="shared" ref="I175" si="283">SUM(I176:I187)</f>
        <v>0</v>
      </c>
      <c r="J175" s="100">
        <f t="shared" si="282"/>
        <v>0</v>
      </c>
      <c r="K175" s="100">
        <f t="shared" si="282"/>
        <v>0</v>
      </c>
      <c r="L175" s="100">
        <f t="shared" si="282"/>
        <v>0</v>
      </c>
      <c r="M175" s="100">
        <f t="shared" si="282"/>
        <v>0</v>
      </c>
      <c r="N175" s="100">
        <f t="shared" si="282"/>
        <v>0</v>
      </c>
      <c r="O175" s="100">
        <f t="shared" ref="O175" si="284">SUM(O176:O187)</f>
        <v>0</v>
      </c>
      <c r="P175" s="100"/>
      <c r="Q175" s="100"/>
      <c r="R175" s="100">
        <f>SUM(R176:R187)</f>
        <v>0</v>
      </c>
      <c r="S175" s="100">
        <f t="shared" ref="S175" si="285">SUM(S176:S187)</f>
        <v>0</v>
      </c>
      <c r="T175" s="100"/>
      <c r="U175" s="100">
        <f t="shared" ref="U175" si="286">SUM(U176:U187)</f>
        <v>0</v>
      </c>
      <c r="V175" s="130"/>
      <c r="W175" s="143">
        <f t="shared" ref="W175:X175" si="287">SUM(W176:W187)</f>
        <v>0</v>
      </c>
      <c r="X175" s="100">
        <f t="shared" si="287"/>
        <v>0</v>
      </c>
      <c r="Y175" s="100">
        <f t="shared" ref="Y175:AB175" si="288">SUM(Y176:Y187)</f>
        <v>0</v>
      </c>
      <c r="Z175" s="100">
        <f t="shared" si="288"/>
        <v>0</v>
      </c>
      <c r="AA175" s="100">
        <f t="shared" si="288"/>
        <v>0</v>
      </c>
      <c r="AB175" s="100">
        <f t="shared" si="288"/>
        <v>0</v>
      </c>
      <c r="AC175" s="101">
        <f>SUM(AC176:AC187)</f>
        <v>0</v>
      </c>
    </row>
    <row r="176" spans="1:29" s="82" customFormat="1" ht="16.5" customHeight="1">
      <c r="A176" s="1267"/>
      <c r="B176" s="97" t="s">
        <v>814</v>
      </c>
      <c r="C176" s="171">
        <v>10</v>
      </c>
      <c r="D176" s="171"/>
      <c r="E176" s="172" t="s">
        <v>273</v>
      </c>
      <c r="F176" s="173"/>
      <c r="G176" s="104"/>
      <c r="H176" s="103"/>
      <c r="I176" s="105"/>
      <c r="J176" s="104"/>
      <c r="K176" s="104"/>
      <c r="L176" s="104"/>
      <c r="M176" s="104">
        <f t="shared" ref="M176" si="289">F176*60%</f>
        <v>0</v>
      </c>
      <c r="N176" s="104"/>
      <c r="O176" s="104"/>
      <c r="P176" s="104"/>
      <c r="Q176" s="104"/>
      <c r="R176" s="104"/>
      <c r="S176" s="104"/>
      <c r="T176" s="105"/>
      <c r="U176" s="100">
        <f t="shared" ref="U176" si="290">SUM(I176,L176)</f>
        <v>0</v>
      </c>
      <c r="V176" s="130"/>
      <c r="W176" s="134">
        <f t="shared" ref="W176:W177" si="291">ROUNDUP(U176*1/12,-1)</f>
        <v>0</v>
      </c>
      <c r="X176" s="106"/>
      <c r="Y176" s="106">
        <f t="shared" ref="Y176" si="292">ROUNDUP((U176-L176)*3.06%,-1)</f>
        <v>0</v>
      </c>
      <c r="Z176" s="106">
        <f>ROUNDUP(Y176*6.55%,-1)</f>
        <v>0</v>
      </c>
      <c r="AA176" s="106">
        <f t="shared" ref="AA176:AA187" si="293">ROUND(U176*0.9%,-1)</f>
        <v>0</v>
      </c>
      <c r="AB176" s="106">
        <f t="shared" ref="AB176:AB187" si="294">ROUND(U176*0.8%,-1)</f>
        <v>0</v>
      </c>
      <c r="AC176" s="107">
        <f t="shared" ref="AC176:AC187" si="295">SUM(W176:AB176)</f>
        <v>0</v>
      </c>
    </row>
    <row r="177" spans="1:29" s="82" customFormat="1" ht="16.5" customHeight="1">
      <c r="A177" s="1267"/>
      <c r="B177" s="97"/>
      <c r="C177" s="98"/>
      <c r="D177" s="98"/>
      <c r="E177" s="102" t="s">
        <v>274</v>
      </c>
      <c r="F177" s="104"/>
      <c r="G177" s="104"/>
      <c r="H177" s="104"/>
      <c r="I177" s="105"/>
      <c r="J177" s="104">
        <f t="shared" ref="J177:J187" si="296">ROUND((F176+I176+T176)*1/209*1.5,-1)</f>
        <v>0</v>
      </c>
      <c r="K177" s="104">
        <f t="shared" ref="K177" si="297">J177*25</f>
        <v>0</v>
      </c>
      <c r="L177" s="104">
        <f>K177-R177-S177</f>
        <v>0</v>
      </c>
      <c r="M177" s="104"/>
      <c r="N177" s="104"/>
      <c r="O177" s="104"/>
      <c r="P177" s="104"/>
      <c r="Q177" s="104">
        <f t="shared" ref="Q177" si="298">ROUND((F176+T176)*1/209*1.5,-1)</f>
        <v>0</v>
      </c>
      <c r="R177" s="104">
        <f>Q177*20</f>
        <v>0</v>
      </c>
      <c r="S177" s="104">
        <f t="shared" ref="S177:S186" si="299">Q177*5</f>
        <v>0</v>
      </c>
      <c r="T177" s="105"/>
      <c r="U177" s="100">
        <f t="shared" si="241"/>
        <v>0</v>
      </c>
      <c r="V177" s="130"/>
      <c r="W177" s="134">
        <f t="shared" si="291"/>
        <v>0</v>
      </c>
      <c r="X177" s="106"/>
      <c r="Y177" s="106">
        <f t="shared" si="243"/>
        <v>0</v>
      </c>
      <c r="Z177" s="106">
        <f t="shared" ref="Z177:Z187" si="300">ROUNDUP(Y177*6.55%,-1)</f>
        <v>0</v>
      </c>
      <c r="AA177" s="106">
        <f t="shared" si="293"/>
        <v>0</v>
      </c>
      <c r="AB177" s="106">
        <f t="shared" si="294"/>
        <v>0</v>
      </c>
      <c r="AC177" s="107">
        <f t="shared" si="295"/>
        <v>0</v>
      </c>
    </row>
    <row r="178" spans="1:29" s="82" customFormat="1" ht="16.5" customHeight="1">
      <c r="A178" s="1267"/>
      <c r="B178" s="97"/>
      <c r="C178" s="98"/>
      <c r="D178" s="98"/>
      <c r="E178" s="102" t="s">
        <v>275</v>
      </c>
      <c r="F178" s="104"/>
      <c r="G178" s="104"/>
      <c r="H178" s="104"/>
      <c r="I178" s="105"/>
      <c r="J178" s="104">
        <f t="shared" si="296"/>
        <v>0</v>
      </c>
      <c r="K178" s="104">
        <f t="shared" si="272"/>
        <v>0</v>
      </c>
      <c r="L178" s="104">
        <f t="shared" ref="L178:L187" si="301">K178-R178-S178</f>
        <v>0</v>
      </c>
      <c r="M178" s="104"/>
      <c r="N178" s="104"/>
      <c r="O178" s="104"/>
      <c r="P178" s="104"/>
      <c r="Q178" s="104">
        <f t="shared" si="248"/>
        <v>0</v>
      </c>
      <c r="R178" s="104">
        <f t="shared" ref="R178:R186" si="302">Q178*20</f>
        <v>0</v>
      </c>
      <c r="S178" s="104">
        <f t="shared" si="299"/>
        <v>0</v>
      </c>
      <c r="T178" s="105"/>
      <c r="U178" s="100">
        <f t="shared" si="241"/>
        <v>0</v>
      </c>
      <c r="V178" s="130"/>
      <c r="W178" s="134">
        <f t="shared" si="242"/>
        <v>0</v>
      </c>
      <c r="X178" s="106"/>
      <c r="Y178" s="106">
        <f t="shared" si="243"/>
        <v>0</v>
      </c>
      <c r="Z178" s="106">
        <f t="shared" si="300"/>
        <v>0</v>
      </c>
      <c r="AA178" s="106">
        <f t="shared" si="293"/>
        <v>0</v>
      </c>
      <c r="AB178" s="106">
        <f t="shared" si="294"/>
        <v>0</v>
      </c>
      <c r="AC178" s="107">
        <f t="shared" si="295"/>
        <v>0</v>
      </c>
    </row>
    <row r="179" spans="1:29" s="82" customFormat="1" ht="16.5" customHeight="1">
      <c r="A179" s="1267"/>
      <c r="B179" s="97"/>
      <c r="C179" s="171">
        <v>11</v>
      </c>
      <c r="D179" s="171"/>
      <c r="E179" s="172" t="s">
        <v>276</v>
      </c>
      <c r="F179" s="173"/>
      <c r="G179" s="104"/>
      <c r="H179" s="104"/>
      <c r="I179" s="105"/>
      <c r="J179" s="104">
        <f t="shared" si="296"/>
        <v>0</v>
      </c>
      <c r="K179" s="104">
        <f t="shared" si="272"/>
        <v>0</v>
      </c>
      <c r="L179" s="104">
        <f t="shared" si="301"/>
        <v>0</v>
      </c>
      <c r="M179" s="104"/>
      <c r="N179" s="104"/>
      <c r="O179" s="104"/>
      <c r="P179" s="104"/>
      <c r="Q179" s="104">
        <f t="shared" si="248"/>
        <v>0</v>
      </c>
      <c r="R179" s="104">
        <f t="shared" si="302"/>
        <v>0</v>
      </c>
      <c r="S179" s="104">
        <f t="shared" si="299"/>
        <v>0</v>
      </c>
      <c r="T179" s="105"/>
      <c r="U179" s="100">
        <f t="shared" si="241"/>
        <v>0</v>
      </c>
      <c r="V179" s="130"/>
      <c r="W179" s="134">
        <f t="shared" si="242"/>
        <v>0</v>
      </c>
      <c r="X179" s="106"/>
      <c r="Y179" s="106">
        <f t="shared" si="243"/>
        <v>0</v>
      </c>
      <c r="Z179" s="106">
        <f t="shared" si="300"/>
        <v>0</v>
      </c>
      <c r="AA179" s="106">
        <f t="shared" si="293"/>
        <v>0</v>
      </c>
      <c r="AB179" s="106">
        <f t="shared" si="294"/>
        <v>0</v>
      </c>
      <c r="AC179" s="107">
        <f t="shared" si="295"/>
        <v>0</v>
      </c>
    </row>
    <row r="180" spans="1:29" s="82" customFormat="1" ht="16.5" customHeight="1">
      <c r="A180" s="1267"/>
      <c r="B180" s="97"/>
      <c r="C180" s="98"/>
      <c r="D180" s="98"/>
      <c r="E180" s="102" t="s">
        <v>277</v>
      </c>
      <c r="F180" s="104"/>
      <c r="G180" s="104"/>
      <c r="H180" s="104"/>
      <c r="I180" s="105"/>
      <c r="J180" s="104">
        <f t="shared" si="296"/>
        <v>0</v>
      </c>
      <c r="K180" s="104">
        <f t="shared" si="272"/>
        <v>0</v>
      </c>
      <c r="L180" s="104">
        <f t="shared" si="301"/>
        <v>0</v>
      </c>
      <c r="M180" s="104"/>
      <c r="N180" s="104"/>
      <c r="O180" s="104"/>
      <c r="P180" s="104"/>
      <c r="Q180" s="104">
        <f t="shared" si="248"/>
        <v>0</v>
      </c>
      <c r="R180" s="104">
        <f t="shared" si="302"/>
        <v>0</v>
      </c>
      <c r="S180" s="104">
        <f t="shared" si="299"/>
        <v>0</v>
      </c>
      <c r="T180" s="105"/>
      <c r="U180" s="100">
        <f t="shared" si="241"/>
        <v>0</v>
      </c>
      <c r="V180" s="130"/>
      <c r="W180" s="134">
        <f t="shared" si="242"/>
        <v>0</v>
      </c>
      <c r="X180" s="106"/>
      <c r="Y180" s="106">
        <f t="shared" si="243"/>
        <v>0</v>
      </c>
      <c r="Z180" s="106">
        <f t="shared" si="300"/>
        <v>0</v>
      </c>
      <c r="AA180" s="106">
        <f t="shared" si="293"/>
        <v>0</v>
      </c>
      <c r="AB180" s="106">
        <f t="shared" si="294"/>
        <v>0</v>
      </c>
      <c r="AC180" s="107">
        <f t="shared" si="295"/>
        <v>0</v>
      </c>
    </row>
    <row r="181" spans="1:29" s="82" customFormat="1" ht="16.5" customHeight="1">
      <c r="A181" s="1267"/>
      <c r="B181" s="97"/>
      <c r="C181" s="98"/>
      <c r="D181" s="98"/>
      <c r="E181" s="102" t="s">
        <v>278</v>
      </c>
      <c r="F181" s="104"/>
      <c r="G181" s="104"/>
      <c r="H181" s="104"/>
      <c r="I181" s="105"/>
      <c r="J181" s="104">
        <f t="shared" si="296"/>
        <v>0</v>
      </c>
      <c r="K181" s="104">
        <f t="shared" si="272"/>
        <v>0</v>
      </c>
      <c r="L181" s="104">
        <f t="shared" si="301"/>
        <v>0</v>
      </c>
      <c r="M181" s="104"/>
      <c r="N181" s="104"/>
      <c r="O181" s="104"/>
      <c r="P181" s="104"/>
      <c r="Q181" s="104">
        <f t="shared" si="248"/>
        <v>0</v>
      </c>
      <c r="R181" s="104">
        <f t="shared" si="302"/>
        <v>0</v>
      </c>
      <c r="S181" s="104">
        <f t="shared" si="299"/>
        <v>0</v>
      </c>
      <c r="T181" s="105"/>
      <c r="U181" s="100">
        <f t="shared" si="241"/>
        <v>0</v>
      </c>
      <c r="V181" s="130"/>
      <c r="W181" s="134">
        <f t="shared" si="242"/>
        <v>0</v>
      </c>
      <c r="X181" s="106"/>
      <c r="Y181" s="106">
        <f t="shared" si="243"/>
        <v>0</v>
      </c>
      <c r="Z181" s="106">
        <f t="shared" si="300"/>
        <v>0</v>
      </c>
      <c r="AA181" s="106">
        <f t="shared" si="293"/>
        <v>0</v>
      </c>
      <c r="AB181" s="106">
        <f t="shared" si="294"/>
        <v>0</v>
      </c>
      <c r="AC181" s="107">
        <f t="shared" si="295"/>
        <v>0</v>
      </c>
    </row>
    <row r="182" spans="1:29" s="82" customFormat="1" ht="16.5" customHeight="1">
      <c r="A182" s="1267"/>
      <c r="B182" s="97"/>
      <c r="C182" s="98"/>
      <c r="D182" s="98"/>
      <c r="E182" s="102" t="s">
        <v>279</v>
      </c>
      <c r="F182" s="104"/>
      <c r="G182" s="104"/>
      <c r="H182" s="103"/>
      <c r="I182" s="105"/>
      <c r="J182" s="104">
        <f t="shared" si="296"/>
        <v>0</v>
      </c>
      <c r="K182" s="104">
        <f t="shared" si="272"/>
        <v>0</v>
      </c>
      <c r="L182" s="104">
        <f t="shared" si="301"/>
        <v>0</v>
      </c>
      <c r="M182" s="104"/>
      <c r="N182" s="104"/>
      <c r="O182" s="104"/>
      <c r="P182" s="104"/>
      <c r="Q182" s="104">
        <f t="shared" si="248"/>
        <v>0</v>
      </c>
      <c r="R182" s="104">
        <f t="shared" si="302"/>
        <v>0</v>
      </c>
      <c r="S182" s="104">
        <f t="shared" si="299"/>
        <v>0</v>
      </c>
      <c r="T182" s="105"/>
      <c r="U182" s="100">
        <f t="shared" si="241"/>
        <v>0</v>
      </c>
      <c r="V182" s="130"/>
      <c r="W182" s="134">
        <f t="shared" si="242"/>
        <v>0</v>
      </c>
      <c r="X182" s="106"/>
      <c r="Y182" s="106">
        <f t="shared" si="243"/>
        <v>0</v>
      </c>
      <c r="Z182" s="106">
        <f t="shared" si="300"/>
        <v>0</v>
      </c>
      <c r="AA182" s="106">
        <f t="shared" si="293"/>
        <v>0</v>
      </c>
      <c r="AB182" s="106">
        <f t="shared" si="294"/>
        <v>0</v>
      </c>
      <c r="AC182" s="107">
        <f t="shared" si="295"/>
        <v>0</v>
      </c>
    </row>
    <row r="183" spans="1:29" s="82" customFormat="1" ht="16.5" customHeight="1">
      <c r="A183" s="1267"/>
      <c r="B183" s="97"/>
      <c r="C183" s="98"/>
      <c r="D183" s="98"/>
      <c r="E183" s="102" t="s">
        <v>280</v>
      </c>
      <c r="F183" s="104"/>
      <c r="G183" s="104"/>
      <c r="H183" s="104"/>
      <c r="I183" s="105"/>
      <c r="J183" s="104">
        <f t="shared" si="296"/>
        <v>0</v>
      </c>
      <c r="K183" s="104">
        <f t="shared" si="272"/>
        <v>0</v>
      </c>
      <c r="L183" s="104">
        <f t="shared" si="301"/>
        <v>0</v>
      </c>
      <c r="M183" s="104"/>
      <c r="N183" s="104"/>
      <c r="O183" s="104"/>
      <c r="P183" s="104"/>
      <c r="Q183" s="104">
        <f t="shared" si="248"/>
        <v>0</v>
      </c>
      <c r="R183" s="104">
        <f t="shared" si="302"/>
        <v>0</v>
      </c>
      <c r="S183" s="104">
        <f t="shared" si="299"/>
        <v>0</v>
      </c>
      <c r="T183" s="105"/>
      <c r="U183" s="100">
        <f t="shared" si="241"/>
        <v>0</v>
      </c>
      <c r="V183" s="130"/>
      <c r="W183" s="134">
        <f t="shared" si="242"/>
        <v>0</v>
      </c>
      <c r="X183" s="106"/>
      <c r="Y183" s="106">
        <f t="shared" si="243"/>
        <v>0</v>
      </c>
      <c r="Z183" s="106">
        <f t="shared" si="300"/>
        <v>0</v>
      </c>
      <c r="AA183" s="106">
        <f t="shared" si="293"/>
        <v>0</v>
      </c>
      <c r="AB183" s="106">
        <f t="shared" si="294"/>
        <v>0</v>
      </c>
      <c r="AC183" s="107">
        <f t="shared" si="295"/>
        <v>0</v>
      </c>
    </row>
    <row r="184" spans="1:29" s="82" customFormat="1" ht="15.75" customHeight="1">
      <c r="A184" s="1267"/>
      <c r="B184" s="97"/>
      <c r="C184" s="98"/>
      <c r="D184" s="98"/>
      <c r="E184" s="102" t="s">
        <v>54</v>
      </c>
      <c r="F184" s="104"/>
      <c r="G184" s="104"/>
      <c r="H184" s="104"/>
      <c r="I184" s="105"/>
      <c r="J184" s="104">
        <f t="shared" si="296"/>
        <v>0</v>
      </c>
      <c r="K184" s="104">
        <f t="shared" si="272"/>
        <v>0</v>
      </c>
      <c r="L184" s="104">
        <f t="shared" si="301"/>
        <v>0</v>
      </c>
      <c r="M184" s="104">
        <f t="shared" ref="M184" si="303">F184*60%</f>
        <v>0</v>
      </c>
      <c r="N184" s="104"/>
      <c r="O184" s="104"/>
      <c r="P184" s="104"/>
      <c r="Q184" s="104">
        <f t="shared" si="248"/>
        <v>0</v>
      </c>
      <c r="R184" s="104">
        <f t="shared" si="302"/>
        <v>0</v>
      </c>
      <c r="S184" s="104">
        <f t="shared" si="299"/>
        <v>0</v>
      </c>
      <c r="T184" s="105"/>
      <c r="U184" s="100">
        <f t="shared" si="241"/>
        <v>0</v>
      </c>
      <c r="V184" s="130"/>
      <c r="W184" s="134">
        <f t="shared" si="242"/>
        <v>0</v>
      </c>
      <c r="X184" s="106"/>
      <c r="Y184" s="106">
        <f t="shared" si="243"/>
        <v>0</v>
      </c>
      <c r="Z184" s="106">
        <f t="shared" si="300"/>
        <v>0</v>
      </c>
      <c r="AA184" s="106">
        <f t="shared" si="293"/>
        <v>0</v>
      </c>
      <c r="AB184" s="106">
        <f t="shared" si="294"/>
        <v>0</v>
      </c>
      <c r="AC184" s="107">
        <f t="shared" si="295"/>
        <v>0</v>
      </c>
    </row>
    <row r="185" spans="1:29" s="82" customFormat="1" ht="15.75" customHeight="1">
      <c r="A185" s="1267"/>
      <c r="B185" s="97"/>
      <c r="C185" s="98"/>
      <c r="D185" s="98"/>
      <c r="E185" s="102" t="s">
        <v>55</v>
      </c>
      <c r="F185" s="104"/>
      <c r="G185" s="104"/>
      <c r="H185" s="104"/>
      <c r="I185" s="105"/>
      <c r="J185" s="104">
        <f t="shared" si="296"/>
        <v>0</v>
      </c>
      <c r="K185" s="104">
        <f t="shared" si="272"/>
        <v>0</v>
      </c>
      <c r="L185" s="104">
        <f t="shared" si="301"/>
        <v>0</v>
      </c>
      <c r="M185" s="104"/>
      <c r="N185" s="104"/>
      <c r="O185" s="104"/>
      <c r="P185" s="104"/>
      <c r="Q185" s="104">
        <f t="shared" si="248"/>
        <v>0</v>
      </c>
      <c r="R185" s="104">
        <f t="shared" si="302"/>
        <v>0</v>
      </c>
      <c r="S185" s="104">
        <f t="shared" si="299"/>
        <v>0</v>
      </c>
      <c r="T185" s="105"/>
      <c r="U185" s="100">
        <f t="shared" si="241"/>
        <v>0</v>
      </c>
      <c r="V185" s="130"/>
      <c r="W185" s="134">
        <f t="shared" si="242"/>
        <v>0</v>
      </c>
      <c r="X185" s="106"/>
      <c r="Y185" s="106">
        <f t="shared" si="243"/>
        <v>0</v>
      </c>
      <c r="Z185" s="106">
        <f t="shared" si="300"/>
        <v>0</v>
      </c>
      <c r="AA185" s="106">
        <f t="shared" si="293"/>
        <v>0</v>
      </c>
      <c r="AB185" s="106">
        <f t="shared" si="294"/>
        <v>0</v>
      </c>
      <c r="AC185" s="107">
        <f t="shared" si="295"/>
        <v>0</v>
      </c>
    </row>
    <row r="186" spans="1:29" s="82" customFormat="1" ht="15.75" customHeight="1">
      <c r="A186" s="1267"/>
      <c r="B186" s="97"/>
      <c r="C186" s="98"/>
      <c r="D186" s="98"/>
      <c r="E186" s="102" t="s">
        <v>56</v>
      </c>
      <c r="F186" s="104"/>
      <c r="G186" s="104"/>
      <c r="H186" s="104"/>
      <c r="I186" s="105"/>
      <c r="J186" s="104">
        <f t="shared" si="296"/>
        <v>0</v>
      </c>
      <c r="K186" s="104">
        <f t="shared" si="272"/>
        <v>0</v>
      </c>
      <c r="L186" s="104">
        <f t="shared" si="301"/>
        <v>0</v>
      </c>
      <c r="M186" s="104"/>
      <c r="N186" s="104"/>
      <c r="O186" s="104"/>
      <c r="P186" s="104"/>
      <c r="Q186" s="104">
        <f t="shared" si="248"/>
        <v>0</v>
      </c>
      <c r="R186" s="104">
        <f t="shared" si="302"/>
        <v>0</v>
      </c>
      <c r="S186" s="104">
        <f t="shared" si="299"/>
        <v>0</v>
      </c>
      <c r="T186" s="105"/>
      <c r="U186" s="100">
        <f t="shared" si="241"/>
        <v>0</v>
      </c>
      <c r="V186" s="130"/>
      <c r="W186" s="134">
        <f t="shared" si="242"/>
        <v>0</v>
      </c>
      <c r="X186" s="106"/>
      <c r="Y186" s="106">
        <f t="shared" si="243"/>
        <v>0</v>
      </c>
      <c r="Z186" s="106">
        <f t="shared" si="300"/>
        <v>0</v>
      </c>
      <c r="AA186" s="106">
        <f t="shared" si="293"/>
        <v>0</v>
      </c>
      <c r="AB186" s="106">
        <f t="shared" si="294"/>
        <v>0</v>
      </c>
      <c r="AC186" s="107">
        <f t="shared" si="295"/>
        <v>0</v>
      </c>
    </row>
    <row r="187" spans="1:29" s="82" customFormat="1" ht="15.75" customHeight="1">
      <c r="A187" s="1267"/>
      <c r="B187" s="97"/>
      <c r="C187" s="98"/>
      <c r="D187" s="98"/>
      <c r="E187" s="102" t="s">
        <v>281</v>
      </c>
      <c r="F187" s="104"/>
      <c r="G187" s="104"/>
      <c r="H187" s="104"/>
      <c r="I187" s="105"/>
      <c r="J187" s="104">
        <f t="shared" si="296"/>
        <v>0</v>
      </c>
      <c r="K187" s="104">
        <f t="shared" ref="K187" si="304">J187*25*2</f>
        <v>0</v>
      </c>
      <c r="L187" s="104">
        <f t="shared" si="301"/>
        <v>0</v>
      </c>
      <c r="M187" s="104"/>
      <c r="N187" s="104"/>
      <c r="O187" s="104"/>
      <c r="P187" s="104"/>
      <c r="Q187" s="104">
        <f t="shared" si="248"/>
        <v>0</v>
      </c>
      <c r="R187" s="104">
        <f>Q187*20*2</f>
        <v>0</v>
      </c>
      <c r="S187" s="104">
        <f t="shared" ref="S187" si="305">Q187*5*2</f>
        <v>0</v>
      </c>
      <c r="T187" s="105"/>
      <c r="U187" s="100">
        <f t="shared" si="241"/>
        <v>0</v>
      </c>
      <c r="V187" s="130"/>
      <c r="W187" s="134">
        <f t="shared" si="242"/>
        <v>0</v>
      </c>
      <c r="X187" s="106"/>
      <c r="Y187" s="106">
        <f t="shared" si="243"/>
        <v>0</v>
      </c>
      <c r="Z187" s="106">
        <f t="shared" si="300"/>
        <v>0</v>
      </c>
      <c r="AA187" s="106">
        <f t="shared" si="293"/>
        <v>0</v>
      </c>
      <c r="AB187" s="106">
        <f t="shared" si="294"/>
        <v>0</v>
      </c>
      <c r="AC187" s="107">
        <f t="shared" si="295"/>
        <v>0</v>
      </c>
    </row>
    <row r="188" spans="1:29" s="82" customFormat="1" ht="15.75" customHeight="1">
      <c r="A188" s="1267">
        <v>15</v>
      </c>
      <c r="B188" s="97" t="s">
        <v>87</v>
      </c>
      <c r="C188" s="98" t="s">
        <v>523</v>
      </c>
      <c r="D188" s="98">
        <v>1</v>
      </c>
      <c r="E188" s="99" t="s">
        <v>86</v>
      </c>
      <c r="F188" s="100">
        <f t="shared" ref="F188" si="306">SUM(F189:F200)</f>
        <v>0</v>
      </c>
      <c r="G188" s="100">
        <f t="shared" ref="G188:N188" si="307">SUM(G189:G200)</f>
        <v>0</v>
      </c>
      <c r="H188" s="100">
        <f t="shared" si="307"/>
        <v>0</v>
      </c>
      <c r="I188" s="100">
        <f t="shared" ref="I188" si="308">SUM(I189:I200)</f>
        <v>0</v>
      </c>
      <c r="J188" s="100">
        <f t="shared" si="307"/>
        <v>0</v>
      </c>
      <c r="K188" s="100">
        <f t="shared" si="307"/>
        <v>0</v>
      </c>
      <c r="L188" s="100">
        <f t="shared" si="307"/>
        <v>0</v>
      </c>
      <c r="M188" s="100">
        <f t="shared" si="307"/>
        <v>0</v>
      </c>
      <c r="N188" s="100">
        <f t="shared" si="307"/>
        <v>0</v>
      </c>
      <c r="O188" s="100">
        <f t="shared" ref="O188" si="309">SUM(O189:O200)</f>
        <v>0</v>
      </c>
      <c r="P188" s="100"/>
      <c r="Q188" s="100"/>
      <c r="R188" s="100">
        <f>SUM(R189:R200)</f>
        <v>0</v>
      </c>
      <c r="S188" s="100">
        <f>SUM(S189:S200)</f>
        <v>0</v>
      </c>
      <c r="T188" s="100"/>
      <c r="U188" s="100">
        <f t="shared" ref="U188" si="310">SUM(U189:U200)</f>
        <v>0</v>
      </c>
      <c r="V188" s="130"/>
      <c r="W188" s="143">
        <f t="shared" ref="W188:X188" si="311">SUM(W189:W200)</f>
        <v>0</v>
      </c>
      <c r="X188" s="100">
        <f t="shared" si="311"/>
        <v>0</v>
      </c>
      <c r="Y188" s="100">
        <f t="shared" ref="Y188:AB188" si="312">SUM(Y189:Y200)</f>
        <v>0</v>
      </c>
      <c r="Z188" s="100">
        <f t="shared" si="312"/>
        <v>0</v>
      </c>
      <c r="AA188" s="100">
        <f t="shared" si="312"/>
        <v>0</v>
      </c>
      <c r="AB188" s="100">
        <f t="shared" si="312"/>
        <v>0</v>
      </c>
      <c r="AC188" s="101">
        <f>SUM(AC189:AC200)</f>
        <v>0</v>
      </c>
    </row>
    <row r="189" spans="1:29" s="82" customFormat="1" ht="15.75" customHeight="1">
      <c r="A189" s="1267"/>
      <c r="B189" s="97" t="s">
        <v>815</v>
      </c>
      <c r="C189" s="171">
        <v>9</v>
      </c>
      <c r="D189" s="171"/>
      <c r="E189" s="172" t="s">
        <v>273</v>
      </c>
      <c r="F189" s="173"/>
      <c r="G189" s="104"/>
      <c r="H189" s="103"/>
      <c r="I189" s="105"/>
      <c r="J189" s="104"/>
      <c r="K189" s="104"/>
      <c r="L189" s="104"/>
      <c r="M189" s="104">
        <f t="shared" ref="M189" si="313">F189*60%</f>
        <v>0</v>
      </c>
      <c r="N189" s="104"/>
      <c r="O189" s="104"/>
      <c r="P189" s="104"/>
      <c r="Q189" s="104"/>
      <c r="R189" s="104"/>
      <c r="S189" s="104"/>
      <c r="T189" s="105"/>
      <c r="U189" s="100">
        <f t="shared" ref="U189" si="314">SUM(I189,L189)</f>
        <v>0</v>
      </c>
      <c r="V189" s="130"/>
      <c r="W189" s="134">
        <f t="shared" ref="W189:W190" si="315">ROUNDUP(U189*1/12,-1)</f>
        <v>0</v>
      </c>
      <c r="X189" s="106"/>
      <c r="Y189" s="106">
        <f t="shared" ref="Y189" si="316">ROUNDUP((U189-L189)*3.06%,-1)</f>
        <v>0</v>
      </c>
      <c r="Z189" s="106">
        <f>ROUNDUP(Y189*6.55%,-1)</f>
        <v>0</v>
      </c>
      <c r="AA189" s="106">
        <f t="shared" ref="AA189:AA200" si="317">ROUND(U189*0.9%,-1)</f>
        <v>0</v>
      </c>
      <c r="AB189" s="106">
        <f t="shared" ref="AB189:AB200" si="318">ROUND(U189*0.8%,-1)</f>
        <v>0</v>
      </c>
      <c r="AC189" s="107">
        <f t="shared" ref="AC189:AC200" si="319">SUM(W189:AB189)</f>
        <v>0</v>
      </c>
    </row>
    <row r="190" spans="1:29" s="82" customFormat="1" ht="15.75" customHeight="1">
      <c r="A190" s="1267"/>
      <c r="B190" s="97"/>
      <c r="C190" s="98"/>
      <c r="D190" s="98"/>
      <c r="E190" s="102" t="s">
        <v>274</v>
      </c>
      <c r="F190" s="104"/>
      <c r="G190" s="104"/>
      <c r="H190" s="104"/>
      <c r="I190" s="105"/>
      <c r="J190" s="104">
        <f t="shared" ref="J190:J200" si="320">ROUND((F189+I189+T189)*1/209*1.5,-1)</f>
        <v>0</v>
      </c>
      <c r="K190" s="104">
        <f>J190*40</f>
        <v>0</v>
      </c>
      <c r="L190" s="104">
        <f t="shared" ref="L190:L200" si="321">K190-R190</f>
        <v>0</v>
      </c>
      <c r="M190" s="104"/>
      <c r="N190" s="104"/>
      <c r="O190" s="104"/>
      <c r="P190" s="104"/>
      <c r="Q190" s="104">
        <f t="shared" ref="Q190" si="322">ROUND((F189+T189)*1/209*1.5,-1)</f>
        <v>0</v>
      </c>
      <c r="R190" s="104">
        <f>Q190*40</f>
        <v>0</v>
      </c>
      <c r="S190" s="104"/>
      <c r="T190" s="105"/>
      <c r="U190" s="100">
        <f t="shared" si="241"/>
        <v>0</v>
      </c>
      <c r="V190" s="130"/>
      <c r="W190" s="134">
        <f t="shared" si="315"/>
        <v>0</v>
      </c>
      <c r="X190" s="106"/>
      <c r="Y190" s="106">
        <f t="shared" si="243"/>
        <v>0</v>
      </c>
      <c r="Z190" s="106">
        <f t="shared" ref="Z190:Z200" si="323">ROUNDUP(Y190*6.55%,-1)</f>
        <v>0</v>
      </c>
      <c r="AA190" s="106">
        <f t="shared" si="317"/>
        <v>0</v>
      </c>
      <c r="AB190" s="106">
        <f t="shared" si="318"/>
        <v>0</v>
      </c>
      <c r="AC190" s="107">
        <f t="shared" si="319"/>
        <v>0</v>
      </c>
    </row>
    <row r="191" spans="1:29" s="82" customFormat="1" ht="15.75" customHeight="1">
      <c r="A191" s="1267"/>
      <c r="B191" s="97"/>
      <c r="C191" s="98"/>
      <c r="D191" s="98"/>
      <c r="E191" s="102" t="s">
        <v>275</v>
      </c>
      <c r="F191" s="104"/>
      <c r="G191" s="104"/>
      <c r="H191" s="104"/>
      <c r="I191" s="105"/>
      <c r="J191" s="104">
        <f t="shared" si="320"/>
        <v>0</v>
      </c>
      <c r="K191" s="104">
        <f t="shared" ref="K191:K199" si="324">J191*40</f>
        <v>0</v>
      </c>
      <c r="L191" s="104">
        <f t="shared" si="321"/>
        <v>0</v>
      </c>
      <c r="M191" s="104"/>
      <c r="N191" s="104"/>
      <c r="O191" s="104"/>
      <c r="P191" s="104"/>
      <c r="Q191" s="104">
        <f t="shared" si="248"/>
        <v>0</v>
      </c>
      <c r="R191" s="104">
        <f t="shared" ref="R191:R199" si="325">Q191*40</f>
        <v>0</v>
      </c>
      <c r="S191" s="104"/>
      <c r="T191" s="105"/>
      <c r="U191" s="100">
        <f t="shared" si="241"/>
        <v>0</v>
      </c>
      <c r="V191" s="130"/>
      <c r="W191" s="134">
        <f t="shared" si="242"/>
        <v>0</v>
      </c>
      <c r="X191" s="106"/>
      <c r="Y191" s="106">
        <f t="shared" si="243"/>
        <v>0</v>
      </c>
      <c r="Z191" s="106">
        <f t="shared" si="323"/>
        <v>0</v>
      </c>
      <c r="AA191" s="106">
        <f t="shared" si="317"/>
        <v>0</v>
      </c>
      <c r="AB191" s="106">
        <f t="shared" si="318"/>
        <v>0</v>
      </c>
      <c r="AC191" s="107">
        <f t="shared" si="319"/>
        <v>0</v>
      </c>
    </row>
    <row r="192" spans="1:29" s="82" customFormat="1" ht="15.75" customHeight="1">
      <c r="A192" s="1267"/>
      <c r="B192" s="97"/>
      <c r="C192" s="98"/>
      <c r="D192" s="98"/>
      <c r="E192" s="102" t="s">
        <v>276</v>
      </c>
      <c r="F192" s="173"/>
      <c r="G192" s="104"/>
      <c r="H192" s="104"/>
      <c r="I192" s="105"/>
      <c r="J192" s="104">
        <f t="shared" si="320"/>
        <v>0</v>
      </c>
      <c r="K192" s="104">
        <f t="shared" si="324"/>
        <v>0</v>
      </c>
      <c r="L192" s="104">
        <f t="shared" si="321"/>
        <v>0</v>
      </c>
      <c r="M192" s="104"/>
      <c r="N192" s="104"/>
      <c r="O192" s="104"/>
      <c r="P192" s="104"/>
      <c r="Q192" s="104">
        <f t="shared" si="248"/>
        <v>0</v>
      </c>
      <c r="R192" s="104">
        <f t="shared" si="325"/>
        <v>0</v>
      </c>
      <c r="S192" s="104"/>
      <c r="T192" s="105"/>
      <c r="U192" s="100">
        <f t="shared" si="241"/>
        <v>0</v>
      </c>
      <c r="V192" s="130"/>
      <c r="W192" s="134">
        <f t="shared" si="242"/>
        <v>0</v>
      </c>
      <c r="X192" s="106"/>
      <c r="Y192" s="106">
        <f t="shared" si="243"/>
        <v>0</v>
      </c>
      <c r="Z192" s="106">
        <f t="shared" si="323"/>
        <v>0</v>
      </c>
      <c r="AA192" s="106">
        <f t="shared" si="317"/>
        <v>0</v>
      </c>
      <c r="AB192" s="106">
        <f t="shared" si="318"/>
        <v>0</v>
      </c>
      <c r="AC192" s="107">
        <f t="shared" si="319"/>
        <v>0</v>
      </c>
    </row>
    <row r="193" spans="1:29" s="82" customFormat="1" ht="15.75" customHeight="1">
      <c r="A193" s="1267"/>
      <c r="B193" s="97"/>
      <c r="C193" s="98"/>
      <c r="D193" s="98"/>
      <c r="E193" s="102" t="s">
        <v>277</v>
      </c>
      <c r="F193" s="104"/>
      <c r="G193" s="104"/>
      <c r="H193" s="104"/>
      <c r="I193" s="105"/>
      <c r="J193" s="104">
        <f t="shared" si="320"/>
        <v>0</v>
      </c>
      <c r="K193" s="104">
        <f t="shared" si="324"/>
        <v>0</v>
      </c>
      <c r="L193" s="104">
        <f t="shared" si="321"/>
        <v>0</v>
      </c>
      <c r="M193" s="104"/>
      <c r="N193" s="104"/>
      <c r="O193" s="104"/>
      <c r="P193" s="104"/>
      <c r="Q193" s="104">
        <f t="shared" si="248"/>
        <v>0</v>
      </c>
      <c r="R193" s="104">
        <f t="shared" si="325"/>
        <v>0</v>
      </c>
      <c r="S193" s="104"/>
      <c r="T193" s="105"/>
      <c r="U193" s="100">
        <f t="shared" si="241"/>
        <v>0</v>
      </c>
      <c r="V193" s="130"/>
      <c r="W193" s="134">
        <f t="shared" si="242"/>
        <v>0</v>
      </c>
      <c r="X193" s="106"/>
      <c r="Y193" s="106">
        <f t="shared" si="243"/>
        <v>0</v>
      </c>
      <c r="Z193" s="106">
        <f t="shared" si="323"/>
        <v>0</v>
      </c>
      <c r="AA193" s="106">
        <f t="shared" si="317"/>
        <v>0</v>
      </c>
      <c r="AB193" s="106">
        <f t="shared" si="318"/>
        <v>0</v>
      </c>
      <c r="AC193" s="107">
        <f t="shared" si="319"/>
        <v>0</v>
      </c>
    </row>
    <row r="194" spans="1:29" s="82" customFormat="1" ht="15.75" customHeight="1">
      <c r="A194" s="1267"/>
      <c r="B194" s="97"/>
      <c r="C194" s="98"/>
      <c r="D194" s="98"/>
      <c r="E194" s="102" t="s">
        <v>278</v>
      </c>
      <c r="F194" s="104"/>
      <c r="G194" s="104"/>
      <c r="H194" s="104"/>
      <c r="I194" s="105"/>
      <c r="J194" s="104">
        <f t="shared" si="320"/>
        <v>0</v>
      </c>
      <c r="K194" s="104">
        <f t="shared" si="324"/>
        <v>0</v>
      </c>
      <c r="L194" s="104">
        <f t="shared" si="321"/>
        <v>0</v>
      </c>
      <c r="M194" s="104"/>
      <c r="N194" s="104"/>
      <c r="O194" s="104"/>
      <c r="P194" s="104"/>
      <c r="Q194" s="104">
        <f t="shared" si="248"/>
        <v>0</v>
      </c>
      <c r="R194" s="104">
        <f t="shared" si="325"/>
        <v>0</v>
      </c>
      <c r="S194" s="104"/>
      <c r="T194" s="105"/>
      <c r="U194" s="100">
        <f t="shared" si="241"/>
        <v>0</v>
      </c>
      <c r="V194" s="130"/>
      <c r="W194" s="134">
        <f t="shared" si="242"/>
        <v>0</v>
      </c>
      <c r="X194" s="106"/>
      <c r="Y194" s="106">
        <f t="shared" si="243"/>
        <v>0</v>
      </c>
      <c r="Z194" s="106">
        <f t="shared" si="323"/>
        <v>0</v>
      </c>
      <c r="AA194" s="106">
        <f t="shared" si="317"/>
        <v>0</v>
      </c>
      <c r="AB194" s="106">
        <f t="shared" si="318"/>
        <v>0</v>
      </c>
      <c r="AC194" s="107">
        <f t="shared" si="319"/>
        <v>0</v>
      </c>
    </row>
    <row r="195" spans="1:29" s="82" customFormat="1" ht="15.75" customHeight="1">
      <c r="A195" s="1267"/>
      <c r="B195" s="97"/>
      <c r="C195" s="171">
        <v>10</v>
      </c>
      <c r="D195" s="171"/>
      <c r="E195" s="172" t="s">
        <v>279</v>
      </c>
      <c r="F195" s="104"/>
      <c r="G195" s="104"/>
      <c r="H195" s="103"/>
      <c r="I195" s="105"/>
      <c r="J195" s="104">
        <f t="shared" si="320"/>
        <v>0</v>
      </c>
      <c r="K195" s="104">
        <f t="shared" si="324"/>
        <v>0</v>
      </c>
      <c r="L195" s="104">
        <f t="shared" si="321"/>
        <v>0</v>
      </c>
      <c r="M195" s="104"/>
      <c r="N195" s="104"/>
      <c r="O195" s="104"/>
      <c r="P195" s="104"/>
      <c r="Q195" s="104">
        <f t="shared" si="248"/>
        <v>0</v>
      </c>
      <c r="R195" s="104">
        <f t="shared" si="325"/>
        <v>0</v>
      </c>
      <c r="S195" s="104"/>
      <c r="T195" s="105"/>
      <c r="U195" s="100">
        <f t="shared" si="241"/>
        <v>0</v>
      </c>
      <c r="V195" s="130"/>
      <c r="W195" s="134">
        <f t="shared" si="242"/>
        <v>0</v>
      </c>
      <c r="X195" s="106"/>
      <c r="Y195" s="106">
        <f t="shared" si="243"/>
        <v>0</v>
      </c>
      <c r="Z195" s="106">
        <f t="shared" si="323"/>
        <v>0</v>
      </c>
      <c r="AA195" s="106">
        <f t="shared" si="317"/>
        <v>0</v>
      </c>
      <c r="AB195" s="106">
        <f t="shared" si="318"/>
        <v>0</v>
      </c>
      <c r="AC195" s="107">
        <f t="shared" si="319"/>
        <v>0</v>
      </c>
    </row>
    <row r="196" spans="1:29" s="82" customFormat="1" ht="15.75" customHeight="1">
      <c r="A196" s="1267"/>
      <c r="B196" s="97"/>
      <c r="C196" s="98"/>
      <c r="D196" s="98"/>
      <c r="E196" s="102" t="s">
        <v>280</v>
      </c>
      <c r="F196" s="104"/>
      <c r="G196" s="104"/>
      <c r="H196" s="104"/>
      <c r="I196" s="105"/>
      <c r="J196" s="104">
        <f t="shared" si="320"/>
        <v>0</v>
      </c>
      <c r="K196" s="104">
        <f t="shared" si="324"/>
        <v>0</v>
      </c>
      <c r="L196" s="104">
        <f t="shared" si="321"/>
        <v>0</v>
      </c>
      <c r="M196" s="104"/>
      <c r="N196" s="104"/>
      <c r="O196" s="104"/>
      <c r="P196" s="104"/>
      <c r="Q196" s="104">
        <f t="shared" si="248"/>
        <v>0</v>
      </c>
      <c r="R196" s="104">
        <f t="shared" si="325"/>
        <v>0</v>
      </c>
      <c r="S196" s="104"/>
      <c r="T196" s="105"/>
      <c r="U196" s="100">
        <f t="shared" si="241"/>
        <v>0</v>
      </c>
      <c r="V196" s="130"/>
      <c r="W196" s="134">
        <f t="shared" si="242"/>
        <v>0</v>
      </c>
      <c r="X196" s="106"/>
      <c r="Y196" s="106">
        <f t="shared" si="243"/>
        <v>0</v>
      </c>
      <c r="Z196" s="106">
        <f t="shared" si="323"/>
        <v>0</v>
      </c>
      <c r="AA196" s="106">
        <f t="shared" si="317"/>
        <v>0</v>
      </c>
      <c r="AB196" s="106">
        <f t="shared" si="318"/>
        <v>0</v>
      </c>
      <c r="AC196" s="107">
        <f t="shared" si="319"/>
        <v>0</v>
      </c>
    </row>
    <row r="197" spans="1:29" s="82" customFormat="1" ht="15.75" customHeight="1">
      <c r="A197" s="1267"/>
      <c r="B197" s="97"/>
      <c r="C197" s="98"/>
      <c r="D197" s="98"/>
      <c r="E197" s="102" t="s">
        <v>54</v>
      </c>
      <c r="F197" s="104"/>
      <c r="G197" s="104"/>
      <c r="H197" s="104"/>
      <c r="I197" s="105"/>
      <c r="J197" s="104">
        <f t="shared" si="320"/>
        <v>0</v>
      </c>
      <c r="K197" s="104">
        <f t="shared" si="324"/>
        <v>0</v>
      </c>
      <c r="L197" s="104">
        <f t="shared" si="321"/>
        <v>0</v>
      </c>
      <c r="M197" s="104">
        <f t="shared" ref="M197" si="326">F197*60%</f>
        <v>0</v>
      </c>
      <c r="N197" s="104"/>
      <c r="O197" s="104"/>
      <c r="P197" s="104"/>
      <c r="Q197" s="104">
        <f t="shared" si="248"/>
        <v>0</v>
      </c>
      <c r="R197" s="104">
        <f t="shared" si="325"/>
        <v>0</v>
      </c>
      <c r="S197" s="104"/>
      <c r="T197" s="105"/>
      <c r="U197" s="100">
        <f t="shared" si="241"/>
        <v>0</v>
      </c>
      <c r="V197" s="130"/>
      <c r="W197" s="134">
        <f t="shared" si="242"/>
        <v>0</v>
      </c>
      <c r="X197" s="106"/>
      <c r="Y197" s="106">
        <f t="shared" si="243"/>
        <v>0</v>
      </c>
      <c r="Z197" s="106">
        <f t="shared" si="323"/>
        <v>0</v>
      </c>
      <c r="AA197" s="106">
        <f t="shared" si="317"/>
        <v>0</v>
      </c>
      <c r="AB197" s="106">
        <f t="shared" si="318"/>
        <v>0</v>
      </c>
      <c r="AC197" s="107">
        <f t="shared" si="319"/>
        <v>0</v>
      </c>
    </row>
    <row r="198" spans="1:29" s="82" customFormat="1" ht="15.75" customHeight="1">
      <c r="A198" s="1267"/>
      <c r="B198" s="97"/>
      <c r="C198" s="98"/>
      <c r="D198" s="98"/>
      <c r="E198" s="102" t="s">
        <v>55</v>
      </c>
      <c r="F198" s="104"/>
      <c r="G198" s="104"/>
      <c r="H198" s="104"/>
      <c r="I198" s="105"/>
      <c r="J198" s="104">
        <f t="shared" si="320"/>
        <v>0</v>
      </c>
      <c r="K198" s="104">
        <f t="shared" si="324"/>
        <v>0</v>
      </c>
      <c r="L198" s="104">
        <f t="shared" si="321"/>
        <v>0</v>
      </c>
      <c r="M198" s="104"/>
      <c r="N198" s="104"/>
      <c r="O198" s="104"/>
      <c r="P198" s="104"/>
      <c r="Q198" s="104">
        <f t="shared" si="248"/>
        <v>0</v>
      </c>
      <c r="R198" s="104">
        <f t="shared" si="325"/>
        <v>0</v>
      </c>
      <c r="S198" s="104"/>
      <c r="T198" s="105"/>
      <c r="U198" s="100">
        <f t="shared" si="241"/>
        <v>0</v>
      </c>
      <c r="V198" s="130"/>
      <c r="W198" s="134">
        <f t="shared" si="242"/>
        <v>0</v>
      </c>
      <c r="X198" s="106"/>
      <c r="Y198" s="106">
        <f t="shared" si="243"/>
        <v>0</v>
      </c>
      <c r="Z198" s="106">
        <f t="shared" si="323"/>
        <v>0</v>
      </c>
      <c r="AA198" s="106">
        <f t="shared" si="317"/>
        <v>0</v>
      </c>
      <c r="AB198" s="106">
        <f t="shared" si="318"/>
        <v>0</v>
      </c>
      <c r="AC198" s="107">
        <f t="shared" si="319"/>
        <v>0</v>
      </c>
    </row>
    <row r="199" spans="1:29" s="82" customFormat="1" ht="15.75" customHeight="1">
      <c r="A199" s="1267"/>
      <c r="B199" s="97"/>
      <c r="C199" s="98"/>
      <c r="D199" s="98"/>
      <c r="E199" s="102" t="s">
        <v>56</v>
      </c>
      <c r="F199" s="104"/>
      <c r="G199" s="104"/>
      <c r="H199" s="104"/>
      <c r="I199" s="105"/>
      <c r="J199" s="104">
        <f t="shared" si="320"/>
        <v>0</v>
      </c>
      <c r="K199" s="104">
        <f t="shared" si="324"/>
        <v>0</v>
      </c>
      <c r="L199" s="104">
        <f t="shared" si="321"/>
        <v>0</v>
      </c>
      <c r="M199" s="104"/>
      <c r="N199" s="104"/>
      <c r="O199" s="104"/>
      <c r="P199" s="104"/>
      <c r="Q199" s="104">
        <f t="shared" si="248"/>
        <v>0</v>
      </c>
      <c r="R199" s="104">
        <f t="shared" si="325"/>
        <v>0</v>
      </c>
      <c r="S199" s="104"/>
      <c r="T199" s="105"/>
      <c r="U199" s="100">
        <f t="shared" si="241"/>
        <v>0</v>
      </c>
      <c r="V199" s="130"/>
      <c r="W199" s="134">
        <f t="shared" si="242"/>
        <v>0</v>
      </c>
      <c r="X199" s="106"/>
      <c r="Y199" s="106">
        <f t="shared" si="243"/>
        <v>0</v>
      </c>
      <c r="Z199" s="106">
        <f t="shared" si="323"/>
        <v>0</v>
      </c>
      <c r="AA199" s="106">
        <f t="shared" si="317"/>
        <v>0</v>
      </c>
      <c r="AB199" s="106">
        <f t="shared" si="318"/>
        <v>0</v>
      </c>
      <c r="AC199" s="107">
        <f t="shared" si="319"/>
        <v>0</v>
      </c>
    </row>
    <row r="200" spans="1:29" s="82" customFormat="1" ht="15.75" customHeight="1">
      <c r="A200" s="1267"/>
      <c r="B200" s="97"/>
      <c r="C200" s="98"/>
      <c r="D200" s="98"/>
      <c r="E200" s="102" t="s">
        <v>281</v>
      </c>
      <c r="F200" s="104"/>
      <c r="G200" s="104"/>
      <c r="H200" s="104"/>
      <c r="I200" s="105"/>
      <c r="J200" s="104">
        <f t="shared" si="320"/>
        <v>0</v>
      </c>
      <c r="K200" s="104">
        <f>J200*40*2</f>
        <v>0</v>
      </c>
      <c r="L200" s="104">
        <f t="shared" si="321"/>
        <v>0</v>
      </c>
      <c r="M200" s="104"/>
      <c r="N200" s="104"/>
      <c r="O200" s="104"/>
      <c r="P200" s="104"/>
      <c r="Q200" s="104">
        <f t="shared" si="248"/>
        <v>0</v>
      </c>
      <c r="R200" s="104">
        <f>Q200*40*2</f>
        <v>0</v>
      </c>
      <c r="S200" s="104"/>
      <c r="T200" s="105"/>
      <c r="U200" s="100">
        <f t="shared" si="241"/>
        <v>0</v>
      </c>
      <c r="V200" s="130"/>
      <c r="W200" s="134">
        <f t="shared" si="242"/>
        <v>0</v>
      </c>
      <c r="X200" s="106"/>
      <c r="Y200" s="106">
        <f t="shared" si="243"/>
        <v>0</v>
      </c>
      <c r="Z200" s="106">
        <f t="shared" si="323"/>
        <v>0</v>
      </c>
      <c r="AA200" s="106">
        <f t="shared" si="317"/>
        <v>0</v>
      </c>
      <c r="AB200" s="106">
        <f t="shared" si="318"/>
        <v>0</v>
      </c>
      <c r="AC200" s="107">
        <f t="shared" si="319"/>
        <v>0</v>
      </c>
    </row>
    <row r="201" spans="1:29" s="82" customFormat="1" ht="16.5" customHeight="1">
      <c r="A201" s="1267">
        <v>16</v>
      </c>
      <c r="B201" s="97" t="s">
        <v>87</v>
      </c>
      <c r="C201" s="98" t="s">
        <v>523</v>
      </c>
      <c r="D201" s="98">
        <v>1</v>
      </c>
      <c r="E201" s="99" t="s">
        <v>86</v>
      </c>
      <c r="F201" s="100">
        <f t="shared" ref="F201" si="327">SUM(F202:F213)</f>
        <v>0</v>
      </c>
      <c r="G201" s="100">
        <f t="shared" ref="G201:N201" si="328">SUM(G202:G213)</f>
        <v>0</v>
      </c>
      <c r="H201" s="100">
        <f t="shared" si="328"/>
        <v>0</v>
      </c>
      <c r="I201" s="100">
        <f t="shared" ref="I201" si="329">SUM(I202:I213)</f>
        <v>0</v>
      </c>
      <c r="J201" s="100">
        <f t="shared" si="328"/>
        <v>0</v>
      </c>
      <c r="K201" s="100">
        <f t="shared" si="328"/>
        <v>0</v>
      </c>
      <c r="L201" s="100">
        <f t="shared" si="328"/>
        <v>0</v>
      </c>
      <c r="M201" s="100">
        <f t="shared" si="328"/>
        <v>0</v>
      </c>
      <c r="N201" s="100">
        <f t="shared" si="328"/>
        <v>0</v>
      </c>
      <c r="O201" s="100">
        <f t="shared" ref="O201" si="330">SUM(O202:O213)</f>
        <v>0</v>
      </c>
      <c r="P201" s="100"/>
      <c r="Q201" s="100"/>
      <c r="R201" s="100">
        <f t="shared" ref="R201" si="331">SUM(R202:R213)</f>
        <v>0</v>
      </c>
      <c r="S201" s="100">
        <f>SUM(S202:S213)</f>
        <v>0</v>
      </c>
      <c r="T201" s="100"/>
      <c r="U201" s="100">
        <f t="shared" ref="U201" si="332">SUM(U202:U213)</f>
        <v>0</v>
      </c>
      <c r="V201" s="130"/>
      <c r="W201" s="143">
        <f t="shared" ref="W201" si="333">SUM(W202:W213)</f>
        <v>0</v>
      </c>
      <c r="X201" s="100">
        <f t="shared" ref="X201" si="334">SUM(X202:X213)</f>
        <v>0</v>
      </c>
      <c r="Y201" s="100">
        <f t="shared" ref="Y201:AB201" si="335">SUM(Y202:Y213)</f>
        <v>0</v>
      </c>
      <c r="Z201" s="100">
        <f t="shared" si="335"/>
        <v>0</v>
      </c>
      <c r="AA201" s="100">
        <f t="shared" si="335"/>
        <v>0</v>
      </c>
      <c r="AB201" s="100">
        <f t="shared" si="335"/>
        <v>0</v>
      </c>
      <c r="AC201" s="101">
        <f>SUM(AC202:AC213)</f>
        <v>0</v>
      </c>
    </row>
    <row r="202" spans="1:29" s="82" customFormat="1" ht="16.5" customHeight="1">
      <c r="A202" s="1267"/>
      <c r="B202" s="97" t="s">
        <v>444</v>
      </c>
      <c r="C202" s="171">
        <v>9</v>
      </c>
      <c r="D202" s="171"/>
      <c r="E202" s="172" t="s">
        <v>273</v>
      </c>
      <c r="F202" s="173"/>
      <c r="G202" s="104"/>
      <c r="H202" s="103"/>
      <c r="I202" s="105"/>
      <c r="J202" s="104"/>
      <c r="K202" s="104"/>
      <c r="L202" s="104"/>
      <c r="M202" s="104">
        <f t="shared" ref="M202" si="336">F202*60%</f>
        <v>0</v>
      </c>
      <c r="N202" s="104"/>
      <c r="O202" s="104"/>
      <c r="P202" s="104"/>
      <c r="Q202" s="104"/>
      <c r="R202" s="104"/>
      <c r="S202" s="104"/>
      <c r="T202" s="105"/>
      <c r="U202" s="100">
        <f t="shared" ref="U202" si="337">SUM(I202,L202)</f>
        <v>0</v>
      </c>
      <c r="V202" s="130"/>
      <c r="W202" s="134">
        <f t="shared" ref="W202:W203" si="338">ROUNDUP(U202*1/12,-1)</f>
        <v>0</v>
      </c>
      <c r="X202" s="106"/>
      <c r="Y202" s="106">
        <f t="shared" ref="Y202" si="339">ROUNDUP((U202-L202)*3.06%,-1)</f>
        <v>0</v>
      </c>
      <c r="Z202" s="106">
        <f t="shared" ref="Z202:Z213" si="340">ROUNDUP(Y202*6.55%,-1)</f>
        <v>0</v>
      </c>
      <c r="AA202" s="106">
        <f t="shared" ref="AA202:AA213" si="341">ROUND(U202*0.9%,-1)</f>
        <v>0</v>
      </c>
      <c r="AB202" s="106">
        <f t="shared" ref="AB202:AB213" si="342">ROUND(U202*0.8%,-1)</f>
        <v>0</v>
      </c>
      <c r="AC202" s="107">
        <f t="shared" ref="AC202:AC213" si="343">SUM(W202:AB202)</f>
        <v>0</v>
      </c>
    </row>
    <row r="203" spans="1:29" s="82" customFormat="1" ht="16.5" customHeight="1">
      <c r="A203" s="1267"/>
      <c r="B203" s="97"/>
      <c r="C203" s="171">
        <v>10</v>
      </c>
      <c r="D203" s="171"/>
      <c r="E203" s="172" t="s">
        <v>274</v>
      </c>
      <c r="F203" s="104"/>
      <c r="G203" s="104"/>
      <c r="H203" s="104"/>
      <c r="I203" s="105"/>
      <c r="J203" s="104">
        <f t="shared" ref="J203:J213" si="344">ROUND((F202+I202+T202)*1/209*1.5,-1)</f>
        <v>0</v>
      </c>
      <c r="K203" s="104">
        <f>J203*40</f>
        <v>0</v>
      </c>
      <c r="L203" s="104">
        <f t="shared" ref="L203:L213" si="345">K203-R203</f>
        <v>0</v>
      </c>
      <c r="M203" s="104"/>
      <c r="N203" s="104"/>
      <c r="O203" s="104"/>
      <c r="P203" s="104"/>
      <c r="Q203" s="104">
        <f t="shared" ref="Q203" si="346">ROUND((F202+T202)*1/209*1.5,-1)</f>
        <v>0</v>
      </c>
      <c r="R203" s="104">
        <f>Q203*40</f>
        <v>0</v>
      </c>
      <c r="S203" s="104"/>
      <c r="T203" s="105"/>
      <c r="U203" s="100">
        <f t="shared" si="241"/>
        <v>0</v>
      </c>
      <c r="V203" s="130"/>
      <c r="W203" s="134">
        <f t="shared" si="338"/>
        <v>0</v>
      </c>
      <c r="X203" s="106"/>
      <c r="Y203" s="106">
        <f t="shared" si="243"/>
        <v>0</v>
      </c>
      <c r="Z203" s="106">
        <f t="shared" si="340"/>
        <v>0</v>
      </c>
      <c r="AA203" s="106">
        <f t="shared" si="341"/>
        <v>0</v>
      </c>
      <c r="AB203" s="106">
        <f t="shared" si="342"/>
        <v>0</v>
      </c>
      <c r="AC203" s="107">
        <f t="shared" si="343"/>
        <v>0</v>
      </c>
    </row>
    <row r="204" spans="1:29" s="82" customFormat="1" ht="16.5" customHeight="1">
      <c r="A204" s="1267"/>
      <c r="B204" s="97"/>
      <c r="C204" s="98"/>
      <c r="D204" s="98"/>
      <c r="E204" s="102" t="s">
        <v>275</v>
      </c>
      <c r="F204" s="104"/>
      <c r="G204" s="104"/>
      <c r="H204" s="104"/>
      <c r="I204" s="105"/>
      <c r="J204" s="104">
        <f t="shared" si="344"/>
        <v>0</v>
      </c>
      <c r="K204" s="104">
        <f t="shared" ref="K204:K212" si="347">J204*40</f>
        <v>0</v>
      </c>
      <c r="L204" s="104">
        <f t="shared" si="345"/>
        <v>0</v>
      </c>
      <c r="M204" s="104"/>
      <c r="N204" s="104"/>
      <c r="O204" s="104"/>
      <c r="P204" s="104"/>
      <c r="Q204" s="104">
        <f t="shared" si="248"/>
        <v>0</v>
      </c>
      <c r="R204" s="104">
        <f t="shared" ref="R204:R212" si="348">Q204*40</f>
        <v>0</v>
      </c>
      <c r="S204" s="104"/>
      <c r="T204" s="105"/>
      <c r="U204" s="100">
        <f t="shared" si="241"/>
        <v>0</v>
      </c>
      <c r="V204" s="130"/>
      <c r="W204" s="134">
        <f t="shared" si="242"/>
        <v>0</v>
      </c>
      <c r="X204" s="106"/>
      <c r="Y204" s="106">
        <f t="shared" si="243"/>
        <v>0</v>
      </c>
      <c r="Z204" s="106">
        <f t="shared" si="340"/>
        <v>0</v>
      </c>
      <c r="AA204" s="106">
        <f t="shared" si="341"/>
        <v>0</v>
      </c>
      <c r="AB204" s="106">
        <f t="shared" si="342"/>
        <v>0</v>
      </c>
      <c r="AC204" s="107">
        <f t="shared" si="343"/>
        <v>0</v>
      </c>
    </row>
    <row r="205" spans="1:29" s="82" customFormat="1" ht="16.5" customHeight="1">
      <c r="A205" s="1267"/>
      <c r="B205" s="97"/>
      <c r="C205" s="98"/>
      <c r="D205" s="98"/>
      <c r="E205" s="102" t="s">
        <v>276</v>
      </c>
      <c r="F205" s="173"/>
      <c r="G205" s="104"/>
      <c r="H205" s="104"/>
      <c r="I205" s="105"/>
      <c r="J205" s="104">
        <f t="shared" si="344"/>
        <v>0</v>
      </c>
      <c r="K205" s="104">
        <f t="shared" si="347"/>
        <v>0</v>
      </c>
      <c r="L205" s="104">
        <f t="shared" si="345"/>
        <v>0</v>
      </c>
      <c r="M205" s="104"/>
      <c r="N205" s="104"/>
      <c r="O205" s="104"/>
      <c r="P205" s="104"/>
      <c r="Q205" s="104">
        <f t="shared" si="248"/>
        <v>0</v>
      </c>
      <c r="R205" s="104">
        <f t="shared" si="348"/>
        <v>0</v>
      </c>
      <c r="S205" s="104"/>
      <c r="T205" s="105"/>
      <c r="U205" s="100">
        <f t="shared" si="241"/>
        <v>0</v>
      </c>
      <c r="V205" s="130"/>
      <c r="W205" s="134">
        <f t="shared" si="242"/>
        <v>0</v>
      </c>
      <c r="X205" s="106"/>
      <c r="Y205" s="106">
        <f t="shared" si="243"/>
        <v>0</v>
      </c>
      <c r="Z205" s="106">
        <f t="shared" si="340"/>
        <v>0</v>
      </c>
      <c r="AA205" s="106">
        <f t="shared" si="341"/>
        <v>0</v>
      </c>
      <c r="AB205" s="106">
        <f t="shared" si="342"/>
        <v>0</v>
      </c>
      <c r="AC205" s="107">
        <f t="shared" si="343"/>
        <v>0</v>
      </c>
    </row>
    <row r="206" spans="1:29" s="82" customFormat="1" ht="16.5" customHeight="1">
      <c r="A206" s="1267"/>
      <c r="B206" s="97"/>
      <c r="C206" s="98"/>
      <c r="D206" s="98"/>
      <c r="E206" s="102" t="s">
        <v>277</v>
      </c>
      <c r="F206" s="104"/>
      <c r="G206" s="104"/>
      <c r="H206" s="104"/>
      <c r="I206" s="105"/>
      <c r="J206" s="104">
        <f t="shared" si="344"/>
        <v>0</v>
      </c>
      <c r="K206" s="104">
        <f t="shared" si="347"/>
        <v>0</v>
      </c>
      <c r="L206" s="104">
        <f t="shared" si="345"/>
        <v>0</v>
      </c>
      <c r="M206" s="104"/>
      <c r="N206" s="104"/>
      <c r="O206" s="104"/>
      <c r="P206" s="104"/>
      <c r="Q206" s="104">
        <f t="shared" si="248"/>
        <v>0</v>
      </c>
      <c r="R206" s="104">
        <f t="shared" si="348"/>
        <v>0</v>
      </c>
      <c r="S206" s="104"/>
      <c r="T206" s="105"/>
      <c r="U206" s="100">
        <f t="shared" si="241"/>
        <v>0</v>
      </c>
      <c r="V206" s="130"/>
      <c r="W206" s="134">
        <f t="shared" si="242"/>
        <v>0</v>
      </c>
      <c r="X206" s="106"/>
      <c r="Y206" s="106">
        <f t="shared" si="243"/>
        <v>0</v>
      </c>
      <c r="Z206" s="106">
        <f t="shared" si="340"/>
        <v>0</v>
      </c>
      <c r="AA206" s="106">
        <f t="shared" si="341"/>
        <v>0</v>
      </c>
      <c r="AB206" s="106">
        <f t="shared" si="342"/>
        <v>0</v>
      </c>
      <c r="AC206" s="107">
        <f t="shared" si="343"/>
        <v>0</v>
      </c>
    </row>
    <row r="207" spans="1:29" s="82" customFormat="1" ht="16.5" customHeight="1">
      <c r="A207" s="1267"/>
      <c r="B207" s="97"/>
      <c r="C207" s="98"/>
      <c r="D207" s="98"/>
      <c r="E207" s="102" t="s">
        <v>278</v>
      </c>
      <c r="F207" s="104"/>
      <c r="G207" s="104"/>
      <c r="H207" s="104"/>
      <c r="I207" s="105"/>
      <c r="J207" s="104">
        <f t="shared" si="344"/>
        <v>0</v>
      </c>
      <c r="K207" s="104">
        <f t="shared" si="347"/>
        <v>0</v>
      </c>
      <c r="L207" s="104">
        <f t="shared" si="345"/>
        <v>0</v>
      </c>
      <c r="M207" s="104"/>
      <c r="N207" s="104"/>
      <c r="O207" s="104"/>
      <c r="P207" s="104"/>
      <c r="Q207" s="104">
        <f t="shared" si="248"/>
        <v>0</v>
      </c>
      <c r="R207" s="104">
        <f t="shared" si="348"/>
        <v>0</v>
      </c>
      <c r="S207" s="104"/>
      <c r="T207" s="105"/>
      <c r="U207" s="100">
        <f t="shared" si="241"/>
        <v>0</v>
      </c>
      <c r="V207" s="130"/>
      <c r="W207" s="134">
        <f t="shared" si="242"/>
        <v>0</v>
      </c>
      <c r="X207" s="106"/>
      <c r="Y207" s="106">
        <f t="shared" si="243"/>
        <v>0</v>
      </c>
      <c r="Z207" s="106">
        <f t="shared" si="340"/>
        <v>0</v>
      </c>
      <c r="AA207" s="106">
        <f t="shared" si="341"/>
        <v>0</v>
      </c>
      <c r="AB207" s="106">
        <f t="shared" si="342"/>
        <v>0</v>
      </c>
      <c r="AC207" s="107">
        <f t="shared" si="343"/>
        <v>0</v>
      </c>
    </row>
    <row r="208" spans="1:29" s="82" customFormat="1" ht="16.5" customHeight="1">
      <c r="A208" s="1267"/>
      <c r="B208" s="97"/>
      <c r="C208" s="98"/>
      <c r="D208" s="98"/>
      <c r="E208" s="102" t="s">
        <v>279</v>
      </c>
      <c r="F208" s="104"/>
      <c r="G208" s="104"/>
      <c r="H208" s="103"/>
      <c r="I208" s="105"/>
      <c r="J208" s="104">
        <f t="shared" si="344"/>
        <v>0</v>
      </c>
      <c r="K208" s="104">
        <f t="shared" si="347"/>
        <v>0</v>
      </c>
      <c r="L208" s="104">
        <f t="shared" si="345"/>
        <v>0</v>
      </c>
      <c r="M208" s="104"/>
      <c r="N208" s="104"/>
      <c r="O208" s="104"/>
      <c r="P208" s="104"/>
      <c r="Q208" s="104">
        <f t="shared" si="248"/>
        <v>0</v>
      </c>
      <c r="R208" s="104">
        <f t="shared" si="348"/>
        <v>0</v>
      </c>
      <c r="S208" s="104"/>
      <c r="T208" s="105"/>
      <c r="U208" s="100">
        <f t="shared" si="241"/>
        <v>0</v>
      </c>
      <c r="V208" s="130"/>
      <c r="W208" s="134">
        <f t="shared" si="242"/>
        <v>0</v>
      </c>
      <c r="X208" s="106"/>
      <c r="Y208" s="106">
        <f t="shared" si="243"/>
        <v>0</v>
      </c>
      <c r="Z208" s="106">
        <f t="shared" si="340"/>
        <v>0</v>
      </c>
      <c r="AA208" s="106">
        <f t="shared" si="341"/>
        <v>0</v>
      </c>
      <c r="AB208" s="106">
        <f t="shared" si="342"/>
        <v>0</v>
      </c>
      <c r="AC208" s="107">
        <f t="shared" si="343"/>
        <v>0</v>
      </c>
    </row>
    <row r="209" spans="1:29" s="82" customFormat="1" ht="16.5" customHeight="1">
      <c r="A209" s="1267"/>
      <c r="B209" s="97"/>
      <c r="C209" s="98"/>
      <c r="D209" s="98"/>
      <c r="E209" s="102" t="s">
        <v>280</v>
      </c>
      <c r="F209" s="104"/>
      <c r="G209" s="104"/>
      <c r="H209" s="104"/>
      <c r="I209" s="105"/>
      <c r="J209" s="104">
        <f t="shared" si="344"/>
        <v>0</v>
      </c>
      <c r="K209" s="104">
        <f t="shared" si="347"/>
        <v>0</v>
      </c>
      <c r="L209" s="104">
        <f t="shared" si="345"/>
        <v>0</v>
      </c>
      <c r="M209" s="104"/>
      <c r="N209" s="104"/>
      <c r="O209" s="104"/>
      <c r="P209" s="104"/>
      <c r="Q209" s="104">
        <f t="shared" si="248"/>
        <v>0</v>
      </c>
      <c r="R209" s="104">
        <f t="shared" si="348"/>
        <v>0</v>
      </c>
      <c r="S209" s="104"/>
      <c r="T209" s="105"/>
      <c r="U209" s="100">
        <f t="shared" si="241"/>
        <v>0</v>
      </c>
      <c r="V209" s="130"/>
      <c r="W209" s="134">
        <f t="shared" si="242"/>
        <v>0</v>
      </c>
      <c r="X209" s="106"/>
      <c r="Y209" s="106">
        <f t="shared" si="243"/>
        <v>0</v>
      </c>
      <c r="Z209" s="106">
        <f t="shared" si="340"/>
        <v>0</v>
      </c>
      <c r="AA209" s="106">
        <f t="shared" si="341"/>
        <v>0</v>
      </c>
      <c r="AB209" s="106">
        <f t="shared" si="342"/>
        <v>0</v>
      </c>
      <c r="AC209" s="107">
        <f t="shared" si="343"/>
        <v>0</v>
      </c>
    </row>
    <row r="210" spans="1:29" s="82" customFormat="1" ht="16.5" customHeight="1">
      <c r="A210" s="1267"/>
      <c r="B210" s="97"/>
      <c r="C210" s="98"/>
      <c r="D210" s="98"/>
      <c r="E210" s="102" t="s">
        <v>54</v>
      </c>
      <c r="F210" s="104"/>
      <c r="G210" s="104"/>
      <c r="H210" s="104"/>
      <c r="I210" s="105"/>
      <c r="J210" s="104">
        <f t="shared" si="344"/>
        <v>0</v>
      </c>
      <c r="K210" s="104">
        <f t="shared" si="347"/>
        <v>0</v>
      </c>
      <c r="L210" s="104">
        <f t="shared" si="345"/>
        <v>0</v>
      </c>
      <c r="M210" s="104">
        <f t="shared" ref="M210" si="349">F210*60%</f>
        <v>0</v>
      </c>
      <c r="N210" s="104"/>
      <c r="O210" s="104"/>
      <c r="P210" s="104"/>
      <c r="Q210" s="104">
        <f t="shared" si="248"/>
        <v>0</v>
      </c>
      <c r="R210" s="104">
        <f t="shared" si="348"/>
        <v>0</v>
      </c>
      <c r="S210" s="104"/>
      <c r="T210" s="105"/>
      <c r="U210" s="100">
        <f t="shared" si="241"/>
        <v>0</v>
      </c>
      <c r="V210" s="130"/>
      <c r="W210" s="134">
        <f t="shared" si="242"/>
        <v>0</v>
      </c>
      <c r="X210" s="106"/>
      <c r="Y210" s="106">
        <f t="shared" si="243"/>
        <v>0</v>
      </c>
      <c r="Z210" s="106">
        <f t="shared" si="340"/>
        <v>0</v>
      </c>
      <c r="AA210" s="106">
        <f t="shared" si="341"/>
        <v>0</v>
      </c>
      <c r="AB210" s="106">
        <f t="shared" si="342"/>
        <v>0</v>
      </c>
      <c r="AC210" s="107">
        <f t="shared" si="343"/>
        <v>0</v>
      </c>
    </row>
    <row r="211" spans="1:29" s="82" customFormat="1" ht="16.5" customHeight="1">
      <c r="A211" s="1267"/>
      <c r="B211" s="97"/>
      <c r="C211" s="98"/>
      <c r="D211" s="98"/>
      <c r="E211" s="102" t="s">
        <v>55</v>
      </c>
      <c r="F211" s="104"/>
      <c r="G211" s="104"/>
      <c r="H211" s="104"/>
      <c r="I211" s="105"/>
      <c r="J211" s="104">
        <f t="shared" si="344"/>
        <v>0</v>
      </c>
      <c r="K211" s="104">
        <f t="shared" si="347"/>
        <v>0</v>
      </c>
      <c r="L211" s="104">
        <f t="shared" si="345"/>
        <v>0</v>
      </c>
      <c r="M211" s="104"/>
      <c r="N211" s="104"/>
      <c r="O211" s="104"/>
      <c r="P211" s="104"/>
      <c r="Q211" s="104">
        <f t="shared" si="248"/>
        <v>0</v>
      </c>
      <c r="R211" s="104">
        <f t="shared" si="348"/>
        <v>0</v>
      </c>
      <c r="S211" s="104"/>
      <c r="T211" s="105"/>
      <c r="U211" s="100">
        <f t="shared" si="241"/>
        <v>0</v>
      </c>
      <c r="V211" s="130"/>
      <c r="W211" s="134">
        <f t="shared" si="242"/>
        <v>0</v>
      </c>
      <c r="X211" s="106"/>
      <c r="Y211" s="106">
        <f t="shared" si="243"/>
        <v>0</v>
      </c>
      <c r="Z211" s="106">
        <f t="shared" si="340"/>
        <v>0</v>
      </c>
      <c r="AA211" s="106">
        <f t="shared" si="341"/>
        <v>0</v>
      </c>
      <c r="AB211" s="106">
        <f t="shared" si="342"/>
        <v>0</v>
      </c>
      <c r="AC211" s="107">
        <f t="shared" si="343"/>
        <v>0</v>
      </c>
    </row>
    <row r="212" spans="1:29" s="82" customFormat="1" ht="16.5" customHeight="1">
      <c r="A212" s="1267"/>
      <c r="B212" s="97"/>
      <c r="C212" s="98"/>
      <c r="D212" s="98"/>
      <c r="E212" s="102" t="s">
        <v>56</v>
      </c>
      <c r="F212" s="104"/>
      <c r="G212" s="104"/>
      <c r="H212" s="104"/>
      <c r="I212" s="105"/>
      <c r="J212" s="104">
        <f t="shared" si="344"/>
        <v>0</v>
      </c>
      <c r="K212" s="104">
        <f t="shared" si="347"/>
        <v>0</v>
      </c>
      <c r="L212" s="104">
        <f t="shared" si="345"/>
        <v>0</v>
      </c>
      <c r="M212" s="104"/>
      <c r="N212" s="104"/>
      <c r="O212" s="104"/>
      <c r="P212" s="104"/>
      <c r="Q212" s="104">
        <f t="shared" si="248"/>
        <v>0</v>
      </c>
      <c r="R212" s="104">
        <f t="shared" si="348"/>
        <v>0</v>
      </c>
      <c r="S212" s="104"/>
      <c r="T212" s="105"/>
      <c r="U212" s="100">
        <f t="shared" si="241"/>
        <v>0</v>
      </c>
      <c r="V212" s="130"/>
      <c r="W212" s="134">
        <f t="shared" si="242"/>
        <v>0</v>
      </c>
      <c r="X212" s="106"/>
      <c r="Y212" s="106">
        <f t="shared" si="243"/>
        <v>0</v>
      </c>
      <c r="Z212" s="106">
        <f t="shared" si="340"/>
        <v>0</v>
      </c>
      <c r="AA212" s="106">
        <f t="shared" si="341"/>
        <v>0</v>
      </c>
      <c r="AB212" s="106">
        <f t="shared" si="342"/>
        <v>0</v>
      </c>
      <c r="AC212" s="107">
        <f t="shared" si="343"/>
        <v>0</v>
      </c>
    </row>
    <row r="213" spans="1:29" s="82" customFormat="1" ht="16.5" customHeight="1">
      <c r="A213" s="1267"/>
      <c r="B213" s="97"/>
      <c r="C213" s="98"/>
      <c r="D213" s="98"/>
      <c r="E213" s="102" t="s">
        <v>281</v>
      </c>
      <c r="F213" s="104"/>
      <c r="G213" s="104"/>
      <c r="H213" s="104"/>
      <c r="I213" s="105"/>
      <c r="J213" s="104">
        <f t="shared" si="344"/>
        <v>0</v>
      </c>
      <c r="K213" s="104">
        <f>J213*40*2</f>
        <v>0</v>
      </c>
      <c r="L213" s="104">
        <f t="shared" si="345"/>
        <v>0</v>
      </c>
      <c r="M213" s="104"/>
      <c r="N213" s="104"/>
      <c r="O213" s="104"/>
      <c r="P213" s="104"/>
      <c r="Q213" s="104">
        <f t="shared" si="248"/>
        <v>0</v>
      </c>
      <c r="R213" s="104">
        <f>Q213*40*2</f>
        <v>0</v>
      </c>
      <c r="S213" s="104"/>
      <c r="T213" s="105"/>
      <c r="U213" s="100">
        <f t="shared" si="241"/>
        <v>0</v>
      </c>
      <c r="V213" s="130"/>
      <c r="W213" s="134">
        <f t="shared" si="242"/>
        <v>0</v>
      </c>
      <c r="X213" s="106"/>
      <c r="Y213" s="106">
        <f t="shared" si="243"/>
        <v>0</v>
      </c>
      <c r="Z213" s="106">
        <f t="shared" si="340"/>
        <v>0</v>
      </c>
      <c r="AA213" s="106">
        <f t="shared" si="341"/>
        <v>0</v>
      </c>
      <c r="AB213" s="106">
        <f t="shared" si="342"/>
        <v>0</v>
      </c>
      <c r="AC213" s="107">
        <f t="shared" si="343"/>
        <v>0</v>
      </c>
    </row>
    <row r="214" spans="1:29" s="82" customFormat="1" ht="17.25" customHeight="1">
      <c r="A214" s="1267">
        <v>17</v>
      </c>
      <c r="B214" s="97" t="s">
        <v>87</v>
      </c>
      <c r="C214" s="98" t="s">
        <v>714</v>
      </c>
      <c r="D214" s="98">
        <v>1</v>
      </c>
      <c r="E214" s="99" t="s">
        <v>86</v>
      </c>
      <c r="F214" s="100">
        <f t="shared" ref="F214" si="350">SUM(F215:F226)</f>
        <v>0</v>
      </c>
      <c r="G214" s="100">
        <f t="shared" ref="G214:N214" si="351">SUM(G215:G226)</f>
        <v>0</v>
      </c>
      <c r="H214" s="100">
        <f t="shared" si="351"/>
        <v>0</v>
      </c>
      <c r="I214" s="100">
        <f t="shared" ref="I214" si="352">SUM(I215:I226)</f>
        <v>0</v>
      </c>
      <c r="J214" s="100">
        <f t="shared" si="351"/>
        <v>0</v>
      </c>
      <c r="K214" s="100">
        <f t="shared" si="351"/>
        <v>0</v>
      </c>
      <c r="L214" s="100">
        <f t="shared" si="351"/>
        <v>0</v>
      </c>
      <c r="M214" s="100">
        <f t="shared" si="351"/>
        <v>0</v>
      </c>
      <c r="N214" s="100">
        <f t="shared" si="351"/>
        <v>0</v>
      </c>
      <c r="O214" s="100">
        <f t="shared" ref="O214" si="353">SUM(O215:O226)</f>
        <v>0</v>
      </c>
      <c r="P214" s="100"/>
      <c r="Q214" s="100"/>
      <c r="R214" s="100">
        <f t="shared" ref="R214" si="354">SUM(R215:R226)</f>
        <v>0</v>
      </c>
      <c r="S214" s="100">
        <f>SUM(S215:S226)</f>
        <v>0</v>
      </c>
      <c r="T214" s="100"/>
      <c r="U214" s="100">
        <f t="shared" ref="U214" si="355">SUM(U215:U226)</f>
        <v>0</v>
      </c>
      <c r="V214" s="130"/>
      <c r="W214" s="143">
        <f t="shared" ref="W214" si="356">SUM(W215:W226)</f>
        <v>0</v>
      </c>
      <c r="X214" s="100">
        <f t="shared" ref="X214" si="357">SUM(X215:X226)</f>
        <v>0</v>
      </c>
      <c r="Y214" s="100">
        <f t="shared" ref="Y214:AB214" si="358">SUM(Y215:Y226)</f>
        <v>0</v>
      </c>
      <c r="Z214" s="100">
        <f t="shared" si="358"/>
        <v>0</v>
      </c>
      <c r="AA214" s="100">
        <f t="shared" si="358"/>
        <v>0</v>
      </c>
      <c r="AB214" s="100">
        <f t="shared" si="358"/>
        <v>0</v>
      </c>
      <c r="AC214" s="101">
        <f>SUM(AC215:AC226)</f>
        <v>0</v>
      </c>
    </row>
    <row r="215" spans="1:29" s="82" customFormat="1" ht="17.25" customHeight="1">
      <c r="A215" s="1267"/>
      <c r="B215" s="97" t="s">
        <v>816</v>
      </c>
      <c r="C215" s="171">
        <v>12</v>
      </c>
      <c r="D215" s="171"/>
      <c r="E215" s="172" t="s">
        <v>273</v>
      </c>
      <c r="F215" s="173"/>
      <c r="G215" s="104"/>
      <c r="H215" s="103"/>
      <c r="I215" s="105"/>
      <c r="J215" s="104"/>
      <c r="K215" s="104"/>
      <c r="L215" s="104"/>
      <c r="M215" s="104">
        <f t="shared" ref="M215" si="359">F215*60%</f>
        <v>0</v>
      </c>
      <c r="N215" s="104"/>
      <c r="O215" s="104"/>
      <c r="P215" s="104"/>
      <c r="Q215" s="104"/>
      <c r="R215" s="104"/>
      <c r="S215" s="104"/>
      <c r="T215" s="105"/>
      <c r="U215" s="100">
        <f t="shared" ref="U215:U278" si="360">SUM(I215,L215)</f>
        <v>0</v>
      </c>
      <c r="V215" s="130"/>
      <c r="W215" s="134">
        <f t="shared" ref="W215:W278" si="361">ROUNDUP(U215*1/12,-1)</f>
        <v>0</v>
      </c>
      <c r="X215" s="106"/>
      <c r="Y215" s="106">
        <f t="shared" ref="Y215:Y226" si="362">ROUNDUP((U215-L215)*3.06%,-1)</f>
        <v>0</v>
      </c>
      <c r="Z215" s="106">
        <f>ROUNDUP(Y215*6.55%,-1)</f>
        <v>0</v>
      </c>
      <c r="AA215" s="106">
        <f t="shared" ref="AA215:AA226" si="363">ROUND(U215*0.9%,-1)</f>
        <v>0</v>
      </c>
      <c r="AB215" s="106">
        <f t="shared" ref="AB215:AB226" si="364">ROUND(U215*0.8%,-1)</f>
        <v>0</v>
      </c>
      <c r="AC215" s="107">
        <f t="shared" ref="AC215:AC226" si="365">SUM(W215:AB215)</f>
        <v>0</v>
      </c>
    </row>
    <row r="216" spans="1:29" s="82" customFormat="1" ht="17.25" customHeight="1">
      <c r="A216" s="1267"/>
      <c r="B216" s="97"/>
      <c r="C216" s="98"/>
      <c r="D216" s="98"/>
      <c r="E216" s="102" t="s">
        <v>274</v>
      </c>
      <c r="F216" s="104"/>
      <c r="G216" s="104"/>
      <c r="H216" s="104"/>
      <c r="I216" s="105"/>
      <c r="J216" s="104">
        <f t="shared" ref="J216:J226" si="366">ROUND((F215+I215+T215)*1/209*1.5,-1)</f>
        <v>0</v>
      </c>
      <c r="K216" s="104">
        <f>J216*40</f>
        <v>0</v>
      </c>
      <c r="L216" s="104">
        <f t="shared" ref="L216:L226" si="367">K216-R216</f>
        <v>0</v>
      </c>
      <c r="M216" s="104"/>
      <c r="N216" s="104"/>
      <c r="O216" s="104"/>
      <c r="P216" s="104"/>
      <c r="Q216" s="104">
        <f t="shared" ref="Q216:Q278" si="368">ROUND((F215+T215)*1/209*1.5,-1)</f>
        <v>0</v>
      </c>
      <c r="R216" s="104">
        <f>Q216*40</f>
        <v>0</v>
      </c>
      <c r="S216" s="104"/>
      <c r="T216" s="105"/>
      <c r="U216" s="100">
        <f t="shared" si="360"/>
        <v>0</v>
      </c>
      <c r="V216" s="130"/>
      <c r="W216" s="134">
        <f t="shared" si="361"/>
        <v>0</v>
      </c>
      <c r="X216" s="106"/>
      <c r="Y216" s="106">
        <f t="shared" si="362"/>
        <v>0</v>
      </c>
      <c r="Z216" s="106">
        <f t="shared" ref="Z216:Z226" si="369">ROUNDUP(Y216*6.55%,-1)</f>
        <v>0</v>
      </c>
      <c r="AA216" s="106">
        <f t="shared" si="363"/>
        <v>0</v>
      </c>
      <c r="AB216" s="106">
        <f t="shared" si="364"/>
        <v>0</v>
      </c>
      <c r="AC216" s="107">
        <f t="shared" si="365"/>
        <v>0</v>
      </c>
    </row>
    <row r="217" spans="1:29" s="82" customFormat="1" ht="17.25" customHeight="1">
      <c r="A217" s="1267"/>
      <c r="B217" s="97"/>
      <c r="C217" s="98"/>
      <c r="D217" s="98"/>
      <c r="E217" s="102" t="s">
        <v>275</v>
      </c>
      <c r="F217" s="104"/>
      <c r="G217" s="104"/>
      <c r="H217" s="104"/>
      <c r="I217" s="105"/>
      <c r="J217" s="104">
        <f t="shared" si="366"/>
        <v>0</v>
      </c>
      <c r="K217" s="104">
        <f t="shared" ref="K217:K225" si="370">J217*40</f>
        <v>0</v>
      </c>
      <c r="L217" s="104">
        <f t="shared" si="367"/>
        <v>0</v>
      </c>
      <c r="M217" s="104"/>
      <c r="N217" s="104"/>
      <c r="O217" s="104"/>
      <c r="P217" s="104"/>
      <c r="Q217" s="104">
        <f t="shared" si="368"/>
        <v>0</v>
      </c>
      <c r="R217" s="104">
        <f t="shared" ref="R217:R225" si="371">Q217*40</f>
        <v>0</v>
      </c>
      <c r="S217" s="104"/>
      <c r="T217" s="105"/>
      <c r="U217" s="100">
        <f t="shared" si="360"/>
        <v>0</v>
      </c>
      <c r="V217" s="130"/>
      <c r="W217" s="134">
        <f t="shared" si="361"/>
        <v>0</v>
      </c>
      <c r="X217" s="106"/>
      <c r="Y217" s="106">
        <f t="shared" si="362"/>
        <v>0</v>
      </c>
      <c r="Z217" s="106">
        <f t="shared" si="369"/>
        <v>0</v>
      </c>
      <c r="AA217" s="106">
        <f t="shared" si="363"/>
        <v>0</v>
      </c>
      <c r="AB217" s="106">
        <f t="shared" si="364"/>
        <v>0</v>
      </c>
      <c r="AC217" s="107">
        <f t="shared" si="365"/>
        <v>0</v>
      </c>
    </row>
    <row r="218" spans="1:29" s="82" customFormat="1" ht="17.25" customHeight="1">
      <c r="A218" s="1267"/>
      <c r="B218" s="97"/>
      <c r="C218" s="98"/>
      <c r="D218" s="98"/>
      <c r="E218" s="102" t="s">
        <v>276</v>
      </c>
      <c r="F218" s="173"/>
      <c r="G218" s="104"/>
      <c r="H218" s="104"/>
      <c r="I218" s="105"/>
      <c r="J218" s="104">
        <f t="shared" si="366"/>
        <v>0</v>
      </c>
      <c r="K218" s="104">
        <f t="shared" si="370"/>
        <v>0</v>
      </c>
      <c r="L218" s="104">
        <f t="shared" si="367"/>
        <v>0</v>
      </c>
      <c r="M218" s="104"/>
      <c r="N218" s="104"/>
      <c r="O218" s="104"/>
      <c r="P218" s="104"/>
      <c r="Q218" s="104">
        <f t="shared" si="368"/>
        <v>0</v>
      </c>
      <c r="R218" s="104">
        <f t="shared" si="371"/>
        <v>0</v>
      </c>
      <c r="S218" s="104"/>
      <c r="T218" s="105"/>
      <c r="U218" s="100">
        <f t="shared" si="360"/>
        <v>0</v>
      </c>
      <c r="V218" s="130"/>
      <c r="W218" s="134">
        <f t="shared" si="361"/>
        <v>0</v>
      </c>
      <c r="X218" s="106"/>
      <c r="Y218" s="106">
        <f t="shared" si="362"/>
        <v>0</v>
      </c>
      <c r="Z218" s="106">
        <f t="shared" si="369"/>
        <v>0</v>
      </c>
      <c r="AA218" s="106">
        <f t="shared" si="363"/>
        <v>0</v>
      </c>
      <c r="AB218" s="106">
        <f t="shared" si="364"/>
        <v>0</v>
      </c>
      <c r="AC218" s="107">
        <f t="shared" si="365"/>
        <v>0</v>
      </c>
    </row>
    <row r="219" spans="1:29" s="82" customFormat="1" ht="17.25" customHeight="1">
      <c r="A219" s="1267"/>
      <c r="B219" s="97"/>
      <c r="C219" s="98"/>
      <c r="D219" s="98"/>
      <c r="E219" s="102" t="s">
        <v>277</v>
      </c>
      <c r="F219" s="104"/>
      <c r="G219" s="104"/>
      <c r="H219" s="104"/>
      <c r="I219" s="105"/>
      <c r="J219" s="104">
        <f t="shared" si="366"/>
        <v>0</v>
      </c>
      <c r="K219" s="104">
        <f t="shared" si="370"/>
        <v>0</v>
      </c>
      <c r="L219" s="104">
        <f t="shared" si="367"/>
        <v>0</v>
      </c>
      <c r="M219" s="104"/>
      <c r="N219" s="104"/>
      <c r="O219" s="104"/>
      <c r="P219" s="104"/>
      <c r="Q219" s="104">
        <f t="shared" si="368"/>
        <v>0</v>
      </c>
      <c r="R219" s="104">
        <f t="shared" si="371"/>
        <v>0</v>
      </c>
      <c r="S219" s="104"/>
      <c r="T219" s="105"/>
      <c r="U219" s="100">
        <f t="shared" si="360"/>
        <v>0</v>
      </c>
      <c r="V219" s="130"/>
      <c r="W219" s="134">
        <f t="shared" si="361"/>
        <v>0</v>
      </c>
      <c r="X219" s="106"/>
      <c r="Y219" s="106">
        <f t="shared" si="362"/>
        <v>0</v>
      </c>
      <c r="Z219" s="106">
        <f t="shared" si="369"/>
        <v>0</v>
      </c>
      <c r="AA219" s="106">
        <f t="shared" si="363"/>
        <v>0</v>
      </c>
      <c r="AB219" s="106">
        <f t="shared" si="364"/>
        <v>0</v>
      </c>
      <c r="AC219" s="107">
        <f t="shared" si="365"/>
        <v>0</v>
      </c>
    </row>
    <row r="220" spans="1:29" s="82" customFormat="1" ht="17.25" customHeight="1">
      <c r="A220" s="1267"/>
      <c r="B220" s="97"/>
      <c r="C220" s="171">
        <v>13</v>
      </c>
      <c r="D220" s="171"/>
      <c r="E220" s="172" t="s">
        <v>278</v>
      </c>
      <c r="F220" s="104"/>
      <c r="G220" s="104"/>
      <c r="H220" s="104"/>
      <c r="I220" s="105"/>
      <c r="J220" s="104">
        <f t="shared" si="366"/>
        <v>0</v>
      </c>
      <c r="K220" s="104">
        <f t="shared" si="370"/>
        <v>0</v>
      </c>
      <c r="L220" s="104">
        <f t="shared" si="367"/>
        <v>0</v>
      </c>
      <c r="M220" s="104"/>
      <c r="N220" s="104"/>
      <c r="O220" s="104"/>
      <c r="P220" s="104"/>
      <c r="Q220" s="104">
        <f t="shared" si="368"/>
        <v>0</v>
      </c>
      <c r="R220" s="104">
        <f t="shared" si="371"/>
        <v>0</v>
      </c>
      <c r="S220" s="104"/>
      <c r="T220" s="105"/>
      <c r="U220" s="100">
        <f t="shared" si="360"/>
        <v>0</v>
      </c>
      <c r="V220" s="130"/>
      <c r="W220" s="134">
        <f t="shared" si="361"/>
        <v>0</v>
      </c>
      <c r="X220" s="106"/>
      <c r="Y220" s="106">
        <f t="shared" si="362"/>
        <v>0</v>
      </c>
      <c r="Z220" s="106">
        <f t="shared" si="369"/>
        <v>0</v>
      </c>
      <c r="AA220" s="106">
        <f t="shared" si="363"/>
        <v>0</v>
      </c>
      <c r="AB220" s="106">
        <f t="shared" si="364"/>
        <v>0</v>
      </c>
      <c r="AC220" s="107">
        <f t="shared" si="365"/>
        <v>0</v>
      </c>
    </row>
    <row r="221" spans="1:29" s="82" customFormat="1" ht="17.25" customHeight="1">
      <c r="A221" s="1267"/>
      <c r="B221" s="97"/>
      <c r="C221" s="98"/>
      <c r="D221" s="98"/>
      <c r="E221" s="102" t="s">
        <v>279</v>
      </c>
      <c r="F221" s="104"/>
      <c r="G221" s="104"/>
      <c r="H221" s="103"/>
      <c r="I221" s="105"/>
      <c r="J221" s="104">
        <f t="shared" si="366"/>
        <v>0</v>
      </c>
      <c r="K221" s="104">
        <f t="shared" si="370"/>
        <v>0</v>
      </c>
      <c r="L221" s="104">
        <f t="shared" si="367"/>
        <v>0</v>
      </c>
      <c r="M221" s="104"/>
      <c r="N221" s="104"/>
      <c r="O221" s="104"/>
      <c r="P221" s="104"/>
      <c r="Q221" s="104">
        <f t="shared" si="368"/>
        <v>0</v>
      </c>
      <c r="R221" s="104">
        <f t="shared" si="371"/>
        <v>0</v>
      </c>
      <c r="S221" s="104"/>
      <c r="T221" s="105"/>
      <c r="U221" s="100">
        <f t="shared" si="360"/>
        <v>0</v>
      </c>
      <c r="V221" s="130"/>
      <c r="W221" s="134">
        <f t="shared" si="361"/>
        <v>0</v>
      </c>
      <c r="X221" s="106"/>
      <c r="Y221" s="106">
        <f t="shared" si="362"/>
        <v>0</v>
      </c>
      <c r="Z221" s="106">
        <f t="shared" si="369"/>
        <v>0</v>
      </c>
      <c r="AA221" s="106">
        <f t="shared" si="363"/>
        <v>0</v>
      </c>
      <c r="AB221" s="106">
        <f t="shared" si="364"/>
        <v>0</v>
      </c>
      <c r="AC221" s="107">
        <f t="shared" si="365"/>
        <v>0</v>
      </c>
    </row>
    <row r="222" spans="1:29" s="82" customFormat="1" ht="17.25" customHeight="1">
      <c r="A222" s="1267"/>
      <c r="B222" s="97"/>
      <c r="C222" s="98"/>
      <c r="D222" s="98"/>
      <c r="E222" s="102" t="s">
        <v>280</v>
      </c>
      <c r="F222" s="104"/>
      <c r="G222" s="104"/>
      <c r="H222" s="104"/>
      <c r="I222" s="105"/>
      <c r="J222" s="104">
        <f t="shared" si="366"/>
        <v>0</v>
      </c>
      <c r="K222" s="104">
        <f t="shared" si="370"/>
        <v>0</v>
      </c>
      <c r="L222" s="104">
        <f t="shared" si="367"/>
        <v>0</v>
      </c>
      <c r="M222" s="104"/>
      <c r="N222" s="104"/>
      <c r="O222" s="104"/>
      <c r="P222" s="104"/>
      <c r="Q222" s="104">
        <f t="shared" si="368"/>
        <v>0</v>
      </c>
      <c r="R222" s="104">
        <f t="shared" si="371"/>
        <v>0</v>
      </c>
      <c r="S222" s="104"/>
      <c r="T222" s="105"/>
      <c r="U222" s="100">
        <f t="shared" si="360"/>
        <v>0</v>
      </c>
      <c r="V222" s="130"/>
      <c r="W222" s="134">
        <f t="shared" si="361"/>
        <v>0</v>
      </c>
      <c r="X222" s="106"/>
      <c r="Y222" s="106">
        <f t="shared" si="362"/>
        <v>0</v>
      </c>
      <c r="Z222" s="106">
        <f t="shared" si="369"/>
        <v>0</v>
      </c>
      <c r="AA222" s="106">
        <f t="shared" si="363"/>
        <v>0</v>
      </c>
      <c r="AB222" s="106">
        <f t="shared" si="364"/>
        <v>0</v>
      </c>
      <c r="AC222" s="107">
        <f t="shared" si="365"/>
        <v>0</v>
      </c>
    </row>
    <row r="223" spans="1:29" s="82" customFormat="1" ht="17.25" customHeight="1">
      <c r="A223" s="1267"/>
      <c r="B223" s="97"/>
      <c r="C223" s="98"/>
      <c r="D223" s="98"/>
      <c r="E223" s="102" t="s">
        <v>54</v>
      </c>
      <c r="F223" s="104"/>
      <c r="G223" s="104"/>
      <c r="H223" s="104"/>
      <c r="I223" s="105"/>
      <c r="J223" s="104">
        <f t="shared" si="366"/>
        <v>0</v>
      </c>
      <c r="K223" s="104">
        <f t="shared" si="370"/>
        <v>0</v>
      </c>
      <c r="L223" s="104">
        <f t="shared" si="367"/>
        <v>0</v>
      </c>
      <c r="M223" s="104">
        <f t="shared" ref="M223" si="372">F223*60%</f>
        <v>0</v>
      </c>
      <c r="N223" s="104"/>
      <c r="O223" s="104"/>
      <c r="P223" s="104"/>
      <c r="Q223" s="104">
        <f t="shared" si="368"/>
        <v>0</v>
      </c>
      <c r="R223" s="104">
        <f t="shared" si="371"/>
        <v>0</v>
      </c>
      <c r="S223" s="104"/>
      <c r="T223" s="105"/>
      <c r="U223" s="100">
        <f t="shared" si="360"/>
        <v>0</v>
      </c>
      <c r="V223" s="130"/>
      <c r="W223" s="134">
        <f t="shared" si="361"/>
        <v>0</v>
      </c>
      <c r="X223" s="106"/>
      <c r="Y223" s="106">
        <f t="shared" si="362"/>
        <v>0</v>
      </c>
      <c r="Z223" s="106">
        <f t="shared" si="369"/>
        <v>0</v>
      </c>
      <c r="AA223" s="106">
        <f t="shared" si="363"/>
        <v>0</v>
      </c>
      <c r="AB223" s="106">
        <f t="shared" si="364"/>
        <v>0</v>
      </c>
      <c r="AC223" s="107">
        <f t="shared" si="365"/>
        <v>0</v>
      </c>
    </row>
    <row r="224" spans="1:29" s="82" customFormat="1" ht="17.25" customHeight="1">
      <c r="A224" s="1267"/>
      <c r="B224" s="97"/>
      <c r="C224" s="98"/>
      <c r="D224" s="98"/>
      <c r="E224" s="102" t="s">
        <v>55</v>
      </c>
      <c r="F224" s="104"/>
      <c r="G224" s="104"/>
      <c r="H224" s="104"/>
      <c r="I224" s="105"/>
      <c r="J224" s="104">
        <f t="shared" si="366"/>
        <v>0</v>
      </c>
      <c r="K224" s="104">
        <f t="shared" si="370"/>
        <v>0</v>
      </c>
      <c r="L224" s="104">
        <f t="shared" si="367"/>
        <v>0</v>
      </c>
      <c r="M224" s="104"/>
      <c r="N224" s="104"/>
      <c r="O224" s="104"/>
      <c r="P224" s="104"/>
      <c r="Q224" s="104">
        <f t="shared" si="368"/>
        <v>0</v>
      </c>
      <c r="R224" s="104">
        <f t="shared" si="371"/>
        <v>0</v>
      </c>
      <c r="S224" s="104"/>
      <c r="T224" s="105"/>
      <c r="U224" s="100">
        <f t="shared" si="360"/>
        <v>0</v>
      </c>
      <c r="V224" s="130"/>
      <c r="W224" s="134">
        <f t="shared" si="361"/>
        <v>0</v>
      </c>
      <c r="X224" s="106"/>
      <c r="Y224" s="106">
        <f t="shared" si="362"/>
        <v>0</v>
      </c>
      <c r="Z224" s="106">
        <f t="shared" si="369"/>
        <v>0</v>
      </c>
      <c r="AA224" s="106">
        <f t="shared" si="363"/>
        <v>0</v>
      </c>
      <c r="AB224" s="106">
        <f t="shared" si="364"/>
        <v>0</v>
      </c>
      <c r="AC224" s="107">
        <f t="shared" si="365"/>
        <v>0</v>
      </c>
    </row>
    <row r="225" spans="1:29" s="82" customFormat="1" ht="17.25" customHeight="1">
      <c r="A225" s="1267"/>
      <c r="B225" s="97"/>
      <c r="C225" s="98"/>
      <c r="D225" s="98"/>
      <c r="E225" s="102" t="s">
        <v>56</v>
      </c>
      <c r="F225" s="104"/>
      <c r="G225" s="104"/>
      <c r="H225" s="104"/>
      <c r="I225" s="105"/>
      <c r="J225" s="104">
        <f t="shared" si="366"/>
        <v>0</v>
      </c>
      <c r="K225" s="104">
        <f t="shared" si="370"/>
        <v>0</v>
      </c>
      <c r="L225" s="104">
        <f t="shared" si="367"/>
        <v>0</v>
      </c>
      <c r="M225" s="104"/>
      <c r="N225" s="104"/>
      <c r="O225" s="104"/>
      <c r="P225" s="104"/>
      <c r="Q225" s="104">
        <f t="shared" si="368"/>
        <v>0</v>
      </c>
      <c r="R225" s="104">
        <f t="shared" si="371"/>
        <v>0</v>
      </c>
      <c r="S225" s="104"/>
      <c r="T225" s="105"/>
      <c r="U225" s="100">
        <f t="shared" si="360"/>
        <v>0</v>
      </c>
      <c r="V225" s="130"/>
      <c r="W225" s="134">
        <f t="shared" si="361"/>
        <v>0</v>
      </c>
      <c r="X225" s="106"/>
      <c r="Y225" s="106">
        <f t="shared" si="362"/>
        <v>0</v>
      </c>
      <c r="Z225" s="106">
        <f t="shared" si="369"/>
        <v>0</v>
      </c>
      <c r="AA225" s="106">
        <f t="shared" si="363"/>
        <v>0</v>
      </c>
      <c r="AB225" s="106">
        <f t="shared" si="364"/>
        <v>0</v>
      </c>
      <c r="AC225" s="107">
        <f t="shared" si="365"/>
        <v>0</v>
      </c>
    </row>
    <row r="226" spans="1:29" s="82" customFormat="1" ht="17.25" customHeight="1">
      <c r="A226" s="1267"/>
      <c r="B226" s="97"/>
      <c r="C226" s="98"/>
      <c r="D226" s="98"/>
      <c r="E226" s="102" t="s">
        <v>281</v>
      </c>
      <c r="F226" s="104"/>
      <c r="G226" s="104"/>
      <c r="H226" s="104"/>
      <c r="I226" s="105"/>
      <c r="J226" s="104">
        <f t="shared" si="366"/>
        <v>0</v>
      </c>
      <c r="K226" s="104">
        <f>J226*40*2</f>
        <v>0</v>
      </c>
      <c r="L226" s="104">
        <f t="shared" si="367"/>
        <v>0</v>
      </c>
      <c r="M226" s="104"/>
      <c r="N226" s="104"/>
      <c r="O226" s="104"/>
      <c r="P226" s="104"/>
      <c r="Q226" s="104">
        <f t="shared" si="368"/>
        <v>0</v>
      </c>
      <c r="R226" s="104">
        <f>Q226*40*2</f>
        <v>0</v>
      </c>
      <c r="S226" s="104"/>
      <c r="T226" s="105"/>
      <c r="U226" s="100">
        <f t="shared" si="360"/>
        <v>0</v>
      </c>
      <c r="V226" s="130"/>
      <c r="W226" s="134">
        <f t="shared" si="361"/>
        <v>0</v>
      </c>
      <c r="X226" s="106"/>
      <c r="Y226" s="106">
        <f t="shared" si="362"/>
        <v>0</v>
      </c>
      <c r="Z226" s="106">
        <f t="shared" si="369"/>
        <v>0</v>
      </c>
      <c r="AA226" s="106">
        <f t="shared" si="363"/>
        <v>0</v>
      </c>
      <c r="AB226" s="106">
        <f t="shared" si="364"/>
        <v>0</v>
      </c>
      <c r="AC226" s="107">
        <f t="shared" si="365"/>
        <v>0</v>
      </c>
    </row>
    <row r="227" spans="1:29" s="82" customFormat="1" ht="16.5" customHeight="1">
      <c r="A227" s="1267">
        <v>18</v>
      </c>
      <c r="B227" s="97" t="s">
        <v>87</v>
      </c>
      <c r="C227" s="98" t="s">
        <v>434</v>
      </c>
      <c r="D227" s="98">
        <v>1</v>
      </c>
      <c r="E227" s="99" t="s">
        <v>86</v>
      </c>
      <c r="F227" s="100">
        <f t="shared" ref="F227" si="373">SUM(F228:F239)</f>
        <v>0</v>
      </c>
      <c r="G227" s="100">
        <f t="shared" ref="G227:N227" si="374">SUM(G228:G239)</f>
        <v>0</v>
      </c>
      <c r="H227" s="100">
        <f t="shared" si="374"/>
        <v>0</v>
      </c>
      <c r="I227" s="100">
        <f t="shared" ref="I227" si="375">SUM(I228:I239)</f>
        <v>0</v>
      </c>
      <c r="J227" s="100">
        <f t="shared" si="374"/>
        <v>0</v>
      </c>
      <c r="K227" s="100">
        <f t="shared" si="374"/>
        <v>0</v>
      </c>
      <c r="L227" s="100">
        <f t="shared" si="374"/>
        <v>0</v>
      </c>
      <c r="M227" s="100">
        <f t="shared" si="374"/>
        <v>0</v>
      </c>
      <c r="N227" s="100">
        <f t="shared" si="374"/>
        <v>0</v>
      </c>
      <c r="O227" s="100">
        <f t="shared" ref="O227" si="376">SUM(O228:O239)</f>
        <v>0</v>
      </c>
      <c r="P227" s="100"/>
      <c r="Q227" s="100"/>
      <c r="R227" s="100">
        <f t="shared" ref="R227" si="377">SUM(R228:R239)</f>
        <v>0</v>
      </c>
      <c r="S227" s="100">
        <f>SUM(S228:S239)</f>
        <v>0</v>
      </c>
      <c r="T227" s="100"/>
      <c r="U227" s="100">
        <f t="shared" ref="U227" si="378">SUM(U228:U239)</f>
        <v>0</v>
      </c>
      <c r="V227" s="130"/>
      <c r="W227" s="143">
        <f t="shared" ref="W227" si="379">SUM(W228:W239)</f>
        <v>0</v>
      </c>
      <c r="X227" s="100">
        <f t="shared" ref="X227" si="380">SUM(X228:X239)</f>
        <v>0</v>
      </c>
      <c r="Y227" s="100">
        <f t="shared" ref="Y227:AB227" si="381">SUM(Y228:Y239)</f>
        <v>0</v>
      </c>
      <c r="Z227" s="100">
        <f t="shared" si="381"/>
        <v>0</v>
      </c>
      <c r="AA227" s="100">
        <f t="shared" si="381"/>
        <v>0</v>
      </c>
      <c r="AB227" s="100">
        <f t="shared" si="381"/>
        <v>0</v>
      </c>
      <c r="AC227" s="101">
        <f>SUM(AC228:AC239)</f>
        <v>0</v>
      </c>
    </row>
    <row r="228" spans="1:29" s="82" customFormat="1" ht="16.5" customHeight="1">
      <c r="A228" s="1267"/>
      <c r="B228" s="97" t="s">
        <v>445</v>
      </c>
      <c r="C228" s="171">
        <v>7</v>
      </c>
      <c r="D228" s="171"/>
      <c r="E228" s="172" t="s">
        <v>273</v>
      </c>
      <c r="F228" s="173"/>
      <c r="G228" s="104"/>
      <c r="H228" s="103"/>
      <c r="I228" s="105"/>
      <c r="J228" s="104"/>
      <c r="K228" s="104"/>
      <c r="L228" s="104"/>
      <c r="M228" s="104">
        <f t="shared" ref="M228" si="382">F228*60%</f>
        <v>0</v>
      </c>
      <c r="N228" s="104"/>
      <c r="O228" s="104"/>
      <c r="P228" s="104"/>
      <c r="Q228" s="104"/>
      <c r="R228" s="104"/>
      <c r="S228" s="104"/>
      <c r="T228" s="105"/>
      <c r="U228" s="100">
        <f t="shared" ref="U228" si="383">SUM(I228,L228)</f>
        <v>0</v>
      </c>
      <c r="V228" s="130"/>
      <c r="W228" s="134">
        <f t="shared" ref="W228:W229" si="384">ROUNDUP(U228*1/12,-1)</f>
        <v>0</v>
      </c>
      <c r="X228" s="106"/>
      <c r="Y228" s="106">
        <f t="shared" ref="Y228:Y239" si="385">ROUNDUP((U228-L228)*3.06%,-1)</f>
        <v>0</v>
      </c>
      <c r="Z228" s="106">
        <f>ROUNDUP(Y228*6.55%,-1)</f>
        <v>0</v>
      </c>
      <c r="AA228" s="106">
        <f t="shared" ref="AA228:AA239" si="386">ROUND(U228*0.9%,-1)</f>
        <v>0</v>
      </c>
      <c r="AB228" s="106">
        <f t="shared" ref="AB228:AB239" si="387">ROUND(U228*0.8%,-1)</f>
        <v>0</v>
      </c>
      <c r="AC228" s="107">
        <f t="shared" ref="AC228:AC239" si="388">SUM(W228:AB228)</f>
        <v>0</v>
      </c>
    </row>
    <row r="229" spans="1:29" s="82" customFormat="1" ht="16.5" customHeight="1">
      <c r="A229" s="1267"/>
      <c r="B229" s="97"/>
      <c r="C229" s="98"/>
      <c r="D229" s="98"/>
      <c r="E229" s="102" t="s">
        <v>274</v>
      </c>
      <c r="F229" s="104"/>
      <c r="G229" s="104"/>
      <c r="H229" s="104"/>
      <c r="I229" s="105"/>
      <c r="J229" s="104">
        <f t="shared" ref="J229:J239" si="389">ROUND((F228+I228+T228)*1/209*1.5,-1)</f>
        <v>0</v>
      </c>
      <c r="K229" s="104">
        <f t="shared" ref="K229:K238" si="390">J229*25</f>
        <v>0</v>
      </c>
      <c r="L229" s="104">
        <f t="shared" ref="L229:L239" si="391">K229-R229-S229</f>
        <v>0</v>
      </c>
      <c r="M229" s="104"/>
      <c r="N229" s="104"/>
      <c r="O229" s="104"/>
      <c r="P229" s="104"/>
      <c r="Q229" s="104">
        <f t="shared" ref="Q229" si="392">ROUND((F228+T228)*1/209*1.5,-1)</f>
        <v>0</v>
      </c>
      <c r="R229" s="104">
        <f>Q229*20</f>
        <v>0</v>
      </c>
      <c r="S229" s="104">
        <f>Q229*5</f>
        <v>0</v>
      </c>
      <c r="T229" s="105"/>
      <c r="U229" s="100">
        <f t="shared" si="360"/>
        <v>0</v>
      </c>
      <c r="V229" s="130"/>
      <c r="W229" s="134">
        <f t="shared" si="384"/>
        <v>0</v>
      </c>
      <c r="X229" s="106"/>
      <c r="Y229" s="106">
        <f t="shared" si="385"/>
        <v>0</v>
      </c>
      <c r="Z229" s="106">
        <f t="shared" ref="Z229:Z239" si="393">ROUNDUP(Y229*6.55%,-1)</f>
        <v>0</v>
      </c>
      <c r="AA229" s="106">
        <f t="shared" si="386"/>
        <v>0</v>
      </c>
      <c r="AB229" s="106">
        <f t="shared" si="387"/>
        <v>0</v>
      </c>
      <c r="AC229" s="107">
        <f t="shared" si="388"/>
        <v>0</v>
      </c>
    </row>
    <row r="230" spans="1:29" s="82" customFormat="1" ht="16.5" customHeight="1">
      <c r="A230" s="1267"/>
      <c r="B230" s="97"/>
      <c r="C230" s="98"/>
      <c r="D230" s="98"/>
      <c r="E230" s="102" t="s">
        <v>275</v>
      </c>
      <c r="F230" s="104"/>
      <c r="G230" s="104"/>
      <c r="H230" s="104"/>
      <c r="I230" s="105"/>
      <c r="J230" s="104">
        <f t="shared" si="389"/>
        <v>0</v>
      </c>
      <c r="K230" s="104">
        <f t="shared" si="390"/>
        <v>0</v>
      </c>
      <c r="L230" s="104">
        <f t="shared" si="391"/>
        <v>0</v>
      </c>
      <c r="M230" s="104"/>
      <c r="N230" s="104"/>
      <c r="O230" s="104"/>
      <c r="P230" s="104"/>
      <c r="Q230" s="104">
        <f t="shared" si="368"/>
        <v>0</v>
      </c>
      <c r="R230" s="104">
        <f t="shared" ref="R230:R238" si="394">Q230*20</f>
        <v>0</v>
      </c>
      <c r="S230" s="104">
        <f t="shared" ref="S230:S238" si="395">Q230*5</f>
        <v>0</v>
      </c>
      <c r="T230" s="105"/>
      <c r="U230" s="100">
        <f t="shared" si="360"/>
        <v>0</v>
      </c>
      <c r="V230" s="130"/>
      <c r="W230" s="134">
        <f t="shared" si="361"/>
        <v>0</v>
      </c>
      <c r="X230" s="106"/>
      <c r="Y230" s="106">
        <f t="shared" si="385"/>
        <v>0</v>
      </c>
      <c r="Z230" s="106">
        <f t="shared" si="393"/>
        <v>0</v>
      </c>
      <c r="AA230" s="106">
        <f t="shared" si="386"/>
        <v>0</v>
      </c>
      <c r="AB230" s="106">
        <f t="shared" si="387"/>
        <v>0</v>
      </c>
      <c r="AC230" s="107">
        <f t="shared" si="388"/>
        <v>0</v>
      </c>
    </row>
    <row r="231" spans="1:29" s="82" customFormat="1" ht="16.5" customHeight="1">
      <c r="A231" s="1267"/>
      <c r="B231" s="97"/>
      <c r="C231" s="98"/>
      <c r="D231" s="98"/>
      <c r="E231" s="102" t="s">
        <v>276</v>
      </c>
      <c r="F231" s="173"/>
      <c r="G231" s="104"/>
      <c r="H231" s="104"/>
      <c r="I231" s="105"/>
      <c r="J231" s="104">
        <f t="shared" si="389"/>
        <v>0</v>
      </c>
      <c r="K231" s="104">
        <f t="shared" si="390"/>
        <v>0</v>
      </c>
      <c r="L231" s="104">
        <f t="shared" si="391"/>
        <v>0</v>
      </c>
      <c r="M231" s="104"/>
      <c r="N231" s="104"/>
      <c r="O231" s="104"/>
      <c r="P231" s="104"/>
      <c r="Q231" s="104">
        <f t="shared" si="368"/>
        <v>0</v>
      </c>
      <c r="R231" s="104">
        <f t="shared" si="394"/>
        <v>0</v>
      </c>
      <c r="S231" s="104">
        <f t="shared" si="395"/>
        <v>0</v>
      </c>
      <c r="T231" s="105"/>
      <c r="U231" s="100">
        <f t="shared" si="360"/>
        <v>0</v>
      </c>
      <c r="V231" s="130"/>
      <c r="W231" s="134">
        <f t="shared" si="361"/>
        <v>0</v>
      </c>
      <c r="X231" s="106"/>
      <c r="Y231" s="106">
        <f t="shared" si="385"/>
        <v>0</v>
      </c>
      <c r="Z231" s="106">
        <f t="shared" si="393"/>
        <v>0</v>
      </c>
      <c r="AA231" s="106">
        <f t="shared" si="386"/>
        <v>0</v>
      </c>
      <c r="AB231" s="106">
        <f t="shared" si="387"/>
        <v>0</v>
      </c>
      <c r="AC231" s="107">
        <f t="shared" si="388"/>
        <v>0</v>
      </c>
    </row>
    <row r="232" spans="1:29" s="82" customFormat="1" ht="16.5" customHeight="1">
      <c r="A232" s="1267"/>
      <c r="B232" s="97"/>
      <c r="C232" s="171">
        <v>8</v>
      </c>
      <c r="D232" s="171"/>
      <c r="E232" s="172" t="s">
        <v>277</v>
      </c>
      <c r="F232" s="104"/>
      <c r="G232" s="104"/>
      <c r="H232" s="104"/>
      <c r="I232" s="105"/>
      <c r="J232" s="104">
        <f t="shared" si="389"/>
        <v>0</v>
      </c>
      <c r="K232" s="104">
        <f t="shared" si="390"/>
        <v>0</v>
      </c>
      <c r="L232" s="104">
        <f t="shared" si="391"/>
        <v>0</v>
      </c>
      <c r="M232" s="104"/>
      <c r="N232" s="104"/>
      <c r="O232" s="104"/>
      <c r="P232" s="104"/>
      <c r="Q232" s="104">
        <f t="shared" si="368"/>
        <v>0</v>
      </c>
      <c r="R232" s="104">
        <f t="shared" si="394"/>
        <v>0</v>
      </c>
      <c r="S232" s="104">
        <f t="shared" si="395"/>
        <v>0</v>
      </c>
      <c r="T232" s="105"/>
      <c r="U232" s="100">
        <f t="shared" si="360"/>
        <v>0</v>
      </c>
      <c r="V232" s="130"/>
      <c r="W232" s="134">
        <f t="shared" si="361"/>
        <v>0</v>
      </c>
      <c r="X232" s="106"/>
      <c r="Y232" s="106">
        <f t="shared" si="385"/>
        <v>0</v>
      </c>
      <c r="Z232" s="106">
        <f t="shared" si="393"/>
        <v>0</v>
      </c>
      <c r="AA232" s="106">
        <f t="shared" si="386"/>
        <v>0</v>
      </c>
      <c r="AB232" s="106">
        <f t="shared" si="387"/>
        <v>0</v>
      </c>
      <c r="AC232" s="107">
        <f t="shared" si="388"/>
        <v>0</v>
      </c>
    </row>
    <row r="233" spans="1:29" s="82" customFormat="1" ht="16.5" customHeight="1">
      <c r="A233" s="1267"/>
      <c r="B233" s="97"/>
      <c r="C233" s="98"/>
      <c r="D233" s="98"/>
      <c r="E233" s="102" t="s">
        <v>278</v>
      </c>
      <c r="F233" s="104"/>
      <c r="G233" s="104"/>
      <c r="H233" s="104"/>
      <c r="I233" s="105"/>
      <c r="J233" s="104">
        <f t="shared" si="389"/>
        <v>0</v>
      </c>
      <c r="K233" s="104">
        <f t="shared" si="390"/>
        <v>0</v>
      </c>
      <c r="L233" s="104">
        <f t="shared" si="391"/>
        <v>0</v>
      </c>
      <c r="M233" s="104"/>
      <c r="N233" s="104"/>
      <c r="O233" s="104"/>
      <c r="P233" s="104"/>
      <c r="Q233" s="104">
        <f t="shared" si="368"/>
        <v>0</v>
      </c>
      <c r="R233" s="104">
        <f t="shared" si="394"/>
        <v>0</v>
      </c>
      <c r="S233" s="104">
        <f t="shared" si="395"/>
        <v>0</v>
      </c>
      <c r="T233" s="105"/>
      <c r="U233" s="100">
        <f t="shared" si="360"/>
        <v>0</v>
      </c>
      <c r="V233" s="130"/>
      <c r="W233" s="134">
        <f t="shared" si="361"/>
        <v>0</v>
      </c>
      <c r="X233" s="106"/>
      <c r="Y233" s="106">
        <f t="shared" si="385"/>
        <v>0</v>
      </c>
      <c r="Z233" s="106">
        <f t="shared" si="393"/>
        <v>0</v>
      </c>
      <c r="AA233" s="106">
        <f t="shared" si="386"/>
        <v>0</v>
      </c>
      <c r="AB233" s="106">
        <f t="shared" si="387"/>
        <v>0</v>
      </c>
      <c r="AC233" s="107">
        <f t="shared" si="388"/>
        <v>0</v>
      </c>
    </row>
    <row r="234" spans="1:29" s="82" customFormat="1" ht="16.5" customHeight="1">
      <c r="A234" s="1267"/>
      <c r="B234" s="97"/>
      <c r="C234" s="98"/>
      <c r="D234" s="98"/>
      <c r="E234" s="102" t="s">
        <v>279</v>
      </c>
      <c r="F234" s="104"/>
      <c r="G234" s="104"/>
      <c r="H234" s="103"/>
      <c r="I234" s="105"/>
      <c r="J234" s="104">
        <f t="shared" si="389"/>
        <v>0</v>
      </c>
      <c r="K234" s="104">
        <f t="shared" si="390"/>
        <v>0</v>
      </c>
      <c r="L234" s="104">
        <f t="shared" si="391"/>
        <v>0</v>
      </c>
      <c r="M234" s="104"/>
      <c r="N234" s="104"/>
      <c r="O234" s="104"/>
      <c r="P234" s="104"/>
      <c r="Q234" s="104">
        <f t="shared" si="368"/>
        <v>0</v>
      </c>
      <c r="R234" s="104">
        <f t="shared" si="394"/>
        <v>0</v>
      </c>
      <c r="S234" s="104">
        <f t="shared" si="395"/>
        <v>0</v>
      </c>
      <c r="T234" s="105"/>
      <c r="U234" s="100">
        <f t="shared" si="360"/>
        <v>0</v>
      </c>
      <c r="V234" s="130"/>
      <c r="W234" s="134">
        <f t="shared" si="361"/>
        <v>0</v>
      </c>
      <c r="X234" s="106"/>
      <c r="Y234" s="106">
        <f t="shared" si="385"/>
        <v>0</v>
      </c>
      <c r="Z234" s="106">
        <f t="shared" si="393"/>
        <v>0</v>
      </c>
      <c r="AA234" s="106">
        <f t="shared" si="386"/>
        <v>0</v>
      </c>
      <c r="AB234" s="106">
        <f t="shared" si="387"/>
        <v>0</v>
      </c>
      <c r="AC234" s="107">
        <f t="shared" si="388"/>
        <v>0</v>
      </c>
    </row>
    <row r="235" spans="1:29" s="82" customFormat="1" ht="16.5" customHeight="1">
      <c r="A235" s="1267"/>
      <c r="B235" s="97"/>
      <c r="C235" s="98"/>
      <c r="D235" s="98"/>
      <c r="E235" s="102" t="s">
        <v>280</v>
      </c>
      <c r="F235" s="104"/>
      <c r="G235" s="104"/>
      <c r="H235" s="104"/>
      <c r="I235" s="105"/>
      <c r="J235" s="104">
        <f t="shared" si="389"/>
        <v>0</v>
      </c>
      <c r="K235" s="104">
        <f t="shared" si="390"/>
        <v>0</v>
      </c>
      <c r="L235" s="104">
        <f t="shared" si="391"/>
        <v>0</v>
      </c>
      <c r="M235" s="104"/>
      <c r="N235" s="104"/>
      <c r="O235" s="104"/>
      <c r="P235" s="104"/>
      <c r="Q235" s="104">
        <f t="shared" si="368"/>
        <v>0</v>
      </c>
      <c r="R235" s="104">
        <f t="shared" si="394"/>
        <v>0</v>
      </c>
      <c r="S235" s="104">
        <f t="shared" si="395"/>
        <v>0</v>
      </c>
      <c r="T235" s="105"/>
      <c r="U235" s="100">
        <f t="shared" si="360"/>
        <v>0</v>
      </c>
      <c r="V235" s="130"/>
      <c r="W235" s="134">
        <f t="shared" si="361"/>
        <v>0</v>
      </c>
      <c r="X235" s="106"/>
      <c r="Y235" s="106">
        <f t="shared" si="385"/>
        <v>0</v>
      </c>
      <c r="Z235" s="106">
        <f t="shared" si="393"/>
        <v>0</v>
      </c>
      <c r="AA235" s="106">
        <f t="shared" si="386"/>
        <v>0</v>
      </c>
      <c r="AB235" s="106">
        <f t="shared" si="387"/>
        <v>0</v>
      </c>
      <c r="AC235" s="107">
        <f t="shared" si="388"/>
        <v>0</v>
      </c>
    </row>
    <row r="236" spans="1:29" s="82" customFormat="1" ht="16.5" customHeight="1">
      <c r="A236" s="1267"/>
      <c r="B236" s="97"/>
      <c r="C236" s="98"/>
      <c r="D236" s="98"/>
      <c r="E236" s="102" t="s">
        <v>54</v>
      </c>
      <c r="F236" s="104"/>
      <c r="G236" s="104"/>
      <c r="H236" s="104"/>
      <c r="I236" s="105"/>
      <c r="J236" s="104">
        <f t="shared" si="389"/>
        <v>0</v>
      </c>
      <c r="K236" s="104">
        <f t="shared" si="390"/>
        <v>0</v>
      </c>
      <c r="L236" s="104">
        <f t="shared" si="391"/>
        <v>0</v>
      </c>
      <c r="M236" s="104">
        <f t="shared" ref="M236" si="396">F236*60%</f>
        <v>0</v>
      </c>
      <c r="N236" s="104"/>
      <c r="O236" s="104"/>
      <c r="P236" s="104"/>
      <c r="Q236" s="104">
        <f t="shared" si="368"/>
        <v>0</v>
      </c>
      <c r="R236" s="104">
        <f t="shared" si="394"/>
        <v>0</v>
      </c>
      <c r="S236" s="104">
        <f t="shared" si="395"/>
        <v>0</v>
      </c>
      <c r="T236" s="105"/>
      <c r="U236" s="100">
        <f t="shared" si="360"/>
        <v>0</v>
      </c>
      <c r="V236" s="130"/>
      <c r="W236" s="134">
        <f t="shared" si="361"/>
        <v>0</v>
      </c>
      <c r="X236" s="106"/>
      <c r="Y236" s="106">
        <f t="shared" si="385"/>
        <v>0</v>
      </c>
      <c r="Z236" s="106">
        <f t="shared" si="393"/>
        <v>0</v>
      </c>
      <c r="AA236" s="106">
        <f t="shared" si="386"/>
        <v>0</v>
      </c>
      <c r="AB236" s="106">
        <f t="shared" si="387"/>
        <v>0</v>
      </c>
      <c r="AC236" s="107">
        <f t="shared" si="388"/>
        <v>0</v>
      </c>
    </row>
    <row r="237" spans="1:29" s="82" customFormat="1" ht="16.5" customHeight="1">
      <c r="A237" s="1267"/>
      <c r="B237" s="97"/>
      <c r="C237" s="98"/>
      <c r="D237" s="98"/>
      <c r="E237" s="102" t="s">
        <v>55</v>
      </c>
      <c r="F237" s="104"/>
      <c r="G237" s="104"/>
      <c r="H237" s="104"/>
      <c r="I237" s="105"/>
      <c r="J237" s="104">
        <f t="shared" si="389"/>
        <v>0</v>
      </c>
      <c r="K237" s="104">
        <f t="shared" si="390"/>
        <v>0</v>
      </c>
      <c r="L237" s="104">
        <f t="shared" si="391"/>
        <v>0</v>
      </c>
      <c r="M237" s="104"/>
      <c r="N237" s="104"/>
      <c r="O237" s="104"/>
      <c r="P237" s="104"/>
      <c r="Q237" s="104">
        <f t="shared" si="368"/>
        <v>0</v>
      </c>
      <c r="R237" s="104">
        <f t="shared" si="394"/>
        <v>0</v>
      </c>
      <c r="S237" s="104">
        <f t="shared" si="395"/>
        <v>0</v>
      </c>
      <c r="T237" s="105"/>
      <c r="U237" s="100">
        <f t="shared" si="360"/>
        <v>0</v>
      </c>
      <c r="V237" s="130"/>
      <c r="W237" s="134">
        <f t="shared" si="361"/>
        <v>0</v>
      </c>
      <c r="X237" s="106"/>
      <c r="Y237" s="106">
        <f t="shared" si="385"/>
        <v>0</v>
      </c>
      <c r="Z237" s="106">
        <f t="shared" si="393"/>
        <v>0</v>
      </c>
      <c r="AA237" s="106">
        <f t="shared" si="386"/>
        <v>0</v>
      </c>
      <c r="AB237" s="106">
        <f t="shared" si="387"/>
        <v>0</v>
      </c>
      <c r="AC237" s="107">
        <f t="shared" si="388"/>
        <v>0</v>
      </c>
    </row>
    <row r="238" spans="1:29" s="82" customFormat="1" ht="16.5" customHeight="1">
      <c r="A238" s="1267"/>
      <c r="B238" s="97"/>
      <c r="C238" s="98"/>
      <c r="D238" s="98"/>
      <c r="E238" s="102" t="s">
        <v>56</v>
      </c>
      <c r="F238" s="104"/>
      <c r="G238" s="104"/>
      <c r="H238" s="104"/>
      <c r="I238" s="105"/>
      <c r="J238" s="104">
        <f t="shared" si="389"/>
        <v>0</v>
      </c>
      <c r="K238" s="104">
        <f t="shared" si="390"/>
        <v>0</v>
      </c>
      <c r="L238" s="104">
        <f t="shared" si="391"/>
        <v>0</v>
      </c>
      <c r="M238" s="104"/>
      <c r="N238" s="104"/>
      <c r="O238" s="104"/>
      <c r="P238" s="104"/>
      <c r="Q238" s="104">
        <f t="shared" si="368"/>
        <v>0</v>
      </c>
      <c r="R238" s="104">
        <f t="shared" si="394"/>
        <v>0</v>
      </c>
      <c r="S238" s="104">
        <f t="shared" si="395"/>
        <v>0</v>
      </c>
      <c r="T238" s="105"/>
      <c r="U238" s="100">
        <f t="shared" si="360"/>
        <v>0</v>
      </c>
      <c r="V238" s="130"/>
      <c r="W238" s="134">
        <f t="shared" si="361"/>
        <v>0</v>
      </c>
      <c r="X238" s="106"/>
      <c r="Y238" s="106">
        <f t="shared" si="385"/>
        <v>0</v>
      </c>
      <c r="Z238" s="106">
        <f t="shared" si="393"/>
        <v>0</v>
      </c>
      <c r="AA238" s="106">
        <f t="shared" si="386"/>
        <v>0</v>
      </c>
      <c r="AB238" s="106">
        <f t="shared" si="387"/>
        <v>0</v>
      </c>
      <c r="AC238" s="107">
        <f t="shared" si="388"/>
        <v>0</v>
      </c>
    </row>
    <row r="239" spans="1:29" s="82" customFormat="1" ht="16.5" customHeight="1">
      <c r="A239" s="1267"/>
      <c r="B239" s="97"/>
      <c r="C239" s="98"/>
      <c r="D239" s="98"/>
      <c r="E239" s="102" t="s">
        <v>281</v>
      </c>
      <c r="F239" s="104"/>
      <c r="G239" s="104"/>
      <c r="H239" s="104"/>
      <c r="I239" s="105"/>
      <c r="J239" s="104">
        <f t="shared" si="389"/>
        <v>0</v>
      </c>
      <c r="K239" s="104">
        <f t="shared" ref="K239" si="397">J239*25*2</f>
        <v>0</v>
      </c>
      <c r="L239" s="104">
        <f t="shared" si="391"/>
        <v>0</v>
      </c>
      <c r="M239" s="104"/>
      <c r="N239" s="104"/>
      <c r="O239" s="104"/>
      <c r="P239" s="104"/>
      <c r="Q239" s="104">
        <f t="shared" si="368"/>
        <v>0</v>
      </c>
      <c r="R239" s="104">
        <f>Q239*20*2</f>
        <v>0</v>
      </c>
      <c r="S239" s="104">
        <f>(Q239*5)*2</f>
        <v>0</v>
      </c>
      <c r="T239" s="105"/>
      <c r="U239" s="100">
        <f t="shared" si="360"/>
        <v>0</v>
      </c>
      <c r="V239" s="130"/>
      <c r="W239" s="134">
        <f t="shared" si="361"/>
        <v>0</v>
      </c>
      <c r="X239" s="106"/>
      <c r="Y239" s="106">
        <f t="shared" si="385"/>
        <v>0</v>
      </c>
      <c r="Z239" s="106">
        <f t="shared" si="393"/>
        <v>0</v>
      </c>
      <c r="AA239" s="106">
        <f t="shared" si="386"/>
        <v>0</v>
      </c>
      <c r="AB239" s="106">
        <f t="shared" si="387"/>
        <v>0</v>
      </c>
      <c r="AC239" s="107">
        <f t="shared" si="388"/>
        <v>0</v>
      </c>
    </row>
    <row r="240" spans="1:29" s="82" customFormat="1" ht="16.5" customHeight="1">
      <c r="A240" s="1267">
        <v>19</v>
      </c>
      <c r="B240" s="97" t="s">
        <v>87</v>
      </c>
      <c r="C240" s="98" t="s">
        <v>785</v>
      </c>
      <c r="D240" s="98">
        <v>1</v>
      </c>
      <c r="E240" s="99" t="s">
        <v>86</v>
      </c>
      <c r="F240" s="100">
        <f t="shared" ref="F240" si="398">SUM(F241:F252)</f>
        <v>0</v>
      </c>
      <c r="G240" s="100">
        <f t="shared" ref="G240:N240" si="399">SUM(G241:G252)</f>
        <v>0</v>
      </c>
      <c r="H240" s="100">
        <f t="shared" si="399"/>
        <v>0</v>
      </c>
      <c r="I240" s="100">
        <f t="shared" ref="I240" si="400">SUM(I241:I252)</f>
        <v>0</v>
      </c>
      <c r="J240" s="100">
        <f t="shared" si="399"/>
        <v>0</v>
      </c>
      <c r="K240" s="100">
        <f t="shared" si="399"/>
        <v>0</v>
      </c>
      <c r="L240" s="100">
        <f t="shared" si="399"/>
        <v>0</v>
      </c>
      <c r="M240" s="100">
        <f t="shared" si="399"/>
        <v>0</v>
      </c>
      <c r="N240" s="100">
        <f t="shared" si="399"/>
        <v>0</v>
      </c>
      <c r="O240" s="100">
        <f t="shared" ref="O240" si="401">SUM(O241:O252)</f>
        <v>0</v>
      </c>
      <c r="P240" s="100"/>
      <c r="Q240" s="100"/>
      <c r="R240" s="100">
        <f t="shared" ref="R240" si="402">SUM(R241:R252)</f>
        <v>0</v>
      </c>
      <c r="S240" s="100">
        <f>SUM(S241:S252)</f>
        <v>0</v>
      </c>
      <c r="T240" s="100"/>
      <c r="U240" s="100">
        <f t="shared" ref="U240" si="403">SUM(U241:U252)</f>
        <v>0</v>
      </c>
      <c r="V240" s="130"/>
      <c r="W240" s="143">
        <f t="shared" ref="W240" si="404">SUM(W241:W252)</f>
        <v>0</v>
      </c>
      <c r="X240" s="100">
        <f t="shared" ref="X240" si="405">SUM(X241:X252)</f>
        <v>0</v>
      </c>
      <c r="Y240" s="100">
        <f t="shared" ref="Y240:AB240" si="406">SUM(Y241:Y252)</f>
        <v>0</v>
      </c>
      <c r="Z240" s="100">
        <f t="shared" si="406"/>
        <v>0</v>
      </c>
      <c r="AA240" s="100">
        <f t="shared" si="406"/>
        <v>0</v>
      </c>
      <c r="AB240" s="100">
        <f t="shared" si="406"/>
        <v>0</v>
      </c>
      <c r="AC240" s="101">
        <f>SUM(AC241:AC252)</f>
        <v>0</v>
      </c>
    </row>
    <row r="241" spans="1:29" s="82" customFormat="1" ht="16.5" customHeight="1">
      <c r="A241" s="1267"/>
      <c r="B241" s="97" t="s">
        <v>817</v>
      </c>
      <c r="C241" s="171">
        <v>10</v>
      </c>
      <c r="D241" s="171"/>
      <c r="E241" s="172" t="s">
        <v>273</v>
      </c>
      <c r="F241" s="173"/>
      <c r="G241" s="104"/>
      <c r="H241" s="103"/>
      <c r="I241" s="105"/>
      <c r="J241" s="104"/>
      <c r="K241" s="104"/>
      <c r="L241" s="104"/>
      <c r="M241" s="104">
        <f t="shared" ref="M241" si="407">F241*60%</f>
        <v>0</v>
      </c>
      <c r="N241" s="104"/>
      <c r="O241" s="104"/>
      <c r="P241" s="104"/>
      <c r="Q241" s="104"/>
      <c r="R241" s="104"/>
      <c r="S241" s="104"/>
      <c r="T241" s="105"/>
      <c r="U241" s="100">
        <f t="shared" ref="U241" si="408">SUM(I241,L241)</f>
        <v>0</v>
      </c>
      <c r="V241" s="130"/>
      <c r="W241" s="134">
        <f t="shared" ref="W241:W242" si="409">ROUNDUP(U241*1/12,-1)</f>
        <v>0</v>
      </c>
      <c r="X241" s="106"/>
      <c r="Y241" s="106">
        <f t="shared" ref="Y241:Y252" si="410">ROUNDUP((U241-L241)*3.06%,-1)</f>
        <v>0</v>
      </c>
      <c r="Z241" s="106">
        <f>ROUNDUP(Y241*6.55%,-1)</f>
        <v>0</v>
      </c>
      <c r="AA241" s="106">
        <f t="shared" ref="AA241:AA252" si="411">ROUND(U241*0.9%,-1)</f>
        <v>0</v>
      </c>
      <c r="AB241" s="106">
        <f t="shared" ref="AB241:AB252" si="412">ROUND(U241*0.8%,-1)</f>
        <v>0</v>
      </c>
      <c r="AC241" s="107">
        <f t="shared" ref="AC241:AC252" si="413">SUM(W241:AB241)</f>
        <v>0</v>
      </c>
    </row>
    <row r="242" spans="1:29" s="82" customFormat="1" ht="16.5" customHeight="1">
      <c r="A242" s="1267"/>
      <c r="B242" s="97"/>
      <c r="C242" s="98"/>
      <c r="D242" s="98"/>
      <c r="E242" s="102" t="s">
        <v>274</v>
      </c>
      <c r="F242" s="104"/>
      <c r="G242" s="104"/>
      <c r="H242" s="104"/>
      <c r="I242" s="105"/>
      <c r="J242" s="104">
        <f t="shared" ref="J242:J252" si="414">ROUND((F241+I241+T241)*1/209*1.5,-1)</f>
        <v>0</v>
      </c>
      <c r="K242" s="104">
        <f>J242*40</f>
        <v>0</v>
      </c>
      <c r="L242" s="104">
        <f t="shared" ref="L242:L252" si="415">K242-R242</f>
        <v>0</v>
      </c>
      <c r="M242" s="104"/>
      <c r="N242" s="104"/>
      <c r="O242" s="104"/>
      <c r="P242" s="104"/>
      <c r="Q242" s="104">
        <f t="shared" ref="Q242" si="416">ROUND((F241+T241)*1/209*1.5,-1)</f>
        <v>0</v>
      </c>
      <c r="R242" s="104">
        <f>Q242*40</f>
        <v>0</v>
      </c>
      <c r="S242" s="104"/>
      <c r="T242" s="105"/>
      <c r="U242" s="100">
        <f t="shared" si="360"/>
        <v>0</v>
      </c>
      <c r="V242" s="130"/>
      <c r="W242" s="134">
        <f t="shared" si="409"/>
        <v>0</v>
      </c>
      <c r="X242" s="106"/>
      <c r="Y242" s="106">
        <f t="shared" si="410"/>
        <v>0</v>
      </c>
      <c r="Z242" s="106">
        <f t="shared" ref="Z242:Z252" si="417">ROUNDUP(Y242*6.55%,-1)</f>
        <v>0</v>
      </c>
      <c r="AA242" s="106">
        <f t="shared" si="411"/>
        <v>0</v>
      </c>
      <c r="AB242" s="106">
        <f t="shared" si="412"/>
        <v>0</v>
      </c>
      <c r="AC242" s="107">
        <f t="shared" si="413"/>
        <v>0</v>
      </c>
    </row>
    <row r="243" spans="1:29" s="82" customFormat="1" ht="16.5" customHeight="1">
      <c r="A243" s="1267"/>
      <c r="B243" s="97"/>
      <c r="C243" s="98"/>
      <c r="D243" s="98"/>
      <c r="E243" s="102" t="s">
        <v>275</v>
      </c>
      <c r="F243" s="104"/>
      <c r="G243" s="104"/>
      <c r="H243" s="104"/>
      <c r="I243" s="105"/>
      <c r="J243" s="104">
        <f t="shared" si="414"/>
        <v>0</v>
      </c>
      <c r="K243" s="104">
        <f t="shared" ref="K243:K251" si="418">J243*40</f>
        <v>0</v>
      </c>
      <c r="L243" s="104">
        <f t="shared" si="415"/>
        <v>0</v>
      </c>
      <c r="M243" s="104"/>
      <c r="N243" s="104"/>
      <c r="O243" s="104"/>
      <c r="P243" s="104"/>
      <c r="Q243" s="104">
        <f t="shared" si="368"/>
        <v>0</v>
      </c>
      <c r="R243" s="104">
        <f t="shared" ref="R243:R251" si="419">Q243*40</f>
        <v>0</v>
      </c>
      <c r="S243" s="104"/>
      <c r="T243" s="105"/>
      <c r="U243" s="100">
        <f t="shared" si="360"/>
        <v>0</v>
      </c>
      <c r="V243" s="130"/>
      <c r="W243" s="134">
        <f t="shared" si="361"/>
        <v>0</v>
      </c>
      <c r="X243" s="106"/>
      <c r="Y243" s="106">
        <f t="shared" si="410"/>
        <v>0</v>
      </c>
      <c r="Z243" s="106">
        <f t="shared" si="417"/>
        <v>0</v>
      </c>
      <c r="AA243" s="106">
        <f t="shared" si="411"/>
        <v>0</v>
      </c>
      <c r="AB243" s="106">
        <f t="shared" si="412"/>
        <v>0</v>
      </c>
      <c r="AC243" s="107">
        <f t="shared" si="413"/>
        <v>0</v>
      </c>
    </row>
    <row r="244" spans="1:29" s="82" customFormat="1" ht="16.5" customHeight="1">
      <c r="A244" s="1267"/>
      <c r="B244" s="97"/>
      <c r="C244" s="98"/>
      <c r="D244" s="98"/>
      <c r="E244" s="102" t="s">
        <v>276</v>
      </c>
      <c r="F244" s="173"/>
      <c r="G244" s="104"/>
      <c r="H244" s="104"/>
      <c r="I244" s="105"/>
      <c r="J244" s="104">
        <f t="shared" si="414"/>
        <v>0</v>
      </c>
      <c r="K244" s="104">
        <f t="shared" si="418"/>
        <v>0</v>
      </c>
      <c r="L244" s="104">
        <f t="shared" si="415"/>
        <v>0</v>
      </c>
      <c r="M244" s="104"/>
      <c r="N244" s="104"/>
      <c r="O244" s="104"/>
      <c r="P244" s="104"/>
      <c r="Q244" s="104">
        <f t="shared" si="368"/>
        <v>0</v>
      </c>
      <c r="R244" s="104">
        <f t="shared" si="419"/>
        <v>0</v>
      </c>
      <c r="S244" s="104"/>
      <c r="T244" s="105"/>
      <c r="U244" s="100">
        <f t="shared" si="360"/>
        <v>0</v>
      </c>
      <c r="V244" s="130"/>
      <c r="W244" s="134">
        <f t="shared" si="361"/>
        <v>0</v>
      </c>
      <c r="X244" s="106"/>
      <c r="Y244" s="106">
        <f t="shared" si="410"/>
        <v>0</v>
      </c>
      <c r="Z244" s="106">
        <f t="shared" si="417"/>
        <v>0</v>
      </c>
      <c r="AA244" s="106">
        <f t="shared" si="411"/>
        <v>0</v>
      </c>
      <c r="AB244" s="106">
        <f t="shared" si="412"/>
        <v>0</v>
      </c>
      <c r="AC244" s="107">
        <f t="shared" si="413"/>
        <v>0</v>
      </c>
    </row>
    <row r="245" spans="1:29" s="82" customFormat="1" ht="16.5" customHeight="1">
      <c r="A245" s="1267"/>
      <c r="B245" s="97"/>
      <c r="C245" s="98"/>
      <c r="D245" s="98"/>
      <c r="E245" s="102" t="s">
        <v>277</v>
      </c>
      <c r="F245" s="104"/>
      <c r="G245" s="104"/>
      <c r="H245" s="104"/>
      <c r="I245" s="105"/>
      <c r="J245" s="104">
        <f t="shared" si="414"/>
        <v>0</v>
      </c>
      <c r="K245" s="104">
        <f t="shared" si="418"/>
        <v>0</v>
      </c>
      <c r="L245" s="104">
        <f t="shared" si="415"/>
        <v>0</v>
      </c>
      <c r="M245" s="104"/>
      <c r="N245" s="104"/>
      <c r="O245" s="104"/>
      <c r="P245" s="104"/>
      <c r="Q245" s="104">
        <f t="shared" si="368"/>
        <v>0</v>
      </c>
      <c r="R245" s="104">
        <f t="shared" si="419"/>
        <v>0</v>
      </c>
      <c r="S245" s="104"/>
      <c r="T245" s="105"/>
      <c r="U245" s="100">
        <f t="shared" si="360"/>
        <v>0</v>
      </c>
      <c r="V245" s="130"/>
      <c r="W245" s="134">
        <f t="shared" si="361"/>
        <v>0</v>
      </c>
      <c r="X245" s="106"/>
      <c r="Y245" s="106">
        <f t="shared" si="410"/>
        <v>0</v>
      </c>
      <c r="Z245" s="106">
        <f t="shared" si="417"/>
        <v>0</v>
      </c>
      <c r="AA245" s="106">
        <f t="shared" si="411"/>
        <v>0</v>
      </c>
      <c r="AB245" s="106">
        <f t="shared" si="412"/>
        <v>0</v>
      </c>
      <c r="AC245" s="107">
        <f t="shared" si="413"/>
        <v>0</v>
      </c>
    </row>
    <row r="246" spans="1:29" s="82" customFormat="1" ht="16.5" customHeight="1">
      <c r="A246" s="1267"/>
      <c r="B246" s="97"/>
      <c r="C246" s="98"/>
      <c r="D246" s="98"/>
      <c r="E246" s="102" t="s">
        <v>278</v>
      </c>
      <c r="F246" s="104"/>
      <c r="G246" s="104"/>
      <c r="H246" s="104"/>
      <c r="I246" s="105"/>
      <c r="J246" s="104">
        <f t="shared" si="414"/>
        <v>0</v>
      </c>
      <c r="K246" s="104">
        <f t="shared" si="418"/>
        <v>0</v>
      </c>
      <c r="L246" s="104">
        <f t="shared" si="415"/>
        <v>0</v>
      </c>
      <c r="M246" s="104"/>
      <c r="N246" s="104"/>
      <c r="O246" s="104"/>
      <c r="P246" s="104"/>
      <c r="Q246" s="104">
        <f t="shared" si="368"/>
        <v>0</v>
      </c>
      <c r="R246" s="104">
        <f t="shared" si="419"/>
        <v>0</v>
      </c>
      <c r="S246" s="104"/>
      <c r="T246" s="105"/>
      <c r="U246" s="100">
        <f t="shared" si="360"/>
        <v>0</v>
      </c>
      <c r="V246" s="130"/>
      <c r="W246" s="134">
        <f t="shared" si="361"/>
        <v>0</v>
      </c>
      <c r="X246" s="106"/>
      <c r="Y246" s="106">
        <f t="shared" si="410"/>
        <v>0</v>
      </c>
      <c r="Z246" s="106">
        <f t="shared" si="417"/>
        <v>0</v>
      </c>
      <c r="AA246" s="106">
        <f t="shared" si="411"/>
        <v>0</v>
      </c>
      <c r="AB246" s="106">
        <f t="shared" si="412"/>
        <v>0</v>
      </c>
      <c r="AC246" s="107">
        <f t="shared" si="413"/>
        <v>0</v>
      </c>
    </row>
    <row r="247" spans="1:29" s="82" customFormat="1" ht="16.5" customHeight="1">
      <c r="A247" s="1267"/>
      <c r="B247" s="97"/>
      <c r="C247" s="98"/>
      <c r="D247" s="98"/>
      <c r="E247" s="102" t="s">
        <v>279</v>
      </c>
      <c r="F247" s="104"/>
      <c r="G247" s="104"/>
      <c r="H247" s="103"/>
      <c r="I247" s="105"/>
      <c r="J247" s="104">
        <f t="shared" si="414"/>
        <v>0</v>
      </c>
      <c r="K247" s="104">
        <f t="shared" si="418"/>
        <v>0</v>
      </c>
      <c r="L247" s="104">
        <f t="shared" si="415"/>
        <v>0</v>
      </c>
      <c r="M247" s="104"/>
      <c r="N247" s="104"/>
      <c r="O247" s="104"/>
      <c r="P247" s="104"/>
      <c r="Q247" s="104">
        <f t="shared" si="368"/>
        <v>0</v>
      </c>
      <c r="R247" s="104">
        <f t="shared" si="419"/>
        <v>0</v>
      </c>
      <c r="S247" s="104"/>
      <c r="T247" s="105"/>
      <c r="U247" s="100">
        <f t="shared" si="360"/>
        <v>0</v>
      </c>
      <c r="V247" s="130"/>
      <c r="W247" s="134">
        <f t="shared" si="361"/>
        <v>0</v>
      </c>
      <c r="X247" s="106"/>
      <c r="Y247" s="106">
        <f t="shared" si="410"/>
        <v>0</v>
      </c>
      <c r="Z247" s="106">
        <f t="shared" si="417"/>
        <v>0</v>
      </c>
      <c r="AA247" s="106">
        <f t="shared" si="411"/>
        <v>0</v>
      </c>
      <c r="AB247" s="106">
        <f t="shared" si="412"/>
        <v>0</v>
      </c>
      <c r="AC247" s="107">
        <f t="shared" si="413"/>
        <v>0</v>
      </c>
    </row>
    <row r="248" spans="1:29" s="82" customFormat="1" ht="16.5" customHeight="1">
      <c r="A248" s="1267"/>
      <c r="B248" s="97"/>
      <c r="C248" s="98"/>
      <c r="D248" s="98"/>
      <c r="E248" s="102" t="s">
        <v>280</v>
      </c>
      <c r="F248" s="104"/>
      <c r="G248" s="104"/>
      <c r="H248" s="104"/>
      <c r="I248" s="105"/>
      <c r="J248" s="104">
        <f t="shared" si="414"/>
        <v>0</v>
      </c>
      <c r="K248" s="104">
        <f>J248*40</f>
        <v>0</v>
      </c>
      <c r="L248" s="104">
        <f t="shared" si="415"/>
        <v>0</v>
      </c>
      <c r="M248" s="104"/>
      <c r="N248" s="104"/>
      <c r="O248" s="104"/>
      <c r="P248" s="104"/>
      <c r="Q248" s="104">
        <f t="shared" si="368"/>
        <v>0</v>
      </c>
      <c r="R248" s="104">
        <f t="shared" si="419"/>
        <v>0</v>
      </c>
      <c r="S248" s="104"/>
      <c r="T248" s="105"/>
      <c r="U248" s="100">
        <f t="shared" si="360"/>
        <v>0</v>
      </c>
      <c r="V248" s="130"/>
      <c r="W248" s="134">
        <f t="shared" si="361"/>
        <v>0</v>
      </c>
      <c r="X248" s="106"/>
      <c r="Y248" s="106">
        <f t="shared" si="410"/>
        <v>0</v>
      </c>
      <c r="Z248" s="106">
        <f t="shared" si="417"/>
        <v>0</v>
      </c>
      <c r="AA248" s="106">
        <f t="shared" si="411"/>
        <v>0</v>
      </c>
      <c r="AB248" s="106">
        <f t="shared" si="412"/>
        <v>0</v>
      </c>
      <c r="AC248" s="107">
        <f t="shared" si="413"/>
        <v>0</v>
      </c>
    </row>
    <row r="249" spans="1:29" s="82" customFormat="1" ht="16.5" customHeight="1">
      <c r="A249" s="1267"/>
      <c r="B249" s="97"/>
      <c r="C249" s="98"/>
      <c r="D249" s="98"/>
      <c r="E249" s="102" t="s">
        <v>54</v>
      </c>
      <c r="F249" s="104"/>
      <c r="G249" s="104"/>
      <c r="H249" s="104"/>
      <c r="I249" s="105"/>
      <c r="J249" s="104">
        <f t="shared" si="414"/>
        <v>0</v>
      </c>
      <c r="K249" s="104">
        <f t="shared" si="418"/>
        <v>0</v>
      </c>
      <c r="L249" s="104">
        <f t="shared" si="415"/>
        <v>0</v>
      </c>
      <c r="M249" s="104">
        <f t="shared" ref="M249" si="420">F249*60%</f>
        <v>0</v>
      </c>
      <c r="N249" s="104"/>
      <c r="O249" s="104"/>
      <c r="P249" s="104"/>
      <c r="Q249" s="104">
        <f t="shared" si="368"/>
        <v>0</v>
      </c>
      <c r="R249" s="104">
        <f t="shared" si="419"/>
        <v>0</v>
      </c>
      <c r="S249" s="104"/>
      <c r="T249" s="105"/>
      <c r="U249" s="100">
        <f t="shared" si="360"/>
        <v>0</v>
      </c>
      <c r="V249" s="130"/>
      <c r="W249" s="134">
        <f t="shared" si="361"/>
        <v>0</v>
      </c>
      <c r="X249" s="106"/>
      <c r="Y249" s="106">
        <f t="shared" si="410"/>
        <v>0</v>
      </c>
      <c r="Z249" s="106">
        <f t="shared" si="417"/>
        <v>0</v>
      </c>
      <c r="AA249" s="106">
        <f t="shared" si="411"/>
        <v>0</v>
      </c>
      <c r="AB249" s="106">
        <f t="shared" si="412"/>
        <v>0</v>
      </c>
      <c r="AC249" s="107">
        <f t="shared" si="413"/>
        <v>0</v>
      </c>
    </row>
    <row r="250" spans="1:29" s="82" customFormat="1" ht="16.5" customHeight="1">
      <c r="A250" s="1267"/>
      <c r="B250" s="97"/>
      <c r="C250" s="98"/>
      <c r="D250" s="98"/>
      <c r="E250" s="102" t="s">
        <v>55</v>
      </c>
      <c r="F250" s="104"/>
      <c r="G250" s="104"/>
      <c r="H250" s="104"/>
      <c r="I250" s="105"/>
      <c r="J250" s="104">
        <f t="shared" si="414"/>
        <v>0</v>
      </c>
      <c r="K250" s="104">
        <f t="shared" si="418"/>
        <v>0</v>
      </c>
      <c r="L250" s="104">
        <f t="shared" si="415"/>
        <v>0</v>
      </c>
      <c r="M250" s="104"/>
      <c r="N250" s="104"/>
      <c r="O250" s="104"/>
      <c r="P250" s="104"/>
      <c r="Q250" s="104">
        <f t="shared" si="368"/>
        <v>0</v>
      </c>
      <c r="R250" s="104">
        <f t="shared" si="419"/>
        <v>0</v>
      </c>
      <c r="S250" s="104"/>
      <c r="T250" s="105"/>
      <c r="U250" s="100">
        <f t="shared" si="360"/>
        <v>0</v>
      </c>
      <c r="V250" s="130"/>
      <c r="W250" s="134">
        <f t="shared" si="361"/>
        <v>0</v>
      </c>
      <c r="X250" s="106"/>
      <c r="Y250" s="106">
        <f t="shared" si="410"/>
        <v>0</v>
      </c>
      <c r="Z250" s="106">
        <f t="shared" si="417"/>
        <v>0</v>
      </c>
      <c r="AA250" s="106">
        <f t="shared" si="411"/>
        <v>0</v>
      </c>
      <c r="AB250" s="106">
        <f t="shared" si="412"/>
        <v>0</v>
      </c>
      <c r="AC250" s="107">
        <f t="shared" si="413"/>
        <v>0</v>
      </c>
    </row>
    <row r="251" spans="1:29" s="82" customFormat="1" ht="16.5" customHeight="1">
      <c r="A251" s="1267"/>
      <c r="B251" s="97"/>
      <c r="C251" s="98"/>
      <c r="D251" s="98"/>
      <c r="E251" s="102" t="s">
        <v>56</v>
      </c>
      <c r="F251" s="104"/>
      <c r="G251" s="104"/>
      <c r="H251" s="104"/>
      <c r="I251" s="105"/>
      <c r="J251" s="104">
        <f t="shared" si="414"/>
        <v>0</v>
      </c>
      <c r="K251" s="104">
        <f t="shared" si="418"/>
        <v>0</v>
      </c>
      <c r="L251" s="104">
        <f t="shared" si="415"/>
        <v>0</v>
      </c>
      <c r="M251" s="104"/>
      <c r="N251" s="104"/>
      <c r="O251" s="104"/>
      <c r="P251" s="104"/>
      <c r="Q251" s="104">
        <f t="shared" si="368"/>
        <v>0</v>
      </c>
      <c r="R251" s="104">
        <f t="shared" si="419"/>
        <v>0</v>
      </c>
      <c r="S251" s="104"/>
      <c r="T251" s="105"/>
      <c r="U251" s="100">
        <f t="shared" si="360"/>
        <v>0</v>
      </c>
      <c r="V251" s="130"/>
      <c r="W251" s="134">
        <f t="shared" si="361"/>
        <v>0</v>
      </c>
      <c r="X251" s="106"/>
      <c r="Y251" s="106">
        <f t="shared" si="410"/>
        <v>0</v>
      </c>
      <c r="Z251" s="106">
        <f t="shared" si="417"/>
        <v>0</v>
      </c>
      <c r="AA251" s="106">
        <f t="shared" si="411"/>
        <v>0</v>
      </c>
      <c r="AB251" s="106">
        <f t="shared" si="412"/>
        <v>0</v>
      </c>
      <c r="AC251" s="107">
        <f t="shared" si="413"/>
        <v>0</v>
      </c>
    </row>
    <row r="252" spans="1:29" s="82" customFormat="1" ht="16.5" customHeight="1">
      <c r="A252" s="1267"/>
      <c r="B252" s="97"/>
      <c r="C252" s="171">
        <v>10</v>
      </c>
      <c r="D252" s="171"/>
      <c r="E252" s="172" t="s">
        <v>281</v>
      </c>
      <c r="F252" s="104"/>
      <c r="G252" s="104"/>
      <c r="H252" s="104"/>
      <c r="I252" s="105"/>
      <c r="J252" s="104">
        <f t="shared" si="414"/>
        <v>0</v>
      </c>
      <c r="K252" s="104">
        <f>J252*40*2</f>
        <v>0</v>
      </c>
      <c r="L252" s="104">
        <f t="shared" si="415"/>
        <v>0</v>
      </c>
      <c r="M252" s="104"/>
      <c r="N252" s="104"/>
      <c r="O252" s="104"/>
      <c r="P252" s="104"/>
      <c r="Q252" s="104">
        <f t="shared" si="368"/>
        <v>0</v>
      </c>
      <c r="R252" s="104">
        <f>Q252*40*2</f>
        <v>0</v>
      </c>
      <c r="S252" s="104"/>
      <c r="T252" s="105"/>
      <c r="U252" s="100">
        <f t="shared" si="360"/>
        <v>0</v>
      </c>
      <c r="V252" s="130"/>
      <c r="W252" s="134">
        <f t="shared" si="361"/>
        <v>0</v>
      </c>
      <c r="X252" s="106"/>
      <c r="Y252" s="106">
        <f t="shared" si="410"/>
        <v>0</v>
      </c>
      <c r="Z252" s="106">
        <f t="shared" si="417"/>
        <v>0</v>
      </c>
      <c r="AA252" s="106">
        <f t="shared" si="411"/>
        <v>0</v>
      </c>
      <c r="AB252" s="106">
        <f t="shared" si="412"/>
        <v>0</v>
      </c>
      <c r="AC252" s="107">
        <f t="shared" si="413"/>
        <v>0</v>
      </c>
    </row>
    <row r="253" spans="1:29" s="82" customFormat="1" ht="17.25" customHeight="1">
      <c r="A253" s="1267">
        <v>20</v>
      </c>
      <c r="B253" s="97" t="s">
        <v>87</v>
      </c>
      <c r="C253" s="98" t="s">
        <v>434</v>
      </c>
      <c r="D253" s="98">
        <v>1</v>
      </c>
      <c r="E253" s="99" t="s">
        <v>86</v>
      </c>
      <c r="F253" s="100">
        <f t="shared" ref="F253" si="421">SUM(F254:F265)</f>
        <v>0</v>
      </c>
      <c r="G253" s="100">
        <f t="shared" ref="G253:N253" si="422">SUM(G254:G265)</f>
        <v>0</v>
      </c>
      <c r="H253" s="100">
        <f t="shared" si="422"/>
        <v>0</v>
      </c>
      <c r="I253" s="100">
        <f t="shared" ref="I253" si="423">SUM(I254:I265)</f>
        <v>0</v>
      </c>
      <c r="J253" s="100">
        <f t="shared" si="422"/>
        <v>0</v>
      </c>
      <c r="K253" s="100">
        <f t="shared" si="422"/>
        <v>0</v>
      </c>
      <c r="L253" s="100">
        <f t="shared" si="422"/>
        <v>0</v>
      </c>
      <c r="M253" s="100">
        <f t="shared" si="422"/>
        <v>0</v>
      </c>
      <c r="N253" s="100">
        <f t="shared" si="422"/>
        <v>0</v>
      </c>
      <c r="O253" s="100">
        <f t="shared" ref="O253" si="424">SUM(O254:O265)</f>
        <v>0</v>
      </c>
      <c r="P253" s="100"/>
      <c r="Q253" s="100"/>
      <c r="R253" s="100">
        <f>SUM(R254:R265)</f>
        <v>0</v>
      </c>
      <c r="S253" s="100">
        <f>SUM(S254:S265)</f>
        <v>0</v>
      </c>
      <c r="T253" s="100"/>
      <c r="U253" s="100">
        <f t="shared" ref="U253" si="425">SUM(U254:U265)</f>
        <v>0</v>
      </c>
      <c r="V253" s="130"/>
      <c r="W253" s="143">
        <f t="shared" ref="W253" si="426">SUM(W254:W265)</f>
        <v>0</v>
      </c>
      <c r="X253" s="100">
        <f t="shared" ref="X253" si="427">SUM(X254:X265)</f>
        <v>0</v>
      </c>
      <c r="Y253" s="100">
        <f t="shared" ref="Y253:AB253" si="428">SUM(Y254:Y265)</f>
        <v>0</v>
      </c>
      <c r="Z253" s="100">
        <f t="shared" si="428"/>
        <v>0</v>
      </c>
      <c r="AA253" s="100">
        <f t="shared" si="428"/>
        <v>0</v>
      </c>
      <c r="AB253" s="100">
        <f t="shared" si="428"/>
        <v>0</v>
      </c>
      <c r="AC253" s="101">
        <f>SUM(AC254:AC265)</f>
        <v>0</v>
      </c>
    </row>
    <row r="254" spans="1:29" s="82" customFormat="1" ht="17.25" customHeight="1">
      <c r="A254" s="1267"/>
      <c r="B254" s="97" t="s">
        <v>818</v>
      </c>
      <c r="C254" s="171">
        <v>7</v>
      </c>
      <c r="D254" s="171"/>
      <c r="E254" s="172" t="s">
        <v>273</v>
      </c>
      <c r="F254" s="173"/>
      <c r="G254" s="104"/>
      <c r="H254" s="103"/>
      <c r="I254" s="105"/>
      <c r="J254" s="104"/>
      <c r="K254" s="104"/>
      <c r="L254" s="104"/>
      <c r="M254" s="104">
        <f t="shared" ref="M254" si="429">F254*60%</f>
        <v>0</v>
      </c>
      <c r="N254" s="104"/>
      <c r="O254" s="104"/>
      <c r="P254" s="104"/>
      <c r="Q254" s="104"/>
      <c r="R254" s="104"/>
      <c r="S254" s="104"/>
      <c r="T254" s="105"/>
      <c r="U254" s="100">
        <f t="shared" ref="U254" si="430">SUM(I254,L254)</f>
        <v>0</v>
      </c>
      <c r="V254" s="130"/>
      <c r="W254" s="134">
        <f t="shared" ref="W254:W255" si="431">ROUNDUP(U254*1/12,-1)</f>
        <v>0</v>
      </c>
      <c r="X254" s="106"/>
      <c r="Y254" s="106">
        <f t="shared" ref="Y254:Y265" si="432">ROUNDUP((U254-L254)*3.06%,-1)</f>
        <v>0</v>
      </c>
      <c r="Z254" s="106">
        <f t="shared" ref="Z254:Z265" si="433">ROUNDUP(Y254*6.55%,-1)</f>
        <v>0</v>
      </c>
      <c r="AA254" s="106">
        <f t="shared" ref="AA254:AA265" si="434">ROUND(U254*0.9%,-1)</f>
        <v>0</v>
      </c>
      <c r="AB254" s="106">
        <f t="shared" ref="AB254:AB265" si="435">ROUND(U254*0.8%,-1)</f>
        <v>0</v>
      </c>
      <c r="AC254" s="107">
        <f t="shared" ref="AC254:AC265" si="436">SUM(W254:AB254)</f>
        <v>0</v>
      </c>
    </row>
    <row r="255" spans="1:29" s="82" customFormat="1" ht="17.25" customHeight="1">
      <c r="A255" s="1267"/>
      <c r="B255" s="97"/>
      <c r="C255" s="98"/>
      <c r="D255" s="98"/>
      <c r="E255" s="102" t="s">
        <v>274</v>
      </c>
      <c r="F255" s="104"/>
      <c r="G255" s="104"/>
      <c r="H255" s="104"/>
      <c r="I255" s="105"/>
      <c r="J255" s="104">
        <f t="shared" ref="J255:J265" si="437">ROUND((F254+I254+T254)*1/209*1.5,-1)</f>
        <v>0</v>
      </c>
      <c r="K255" s="104">
        <f>J255*40</f>
        <v>0</v>
      </c>
      <c r="L255" s="104">
        <f t="shared" ref="L255:L265" si="438">K255-R255</f>
        <v>0</v>
      </c>
      <c r="M255" s="104"/>
      <c r="N255" s="104"/>
      <c r="O255" s="104"/>
      <c r="P255" s="104"/>
      <c r="Q255" s="104">
        <f t="shared" ref="Q255" si="439">ROUND((F254+T254)*1/209*1.5,-1)</f>
        <v>0</v>
      </c>
      <c r="R255" s="104">
        <f>Q255*40</f>
        <v>0</v>
      </c>
      <c r="S255" s="104"/>
      <c r="T255" s="105"/>
      <c r="U255" s="100">
        <f t="shared" si="360"/>
        <v>0</v>
      </c>
      <c r="V255" s="130"/>
      <c r="W255" s="134">
        <f t="shared" si="431"/>
        <v>0</v>
      </c>
      <c r="X255" s="106"/>
      <c r="Y255" s="106">
        <f t="shared" si="432"/>
        <v>0</v>
      </c>
      <c r="Z255" s="106">
        <f t="shared" si="433"/>
        <v>0</v>
      </c>
      <c r="AA255" s="106">
        <f t="shared" si="434"/>
        <v>0</v>
      </c>
      <c r="AB255" s="106">
        <f t="shared" si="435"/>
        <v>0</v>
      </c>
      <c r="AC255" s="107">
        <f t="shared" si="436"/>
        <v>0</v>
      </c>
    </row>
    <row r="256" spans="1:29" s="82" customFormat="1" ht="17.25" customHeight="1">
      <c r="A256" s="1267"/>
      <c r="B256" s="97"/>
      <c r="C256" s="98"/>
      <c r="D256" s="98"/>
      <c r="E256" s="102" t="s">
        <v>275</v>
      </c>
      <c r="F256" s="104"/>
      <c r="G256" s="104"/>
      <c r="H256" s="104"/>
      <c r="I256" s="105"/>
      <c r="J256" s="104">
        <f t="shared" si="437"/>
        <v>0</v>
      </c>
      <c r="K256" s="104">
        <f t="shared" ref="K256:K264" si="440">J256*40</f>
        <v>0</v>
      </c>
      <c r="L256" s="104">
        <f t="shared" si="438"/>
        <v>0</v>
      </c>
      <c r="M256" s="104"/>
      <c r="N256" s="104"/>
      <c r="O256" s="104"/>
      <c r="P256" s="104"/>
      <c r="Q256" s="104">
        <f t="shared" si="368"/>
        <v>0</v>
      </c>
      <c r="R256" s="104">
        <f t="shared" ref="R256:R264" si="441">Q256*40</f>
        <v>0</v>
      </c>
      <c r="S256" s="104"/>
      <c r="T256" s="105"/>
      <c r="U256" s="100">
        <f t="shared" si="360"/>
        <v>0</v>
      </c>
      <c r="V256" s="130"/>
      <c r="W256" s="134">
        <f t="shared" si="361"/>
        <v>0</v>
      </c>
      <c r="X256" s="106"/>
      <c r="Y256" s="106">
        <f t="shared" si="432"/>
        <v>0</v>
      </c>
      <c r="Z256" s="106">
        <f t="shared" si="433"/>
        <v>0</v>
      </c>
      <c r="AA256" s="106">
        <f t="shared" si="434"/>
        <v>0</v>
      </c>
      <c r="AB256" s="106">
        <f t="shared" si="435"/>
        <v>0</v>
      </c>
      <c r="AC256" s="107">
        <f t="shared" si="436"/>
        <v>0</v>
      </c>
    </row>
    <row r="257" spans="1:29" s="82" customFormat="1" ht="17.25" customHeight="1">
      <c r="A257" s="1267"/>
      <c r="B257" s="97"/>
      <c r="C257" s="98"/>
      <c r="D257" s="98"/>
      <c r="E257" s="102" t="s">
        <v>276</v>
      </c>
      <c r="F257" s="173"/>
      <c r="G257" s="104"/>
      <c r="H257" s="104"/>
      <c r="I257" s="105"/>
      <c r="J257" s="104">
        <f t="shared" si="437"/>
        <v>0</v>
      </c>
      <c r="K257" s="104">
        <f t="shared" si="440"/>
        <v>0</v>
      </c>
      <c r="L257" s="104">
        <f t="shared" si="438"/>
        <v>0</v>
      </c>
      <c r="M257" s="104"/>
      <c r="N257" s="104"/>
      <c r="O257" s="104"/>
      <c r="P257" s="104"/>
      <c r="Q257" s="104">
        <f t="shared" si="368"/>
        <v>0</v>
      </c>
      <c r="R257" s="104">
        <f t="shared" si="441"/>
        <v>0</v>
      </c>
      <c r="S257" s="104"/>
      <c r="T257" s="105"/>
      <c r="U257" s="100">
        <f t="shared" si="360"/>
        <v>0</v>
      </c>
      <c r="V257" s="130"/>
      <c r="W257" s="134">
        <f t="shared" si="361"/>
        <v>0</v>
      </c>
      <c r="X257" s="106"/>
      <c r="Y257" s="106">
        <f t="shared" si="432"/>
        <v>0</v>
      </c>
      <c r="Z257" s="106">
        <f t="shared" si="433"/>
        <v>0</v>
      </c>
      <c r="AA257" s="106">
        <f t="shared" si="434"/>
        <v>0</v>
      </c>
      <c r="AB257" s="106">
        <f t="shared" si="435"/>
        <v>0</v>
      </c>
      <c r="AC257" s="107">
        <f t="shared" si="436"/>
        <v>0</v>
      </c>
    </row>
    <row r="258" spans="1:29" s="82" customFormat="1" ht="17.25" customHeight="1">
      <c r="A258" s="1267"/>
      <c r="B258" s="97"/>
      <c r="C258" s="98"/>
      <c r="D258" s="98"/>
      <c r="E258" s="102" t="s">
        <v>277</v>
      </c>
      <c r="F258" s="104"/>
      <c r="G258" s="104"/>
      <c r="H258" s="104"/>
      <c r="I258" s="105"/>
      <c r="J258" s="104">
        <f t="shared" si="437"/>
        <v>0</v>
      </c>
      <c r="K258" s="104">
        <f t="shared" si="440"/>
        <v>0</v>
      </c>
      <c r="L258" s="104">
        <f t="shared" si="438"/>
        <v>0</v>
      </c>
      <c r="M258" s="104"/>
      <c r="N258" s="104"/>
      <c r="O258" s="104"/>
      <c r="P258" s="104"/>
      <c r="Q258" s="104">
        <f t="shared" si="368"/>
        <v>0</v>
      </c>
      <c r="R258" s="104">
        <f t="shared" si="441"/>
        <v>0</v>
      </c>
      <c r="S258" s="104"/>
      <c r="T258" s="105"/>
      <c r="U258" s="100">
        <f t="shared" si="360"/>
        <v>0</v>
      </c>
      <c r="V258" s="130"/>
      <c r="W258" s="134">
        <f t="shared" si="361"/>
        <v>0</v>
      </c>
      <c r="X258" s="106"/>
      <c r="Y258" s="106">
        <f t="shared" si="432"/>
        <v>0</v>
      </c>
      <c r="Z258" s="106">
        <f t="shared" si="433"/>
        <v>0</v>
      </c>
      <c r="AA258" s="106">
        <f t="shared" si="434"/>
        <v>0</v>
      </c>
      <c r="AB258" s="106">
        <f t="shared" si="435"/>
        <v>0</v>
      </c>
      <c r="AC258" s="107">
        <f t="shared" si="436"/>
        <v>0</v>
      </c>
    </row>
    <row r="259" spans="1:29" s="82" customFormat="1" ht="17.25" customHeight="1">
      <c r="A259" s="1267"/>
      <c r="B259" s="97"/>
      <c r="C259" s="98"/>
      <c r="D259" s="98"/>
      <c r="E259" s="102" t="s">
        <v>278</v>
      </c>
      <c r="F259" s="104"/>
      <c r="G259" s="104"/>
      <c r="H259" s="104"/>
      <c r="I259" s="105"/>
      <c r="J259" s="104">
        <f t="shared" si="437"/>
        <v>0</v>
      </c>
      <c r="K259" s="104">
        <f t="shared" si="440"/>
        <v>0</v>
      </c>
      <c r="L259" s="104">
        <f t="shared" si="438"/>
        <v>0</v>
      </c>
      <c r="M259" s="104"/>
      <c r="N259" s="104"/>
      <c r="O259" s="104"/>
      <c r="P259" s="104"/>
      <c r="Q259" s="104">
        <f t="shared" si="368"/>
        <v>0</v>
      </c>
      <c r="R259" s="104">
        <f t="shared" si="441"/>
        <v>0</v>
      </c>
      <c r="S259" s="104"/>
      <c r="T259" s="105"/>
      <c r="U259" s="100">
        <f t="shared" si="360"/>
        <v>0</v>
      </c>
      <c r="V259" s="130"/>
      <c r="W259" s="134">
        <f t="shared" si="361"/>
        <v>0</v>
      </c>
      <c r="X259" s="106"/>
      <c r="Y259" s="106">
        <f t="shared" si="432"/>
        <v>0</v>
      </c>
      <c r="Z259" s="106">
        <f t="shared" si="433"/>
        <v>0</v>
      </c>
      <c r="AA259" s="106">
        <f t="shared" si="434"/>
        <v>0</v>
      </c>
      <c r="AB259" s="106">
        <f t="shared" si="435"/>
        <v>0</v>
      </c>
      <c r="AC259" s="107">
        <f t="shared" si="436"/>
        <v>0</v>
      </c>
    </row>
    <row r="260" spans="1:29" s="82" customFormat="1" ht="17.25" customHeight="1">
      <c r="A260" s="1267"/>
      <c r="B260" s="97"/>
      <c r="C260" s="171">
        <v>8</v>
      </c>
      <c r="D260" s="171"/>
      <c r="E260" s="172" t="s">
        <v>279</v>
      </c>
      <c r="F260" s="104"/>
      <c r="G260" s="104"/>
      <c r="H260" s="103"/>
      <c r="I260" s="105"/>
      <c r="J260" s="104">
        <f t="shared" si="437"/>
        <v>0</v>
      </c>
      <c r="K260" s="104">
        <f t="shared" si="440"/>
        <v>0</v>
      </c>
      <c r="L260" s="104">
        <f t="shared" si="438"/>
        <v>0</v>
      </c>
      <c r="M260" s="104"/>
      <c r="N260" s="104"/>
      <c r="O260" s="104"/>
      <c r="P260" s="104"/>
      <c r="Q260" s="104">
        <f t="shared" si="368"/>
        <v>0</v>
      </c>
      <c r="R260" s="104">
        <f t="shared" si="441"/>
        <v>0</v>
      </c>
      <c r="S260" s="104"/>
      <c r="T260" s="105"/>
      <c r="U260" s="100">
        <f t="shared" si="360"/>
        <v>0</v>
      </c>
      <c r="V260" s="130"/>
      <c r="W260" s="134">
        <f t="shared" si="361"/>
        <v>0</v>
      </c>
      <c r="X260" s="106"/>
      <c r="Y260" s="106">
        <f t="shared" si="432"/>
        <v>0</v>
      </c>
      <c r="Z260" s="106">
        <f t="shared" si="433"/>
        <v>0</v>
      </c>
      <c r="AA260" s="106">
        <f t="shared" si="434"/>
        <v>0</v>
      </c>
      <c r="AB260" s="106">
        <f t="shared" si="435"/>
        <v>0</v>
      </c>
      <c r="AC260" s="107">
        <f t="shared" si="436"/>
        <v>0</v>
      </c>
    </row>
    <row r="261" spans="1:29" s="82" customFormat="1" ht="17.25" customHeight="1">
      <c r="A261" s="1267"/>
      <c r="B261" s="97"/>
      <c r="C261" s="98"/>
      <c r="D261" s="98"/>
      <c r="E261" s="102" t="s">
        <v>280</v>
      </c>
      <c r="F261" s="104"/>
      <c r="G261" s="104"/>
      <c r="H261" s="104"/>
      <c r="I261" s="105"/>
      <c r="J261" s="104">
        <f t="shared" si="437"/>
        <v>0</v>
      </c>
      <c r="K261" s="104">
        <f t="shared" si="440"/>
        <v>0</v>
      </c>
      <c r="L261" s="104">
        <f t="shared" si="438"/>
        <v>0</v>
      </c>
      <c r="M261" s="104"/>
      <c r="N261" s="104"/>
      <c r="O261" s="104"/>
      <c r="P261" s="104"/>
      <c r="Q261" s="104">
        <f t="shared" si="368"/>
        <v>0</v>
      </c>
      <c r="R261" s="104">
        <f t="shared" si="441"/>
        <v>0</v>
      </c>
      <c r="S261" s="104"/>
      <c r="T261" s="105"/>
      <c r="U261" s="100">
        <f t="shared" si="360"/>
        <v>0</v>
      </c>
      <c r="V261" s="130"/>
      <c r="W261" s="134">
        <f t="shared" si="361"/>
        <v>0</v>
      </c>
      <c r="X261" s="106"/>
      <c r="Y261" s="106">
        <f t="shared" si="432"/>
        <v>0</v>
      </c>
      <c r="Z261" s="106">
        <f t="shared" si="433"/>
        <v>0</v>
      </c>
      <c r="AA261" s="106">
        <f t="shared" si="434"/>
        <v>0</v>
      </c>
      <c r="AB261" s="106">
        <f t="shared" si="435"/>
        <v>0</v>
      </c>
      <c r="AC261" s="107">
        <f t="shared" si="436"/>
        <v>0</v>
      </c>
    </row>
    <row r="262" spans="1:29" s="82" customFormat="1" ht="17.25" customHeight="1">
      <c r="A262" s="1267"/>
      <c r="B262" s="97"/>
      <c r="C262" s="98"/>
      <c r="D262" s="98"/>
      <c r="E262" s="102" t="s">
        <v>54</v>
      </c>
      <c r="F262" s="104"/>
      <c r="G262" s="104"/>
      <c r="H262" s="104"/>
      <c r="I262" s="105"/>
      <c r="J262" s="104">
        <f t="shared" si="437"/>
        <v>0</v>
      </c>
      <c r="K262" s="104">
        <f t="shared" si="440"/>
        <v>0</v>
      </c>
      <c r="L262" s="104">
        <f t="shared" si="438"/>
        <v>0</v>
      </c>
      <c r="M262" s="104">
        <f t="shared" ref="M262" si="442">F262*60%</f>
        <v>0</v>
      </c>
      <c r="N262" s="104"/>
      <c r="O262" s="104"/>
      <c r="P262" s="104"/>
      <c r="Q262" s="104">
        <f t="shared" si="368"/>
        <v>0</v>
      </c>
      <c r="R262" s="104">
        <f t="shared" si="441"/>
        <v>0</v>
      </c>
      <c r="S262" s="104"/>
      <c r="T262" s="105"/>
      <c r="U262" s="100">
        <f t="shared" si="360"/>
        <v>0</v>
      </c>
      <c r="V262" s="130"/>
      <c r="W262" s="134">
        <f t="shared" si="361"/>
        <v>0</v>
      </c>
      <c r="X262" s="106"/>
      <c r="Y262" s="106">
        <f t="shared" si="432"/>
        <v>0</v>
      </c>
      <c r="Z262" s="106">
        <f t="shared" si="433"/>
        <v>0</v>
      </c>
      <c r="AA262" s="106">
        <f t="shared" si="434"/>
        <v>0</v>
      </c>
      <c r="AB262" s="106">
        <f t="shared" si="435"/>
        <v>0</v>
      </c>
      <c r="AC262" s="107">
        <f t="shared" si="436"/>
        <v>0</v>
      </c>
    </row>
    <row r="263" spans="1:29" s="82" customFormat="1" ht="17.25" customHeight="1">
      <c r="A263" s="1267"/>
      <c r="B263" s="97"/>
      <c r="C263" s="98"/>
      <c r="D263" s="98"/>
      <c r="E263" s="102" t="s">
        <v>55</v>
      </c>
      <c r="F263" s="104"/>
      <c r="G263" s="104"/>
      <c r="H263" s="104"/>
      <c r="I263" s="105"/>
      <c r="J263" s="104">
        <f t="shared" si="437"/>
        <v>0</v>
      </c>
      <c r="K263" s="104">
        <f t="shared" si="440"/>
        <v>0</v>
      </c>
      <c r="L263" s="104">
        <f t="shared" si="438"/>
        <v>0</v>
      </c>
      <c r="M263" s="104"/>
      <c r="N263" s="104"/>
      <c r="O263" s="104"/>
      <c r="P263" s="104"/>
      <c r="Q263" s="104">
        <f t="shared" si="368"/>
        <v>0</v>
      </c>
      <c r="R263" s="104">
        <f t="shared" si="441"/>
        <v>0</v>
      </c>
      <c r="S263" s="104"/>
      <c r="T263" s="105"/>
      <c r="U263" s="100">
        <f t="shared" si="360"/>
        <v>0</v>
      </c>
      <c r="V263" s="130"/>
      <c r="W263" s="134">
        <f t="shared" si="361"/>
        <v>0</v>
      </c>
      <c r="X263" s="106"/>
      <c r="Y263" s="106">
        <f t="shared" si="432"/>
        <v>0</v>
      </c>
      <c r="Z263" s="106">
        <f t="shared" si="433"/>
        <v>0</v>
      </c>
      <c r="AA263" s="106">
        <f t="shared" si="434"/>
        <v>0</v>
      </c>
      <c r="AB263" s="106">
        <f t="shared" si="435"/>
        <v>0</v>
      </c>
      <c r="AC263" s="107">
        <f t="shared" si="436"/>
        <v>0</v>
      </c>
    </row>
    <row r="264" spans="1:29" s="82" customFormat="1" ht="16.5" customHeight="1">
      <c r="A264" s="1267"/>
      <c r="B264" s="97"/>
      <c r="C264" s="98"/>
      <c r="D264" s="98"/>
      <c r="E264" s="102" t="s">
        <v>56</v>
      </c>
      <c r="F264" s="104"/>
      <c r="G264" s="104"/>
      <c r="H264" s="104"/>
      <c r="I264" s="105"/>
      <c r="J264" s="104">
        <f t="shared" si="437"/>
        <v>0</v>
      </c>
      <c r="K264" s="104">
        <f t="shared" si="440"/>
        <v>0</v>
      </c>
      <c r="L264" s="104">
        <f t="shared" si="438"/>
        <v>0</v>
      </c>
      <c r="M264" s="104"/>
      <c r="N264" s="104"/>
      <c r="O264" s="104"/>
      <c r="P264" s="104"/>
      <c r="Q264" s="104">
        <f t="shared" si="368"/>
        <v>0</v>
      </c>
      <c r="R264" s="104">
        <f t="shared" si="441"/>
        <v>0</v>
      </c>
      <c r="S264" s="104"/>
      <c r="T264" s="105"/>
      <c r="U264" s="100">
        <f t="shared" si="360"/>
        <v>0</v>
      </c>
      <c r="V264" s="130"/>
      <c r="W264" s="134">
        <f t="shared" si="361"/>
        <v>0</v>
      </c>
      <c r="X264" s="106"/>
      <c r="Y264" s="106">
        <f t="shared" si="432"/>
        <v>0</v>
      </c>
      <c r="Z264" s="106">
        <f t="shared" si="433"/>
        <v>0</v>
      </c>
      <c r="AA264" s="106">
        <f t="shared" si="434"/>
        <v>0</v>
      </c>
      <c r="AB264" s="106">
        <f t="shared" si="435"/>
        <v>0</v>
      </c>
      <c r="AC264" s="107">
        <f t="shared" si="436"/>
        <v>0</v>
      </c>
    </row>
    <row r="265" spans="1:29" s="82" customFormat="1" ht="16.5" customHeight="1">
      <c r="A265" s="1267"/>
      <c r="B265" s="97"/>
      <c r="C265" s="98"/>
      <c r="D265" s="98"/>
      <c r="E265" s="102" t="s">
        <v>281</v>
      </c>
      <c r="F265" s="104"/>
      <c r="G265" s="104"/>
      <c r="H265" s="104"/>
      <c r="I265" s="105"/>
      <c r="J265" s="104">
        <f t="shared" si="437"/>
        <v>0</v>
      </c>
      <c r="K265" s="104">
        <f>J265*40*2</f>
        <v>0</v>
      </c>
      <c r="L265" s="104">
        <f t="shared" si="438"/>
        <v>0</v>
      </c>
      <c r="M265" s="104"/>
      <c r="N265" s="104"/>
      <c r="O265" s="104"/>
      <c r="P265" s="104"/>
      <c r="Q265" s="104">
        <f t="shared" si="368"/>
        <v>0</v>
      </c>
      <c r="R265" s="104">
        <f>Q265*40*2</f>
        <v>0</v>
      </c>
      <c r="S265" s="104"/>
      <c r="T265" s="105"/>
      <c r="U265" s="100">
        <f t="shared" si="360"/>
        <v>0</v>
      </c>
      <c r="V265" s="130"/>
      <c r="W265" s="134">
        <f t="shared" si="361"/>
        <v>0</v>
      </c>
      <c r="X265" s="106"/>
      <c r="Y265" s="106">
        <f t="shared" si="432"/>
        <v>0</v>
      </c>
      <c r="Z265" s="106">
        <f t="shared" si="433"/>
        <v>0</v>
      </c>
      <c r="AA265" s="106">
        <f t="shared" si="434"/>
        <v>0</v>
      </c>
      <c r="AB265" s="106">
        <f t="shared" si="435"/>
        <v>0</v>
      </c>
      <c r="AC265" s="107">
        <f t="shared" si="436"/>
        <v>0</v>
      </c>
    </row>
    <row r="266" spans="1:29" s="82" customFormat="1" ht="16.5" customHeight="1">
      <c r="A266" s="1267">
        <v>21</v>
      </c>
      <c r="B266" s="97" t="s">
        <v>87</v>
      </c>
      <c r="C266" s="98" t="s">
        <v>609</v>
      </c>
      <c r="D266" s="98">
        <v>1</v>
      </c>
      <c r="E266" s="99" t="s">
        <v>86</v>
      </c>
      <c r="F266" s="100">
        <f t="shared" ref="F266" si="443">SUM(F267:F278)</f>
        <v>0</v>
      </c>
      <c r="G266" s="100">
        <f t="shared" ref="G266:N266" si="444">SUM(G267:G278)</f>
        <v>0</v>
      </c>
      <c r="H266" s="100">
        <f t="shared" si="444"/>
        <v>0</v>
      </c>
      <c r="I266" s="100">
        <f t="shared" ref="I266" si="445">SUM(I267:I278)</f>
        <v>0</v>
      </c>
      <c r="J266" s="100">
        <f t="shared" si="444"/>
        <v>0</v>
      </c>
      <c r="K266" s="100">
        <f t="shared" si="444"/>
        <v>0</v>
      </c>
      <c r="L266" s="100">
        <f t="shared" si="444"/>
        <v>0</v>
      </c>
      <c r="M266" s="100">
        <f t="shared" si="444"/>
        <v>0</v>
      </c>
      <c r="N266" s="100">
        <f t="shared" si="444"/>
        <v>0</v>
      </c>
      <c r="O266" s="100">
        <f t="shared" ref="O266" si="446">SUM(O267:O278)</f>
        <v>0</v>
      </c>
      <c r="P266" s="100"/>
      <c r="Q266" s="100"/>
      <c r="R266" s="100">
        <f t="shared" ref="R266" si="447">SUM(R267:R278)</f>
        <v>0</v>
      </c>
      <c r="S266" s="100">
        <f>SUM(S267:S278)</f>
        <v>0</v>
      </c>
      <c r="T266" s="100"/>
      <c r="U266" s="100">
        <f t="shared" ref="U266" si="448">SUM(U267:U278)</f>
        <v>0</v>
      </c>
      <c r="V266" s="130"/>
      <c r="W266" s="143">
        <f t="shared" ref="W266" si="449">SUM(W267:W278)</f>
        <v>0</v>
      </c>
      <c r="X266" s="100">
        <f t="shared" ref="X266" si="450">SUM(X267:X278)</f>
        <v>0</v>
      </c>
      <c r="Y266" s="100">
        <f t="shared" ref="Y266:AB266" si="451">SUM(Y267:Y278)</f>
        <v>0</v>
      </c>
      <c r="Z266" s="100">
        <f t="shared" si="451"/>
        <v>0</v>
      </c>
      <c r="AA266" s="100">
        <f t="shared" si="451"/>
        <v>0</v>
      </c>
      <c r="AB266" s="100">
        <f t="shared" si="451"/>
        <v>0</v>
      </c>
      <c r="AC266" s="101">
        <f>SUM(AC267:AC278)</f>
        <v>0</v>
      </c>
    </row>
    <row r="267" spans="1:29" s="82" customFormat="1" ht="16.5" customHeight="1">
      <c r="A267" s="1267"/>
      <c r="B267" s="97" t="s">
        <v>819</v>
      </c>
      <c r="C267" s="171">
        <v>11</v>
      </c>
      <c r="D267" s="171"/>
      <c r="E267" s="172" t="s">
        <v>273</v>
      </c>
      <c r="F267" s="173"/>
      <c r="G267" s="104"/>
      <c r="H267" s="103"/>
      <c r="I267" s="105"/>
      <c r="J267" s="104"/>
      <c r="K267" s="104"/>
      <c r="L267" s="104"/>
      <c r="M267" s="104">
        <f t="shared" ref="M267" si="452">F267*60%</f>
        <v>0</v>
      </c>
      <c r="N267" s="104"/>
      <c r="O267" s="104"/>
      <c r="P267" s="104"/>
      <c r="Q267" s="104"/>
      <c r="R267" s="104"/>
      <c r="S267" s="104"/>
      <c r="T267" s="105"/>
      <c r="U267" s="100">
        <f t="shared" ref="U267" si="453">SUM(I267,L267)</f>
        <v>0</v>
      </c>
      <c r="V267" s="130"/>
      <c r="W267" s="134">
        <f t="shared" ref="W267:W268" si="454">ROUNDUP(U267*1/12,-1)</f>
        <v>0</v>
      </c>
      <c r="X267" s="106"/>
      <c r="Y267" s="106">
        <f t="shared" ref="Y267:Y278" si="455">ROUNDUP((U267-L267)*3.06%,-1)</f>
        <v>0</v>
      </c>
      <c r="Z267" s="106">
        <f>ROUNDUP(Y267*6.55%,-1)</f>
        <v>0</v>
      </c>
      <c r="AA267" s="106">
        <f t="shared" ref="AA267:AA278" si="456">ROUND(U267*0.9%,-1)</f>
        <v>0</v>
      </c>
      <c r="AB267" s="106">
        <f t="shared" ref="AB267:AB278" si="457">ROUND(U267*0.8%,-1)</f>
        <v>0</v>
      </c>
      <c r="AC267" s="107">
        <f t="shared" ref="AC267:AC278" si="458">SUM(W267:AB267)</f>
        <v>0</v>
      </c>
    </row>
    <row r="268" spans="1:29" s="82" customFormat="1" ht="16.5" customHeight="1">
      <c r="A268" s="1267"/>
      <c r="B268" s="97"/>
      <c r="C268" s="98"/>
      <c r="D268" s="98"/>
      <c r="E268" s="102" t="s">
        <v>274</v>
      </c>
      <c r="F268" s="104"/>
      <c r="G268" s="104"/>
      <c r="H268" s="104"/>
      <c r="I268" s="105"/>
      <c r="J268" s="104">
        <f t="shared" ref="J268:J278" si="459">ROUND((F267+I267+T267)*1/209*1.5,-1)</f>
        <v>0</v>
      </c>
      <c r="K268" s="104">
        <f t="shared" ref="K268:K277" si="460">J268*25</f>
        <v>0</v>
      </c>
      <c r="L268" s="104">
        <f t="shared" ref="L268:L278" si="461">K268-R268-S268</f>
        <v>0</v>
      </c>
      <c r="M268" s="104"/>
      <c r="N268" s="104"/>
      <c r="O268" s="104"/>
      <c r="P268" s="104"/>
      <c r="Q268" s="104">
        <f t="shared" ref="Q268" si="462">ROUND((F267+T267)*1/209*1.5,-1)</f>
        <v>0</v>
      </c>
      <c r="R268" s="104">
        <f>Q268*20</f>
        <v>0</v>
      </c>
      <c r="S268" s="104">
        <f>Q268*5</f>
        <v>0</v>
      </c>
      <c r="T268" s="105"/>
      <c r="U268" s="100">
        <f t="shared" si="360"/>
        <v>0</v>
      </c>
      <c r="V268" s="130"/>
      <c r="W268" s="134">
        <f t="shared" si="454"/>
        <v>0</v>
      </c>
      <c r="X268" s="106"/>
      <c r="Y268" s="106">
        <f t="shared" si="455"/>
        <v>0</v>
      </c>
      <c r="Z268" s="106">
        <f t="shared" ref="Z268:Z278" si="463">ROUNDUP(Y268*6.55%,-1)</f>
        <v>0</v>
      </c>
      <c r="AA268" s="106">
        <f t="shared" si="456"/>
        <v>0</v>
      </c>
      <c r="AB268" s="106">
        <f t="shared" si="457"/>
        <v>0</v>
      </c>
      <c r="AC268" s="107">
        <f t="shared" si="458"/>
        <v>0</v>
      </c>
    </row>
    <row r="269" spans="1:29" s="82" customFormat="1" ht="16.5" customHeight="1">
      <c r="A269" s="1267"/>
      <c r="B269" s="97"/>
      <c r="C269" s="98"/>
      <c r="D269" s="98"/>
      <c r="E269" s="102" t="s">
        <v>275</v>
      </c>
      <c r="F269" s="104"/>
      <c r="G269" s="104"/>
      <c r="H269" s="104"/>
      <c r="I269" s="105"/>
      <c r="J269" s="104">
        <f t="shared" si="459"/>
        <v>0</v>
      </c>
      <c r="K269" s="104">
        <f t="shared" si="460"/>
        <v>0</v>
      </c>
      <c r="L269" s="104">
        <f t="shared" si="461"/>
        <v>0</v>
      </c>
      <c r="M269" s="104"/>
      <c r="N269" s="104"/>
      <c r="O269" s="104"/>
      <c r="P269" s="104"/>
      <c r="Q269" s="104">
        <f t="shared" si="368"/>
        <v>0</v>
      </c>
      <c r="R269" s="104">
        <f t="shared" ref="R269:R277" si="464">Q269*20</f>
        <v>0</v>
      </c>
      <c r="S269" s="104">
        <f t="shared" ref="S269:S277" si="465">Q269*5</f>
        <v>0</v>
      </c>
      <c r="T269" s="105"/>
      <c r="U269" s="100">
        <f t="shared" si="360"/>
        <v>0</v>
      </c>
      <c r="V269" s="130"/>
      <c r="W269" s="134">
        <f t="shared" si="361"/>
        <v>0</v>
      </c>
      <c r="X269" s="106"/>
      <c r="Y269" s="106">
        <f t="shared" si="455"/>
        <v>0</v>
      </c>
      <c r="Z269" s="106">
        <f t="shared" si="463"/>
        <v>0</v>
      </c>
      <c r="AA269" s="106">
        <f t="shared" si="456"/>
        <v>0</v>
      </c>
      <c r="AB269" s="106">
        <f t="shared" si="457"/>
        <v>0</v>
      </c>
      <c r="AC269" s="107">
        <f t="shared" si="458"/>
        <v>0</v>
      </c>
    </row>
    <row r="270" spans="1:29" s="82" customFormat="1" ht="16.5" customHeight="1">
      <c r="A270" s="1267"/>
      <c r="B270" s="97"/>
      <c r="C270" s="98"/>
      <c r="D270" s="98"/>
      <c r="E270" s="102" t="s">
        <v>276</v>
      </c>
      <c r="F270" s="173"/>
      <c r="G270" s="104"/>
      <c r="H270" s="104"/>
      <c r="I270" s="105"/>
      <c r="J270" s="104">
        <f t="shared" si="459"/>
        <v>0</v>
      </c>
      <c r="K270" s="104">
        <f t="shared" si="460"/>
        <v>0</v>
      </c>
      <c r="L270" s="104">
        <f t="shared" si="461"/>
        <v>0</v>
      </c>
      <c r="M270" s="104"/>
      <c r="N270" s="104"/>
      <c r="O270" s="104"/>
      <c r="P270" s="104"/>
      <c r="Q270" s="104">
        <f t="shared" si="368"/>
        <v>0</v>
      </c>
      <c r="R270" s="104">
        <f t="shared" si="464"/>
        <v>0</v>
      </c>
      <c r="S270" s="104">
        <f t="shared" si="465"/>
        <v>0</v>
      </c>
      <c r="T270" s="105"/>
      <c r="U270" s="100">
        <f t="shared" si="360"/>
        <v>0</v>
      </c>
      <c r="V270" s="130"/>
      <c r="W270" s="134">
        <f t="shared" si="361"/>
        <v>0</v>
      </c>
      <c r="X270" s="106"/>
      <c r="Y270" s="106">
        <f t="shared" si="455"/>
        <v>0</v>
      </c>
      <c r="Z270" s="106">
        <f t="shared" si="463"/>
        <v>0</v>
      </c>
      <c r="AA270" s="106">
        <f t="shared" si="456"/>
        <v>0</v>
      </c>
      <c r="AB270" s="106">
        <f t="shared" si="457"/>
        <v>0</v>
      </c>
      <c r="AC270" s="107">
        <f t="shared" si="458"/>
        <v>0</v>
      </c>
    </row>
    <row r="271" spans="1:29" s="82" customFormat="1" ht="16.5" customHeight="1">
      <c r="A271" s="1267"/>
      <c r="B271" s="97"/>
      <c r="C271" s="98"/>
      <c r="D271" s="98"/>
      <c r="E271" s="102" t="s">
        <v>277</v>
      </c>
      <c r="F271" s="104"/>
      <c r="G271" s="104"/>
      <c r="H271" s="104"/>
      <c r="I271" s="105"/>
      <c r="J271" s="104">
        <f t="shared" si="459"/>
        <v>0</v>
      </c>
      <c r="K271" s="104">
        <f t="shared" si="460"/>
        <v>0</v>
      </c>
      <c r="L271" s="104">
        <f t="shared" si="461"/>
        <v>0</v>
      </c>
      <c r="M271" s="104"/>
      <c r="N271" s="104"/>
      <c r="O271" s="104"/>
      <c r="P271" s="104"/>
      <c r="Q271" s="104">
        <f t="shared" si="368"/>
        <v>0</v>
      </c>
      <c r="R271" s="104">
        <f t="shared" si="464"/>
        <v>0</v>
      </c>
      <c r="S271" s="104">
        <f t="shared" si="465"/>
        <v>0</v>
      </c>
      <c r="T271" s="105"/>
      <c r="U271" s="100">
        <f t="shared" si="360"/>
        <v>0</v>
      </c>
      <c r="V271" s="130"/>
      <c r="W271" s="134">
        <f t="shared" si="361"/>
        <v>0</v>
      </c>
      <c r="X271" s="106"/>
      <c r="Y271" s="106">
        <f t="shared" si="455"/>
        <v>0</v>
      </c>
      <c r="Z271" s="106">
        <f t="shared" si="463"/>
        <v>0</v>
      </c>
      <c r="AA271" s="106">
        <f t="shared" si="456"/>
        <v>0</v>
      </c>
      <c r="AB271" s="106">
        <f t="shared" si="457"/>
        <v>0</v>
      </c>
      <c r="AC271" s="107">
        <f t="shared" si="458"/>
        <v>0</v>
      </c>
    </row>
    <row r="272" spans="1:29" s="82" customFormat="1" ht="16.5" customHeight="1">
      <c r="A272" s="1267"/>
      <c r="B272" s="97"/>
      <c r="C272" s="98"/>
      <c r="D272" s="98"/>
      <c r="E272" s="102" t="s">
        <v>278</v>
      </c>
      <c r="F272" s="104"/>
      <c r="G272" s="104"/>
      <c r="H272" s="104"/>
      <c r="I272" s="105"/>
      <c r="J272" s="104">
        <f t="shared" si="459"/>
        <v>0</v>
      </c>
      <c r="K272" s="104">
        <f t="shared" si="460"/>
        <v>0</v>
      </c>
      <c r="L272" s="104">
        <f t="shared" si="461"/>
        <v>0</v>
      </c>
      <c r="M272" s="104"/>
      <c r="N272" s="104"/>
      <c r="O272" s="104"/>
      <c r="P272" s="104"/>
      <c r="Q272" s="104">
        <f t="shared" si="368"/>
        <v>0</v>
      </c>
      <c r="R272" s="104">
        <f t="shared" si="464"/>
        <v>0</v>
      </c>
      <c r="S272" s="104">
        <f t="shared" si="465"/>
        <v>0</v>
      </c>
      <c r="T272" s="105"/>
      <c r="U272" s="100">
        <f t="shared" si="360"/>
        <v>0</v>
      </c>
      <c r="V272" s="130"/>
      <c r="W272" s="134">
        <f t="shared" si="361"/>
        <v>0</v>
      </c>
      <c r="X272" s="106"/>
      <c r="Y272" s="106">
        <f t="shared" si="455"/>
        <v>0</v>
      </c>
      <c r="Z272" s="106">
        <f t="shared" si="463"/>
        <v>0</v>
      </c>
      <c r="AA272" s="106">
        <f t="shared" si="456"/>
        <v>0</v>
      </c>
      <c r="AB272" s="106">
        <f t="shared" si="457"/>
        <v>0</v>
      </c>
      <c r="AC272" s="107">
        <f t="shared" si="458"/>
        <v>0</v>
      </c>
    </row>
    <row r="273" spans="1:29" s="82" customFormat="1" ht="16.5" customHeight="1">
      <c r="A273" s="1267"/>
      <c r="B273" s="97"/>
      <c r="C273" s="98"/>
      <c r="D273" s="98"/>
      <c r="E273" s="102" t="s">
        <v>279</v>
      </c>
      <c r="F273" s="104"/>
      <c r="G273" s="104"/>
      <c r="H273" s="103"/>
      <c r="I273" s="105"/>
      <c r="J273" s="104">
        <f t="shared" si="459"/>
        <v>0</v>
      </c>
      <c r="K273" s="104">
        <f t="shared" si="460"/>
        <v>0</v>
      </c>
      <c r="L273" s="104">
        <f t="shared" si="461"/>
        <v>0</v>
      </c>
      <c r="M273" s="104"/>
      <c r="N273" s="104"/>
      <c r="O273" s="104"/>
      <c r="P273" s="104"/>
      <c r="Q273" s="104">
        <f t="shared" si="368"/>
        <v>0</v>
      </c>
      <c r="R273" s="104">
        <f t="shared" si="464"/>
        <v>0</v>
      </c>
      <c r="S273" s="104">
        <f t="shared" si="465"/>
        <v>0</v>
      </c>
      <c r="T273" s="105"/>
      <c r="U273" s="100">
        <f t="shared" si="360"/>
        <v>0</v>
      </c>
      <c r="V273" s="130"/>
      <c r="W273" s="134">
        <f t="shared" si="361"/>
        <v>0</v>
      </c>
      <c r="X273" s="106"/>
      <c r="Y273" s="106">
        <f t="shared" si="455"/>
        <v>0</v>
      </c>
      <c r="Z273" s="106">
        <f t="shared" si="463"/>
        <v>0</v>
      </c>
      <c r="AA273" s="106">
        <f t="shared" si="456"/>
        <v>0</v>
      </c>
      <c r="AB273" s="106">
        <f t="shared" si="457"/>
        <v>0</v>
      </c>
      <c r="AC273" s="107">
        <f t="shared" si="458"/>
        <v>0</v>
      </c>
    </row>
    <row r="274" spans="1:29" s="82" customFormat="1" ht="16.5" customHeight="1">
      <c r="A274" s="1267"/>
      <c r="B274" s="97"/>
      <c r="C274" s="98"/>
      <c r="D274" s="98"/>
      <c r="E274" s="102" t="s">
        <v>280</v>
      </c>
      <c r="F274" s="104"/>
      <c r="G274" s="104"/>
      <c r="H274" s="104"/>
      <c r="I274" s="105"/>
      <c r="J274" s="104">
        <f t="shared" si="459"/>
        <v>0</v>
      </c>
      <c r="K274" s="104">
        <f t="shared" si="460"/>
        <v>0</v>
      </c>
      <c r="L274" s="104">
        <f t="shared" si="461"/>
        <v>0</v>
      </c>
      <c r="M274" s="104"/>
      <c r="N274" s="104"/>
      <c r="O274" s="104"/>
      <c r="P274" s="104"/>
      <c r="Q274" s="104">
        <f t="shared" si="368"/>
        <v>0</v>
      </c>
      <c r="R274" s="104">
        <f t="shared" si="464"/>
        <v>0</v>
      </c>
      <c r="S274" s="104">
        <f t="shared" si="465"/>
        <v>0</v>
      </c>
      <c r="T274" s="105"/>
      <c r="U274" s="100">
        <f t="shared" si="360"/>
        <v>0</v>
      </c>
      <c r="V274" s="130"/>
      <c r="W274" s="134">
        <f t="shared" si="361"/>
        <v>0</v>
      </c>
      <c r="X274" s="106"/>
      <c r="Y274" s="106">
        <f t="shared" si="455"/>
        <v>0</v>
      </c>
      <c r="Z274" s="106">
        <f t="shared" si="463"/>
        <v>0</v>
      </c>
      <c r="AA274" s="106">
        <f t="shared" si="456"/>
        <v>0</v>
      </c>
      <c r="AB274" s="106">
        <f t="shared" si="457"/>
        <v>0</v>
      </c>
      <c r="AC274" s="107">
        <f t="shared" si="458"/>
        <v>0</v>
      </c>
    </row>
    <row r="275" spans="1:29" s="82" customFormat="1" ht="16.5" customHeight="1">
      <c r="A275" s="1267"/>
      <c r="B275" s="97"/>
      <c r="C275" s="98"/>
      <c r="D275" s="98"/>
      <c r="E275" s="102" t="s">
        <v>54</v>
      </c>
      <c r="F275" s="104"/>
      <c r="G275" s="104"/>
      <c r="H275" s="104"/>
      <c r="I275" s="105"/>
      <c r="J275" s="104">
        <f t="shared" si="459"/>
        <v>0</v>
      </c>
      <c r="K275" s="104">
        <f t="shared" si="460"/>
        <v>0</v>
      </c>
      <c r="L275" s="104">
        <f t="shared" si="461"/>
        <v>0</v>
      </c>
      <c r="M275" s="104">
        <f t="shared" ref="M275" si="466">F275*60%</f>
        <v>0</v>
      </c>
      <c r="N275" s="104"/>
      <c r="O275" s="104"/>
      <c r="P275" s="104"/>
      <c r="Q275" s="104">
        <f t="shared" si="368"/>
        <v>0</v>
      </c>
      <c r="R275" s="104">
        <f t="shared" si="464"/>
        <v>0</v>
      </c>
      <c r="S275" s="104">
        <f t="shared" si="465"/>
        <v>0</v>
      </c>
      <c r="T275" s="105"/>
      <c r="U275" s="100">
        <f t="shared" si="360"/>
        <v>0</v>
      </c>
      <c r="V275" s="130"/>
      <c r="W275" s="134">
        <f t="shared" si="361"/>
        <v>0</v>
      </c>
      <c r="X275" s="106"/>
      <c r="Y275" s="106">
        <f t="shared" si="455"/>
        <v>0</v>
      </c>
      <c r="Z275" s="106">
        <f t="shared" si="463"/>
        <v>0</v>
      </c>
      <c r="AA275" s="106">
        <f t="shared" si="456"/>
        <v>0</v>
      </c>
      <c r="AB275" s="106">
        <f t="shared" si="457"/>
        <v>0</v>
      </c>
      <c r="AC275" s="107">
        <f t="shared" si="458"/>
        <v>0</v>
      </c>
    </row>
    <row r="276" spans="1:29" s="82" customFormat="1" ht="16.5" customHeight="1">
      <c r="A276" s="1267"/>
      <c r="B276" s="97"/>
      <c r="C276" s="98"/>
      <c r="D276" s="98"/>
      <c r="E276" s="102" t="s">
        <v>55</v>
      </c>
      <c r="F276" s="104"/>
      <c r="G276" s="104"/>
      <c r="H276" s="104"/>
      <c r="I276" s="105"/>
      <c r="J276" s="104">
        <f t="shared" si="459"/>
        <v>0</v>
      </c>
      <c r="K276" s="104">
        <f t="shared" si="460"/>
        <v>0</v>
      </c>
      <c r="L276" s="104">
        <f t="shared" si="461"/>
        <v>0</v>
      </c>
      <c r="M276" s="104"/>
      <c r="N276" s="104"/>
      <c r="O276" s="104"/>
      <c r="P276" s="104"/>
      <c r="Q276" s="104">
        <f t="shared" si="368"/>
        <v>0</v>
      </c>
      <c r="R276" s="104">
        <f t="shared" si="464"/>
        <v>0</v>
      </c>
      <c r="S276" s="104">
        <f t="shared" si="465"/>
        <v>0</v>
      </c>
      <c r="T276" s="105"/>
      <c r="U276" s="100">
        <f t="shared" si="360"/>
        <v>0</v>
      </c>
      <c r="V276" s="130"/>
      <c r="W276" s="134">
        <f t="shared" si="361"/>
        <v>0</v>
      </c>
      <c r="X276" s="106"/>
      <c r="Y276" s="106">
        <f t="shared" si="455"/>
        <v>0</v>
      </c>
      <c r="Z276" s="106">
        <f t="shared" si="463"/>
        <v>0</v>
      </c>
      <c r="AA276" s="106">
        <f t="shared" si="456"/>
        <v>0</v>
      </c>
      <c r="AB276" s="106">
        <f t="shared" si="457"/>
        <v>0</v>
      </c>
      <c r="AC276" s="107">
        <f t="shared" si="458"/>
        <v>0</v>
      </c>
    </row>
    <row r="277" spans="1:29" s="82" customFormat="1" ht="16.5" customHeight="1">
      <c r="A277" s="1267"/>
      <c r="B277" s="97"/>
      <c r="C277" s="171">
        <v>12</v>
      </c>
      <c r="D277" s="171"/>
      <c r="E277" s="172" t="s">
        <v>56</v>
      </c>
      <c r="F277" s="104"/>
      <c r="G277" s="104"/>
      <c r="H277" s="104"/>
      <c r="I277" s="105"/>
      <c r="J277" s="104">
        <f t="shared" si="459"/>
        <v>0</v>
      </c>
      <c r="K277" s="104">
        <f t="shared" si="460"/>
        <v>0</v>
      </c>
      <c r="L277" s="104">
        <f t="shared" si="461"/>
        <v>0</v>
      </c>
      <c r="M277" s="104"/>
      <c r="N277" s="104"/>
      <c r="O277" s="104"/>
      <c r="P277" s="104"/>
      <c r="Q277" s="104">
        <f t="shared" si="368"/>
        <v>0</v>
      </c>
      <c r="R277" s="104">
        <f t="shared" si="464"/>
        <v>0</v>
      </c>
      <c r="S277" s="104">
        <f t="shared" si="465"/>
        <v>0</v>
      </c>
      <c r="T277" s="105"/>
      <c r="U277" s="100">
        <f t="shared" si="360"/>
        <v>0</v>
      </c>
      <c r="V277" s="130"/>
      <c r="W277" s="134">
        <f t="shared" si="361"/>
        <v>0</v>
      </c>
      <c r="X277" s="106"/>
      <c r="Y277" s="106">
        <f t="shared" si="455"/>
        <v>0</v>
      </c>
      <c r="Z277" s="106">
        <f t="shared" si="463"/>
        <v>0</v>
      </c>
      <c r="AA277" s="106">
        <f t="shared" si="456"/>
        <v>0</v>
      </c>
      <c r="AB277" s="106">
        <f t="shared" si="457"/>
        <v>0</v>
      </c>
      <c r="AC277" s="107">
        <f t="shared" si="458"/>
        <v>0</v>
      </c>
    </row>
    <row r="278" spans="1:29" s="82" customFormat="1" ht="16.5" customHeight="1">
      <c r="A278" s="1267"/>
      <c r="B278" s="97"/>
      <c r="C278" s="98"/>
      <c r="D278" s="98"/>
      <c r="E278" s="102" t="s">
        <v>281</v>
      </c>
      <c r="F278" s="104"/>
      <c r="G278" s="104"/>
      <c r="H278" s="104"/>
      <c r="I278" s="105"/>
      <c r="J278" s="104">
        <f t="shared" si="459"/>
        <v>0</v>
      </c>
      <c r="K278" s="104">
        <f t="shared" ref="K278" si="467">J278*25*2</f>
        <v>0</v>
      </c>
      <c r="L278" s="104">
        <f t="shared" si="461"/>
        <v>0</v>
      </c>
      <c r="M278" s="104"/>
      <c r="N278" s="104"/>
      <c r="O278" s="104"/>
      <c r="P278" s="104"/>
      <c r="Q278" s="104">
        <f t="shared" si="368"/>
        <v>0</v>
      </c>
      <c r="R278" s="104">
        <f>Q278*20*2</f>
        <v>0</v>
      </c>
      <c r="S278" s="104">
        <f>(Q278*5)*2</f>
        <v>0</v>
      </c>
      <c r="T278" s="105"/>
      <c r="U278" s="100">
        <f t="shared" si="360"/>
        <v>0</v>
      </c>
      <c r="V278" s="130"/>
      <c r="W278" s="134">
        <f t="shared" si="361"/>
        <v>0</v>
      </c>
      <c r="X278" s="106"/>
      <c r="Y278" s="106">
        <f t="shared" si="455"/>
        <v>0</v>
      </c>
      <c r="Z278" s="106">
        <f t="shared" si="463"/>
        <v>0</v>
      </c>
      <c r="AA278" s="106">
        <f t="shared" si="456"/>
        <v>0</v>
      </c>
      <c r="AB278" s="106">
        <f t="shared" si="457"/>
        <v>0</v>
      </c>
      <c r="AC278" s="107">
        <f t="shared" si="458"/>
        <v>0</v>
      </c>
    </row>
    <row r="279" spans="1:29" s="82" customFormat="1" ht="18" customHeight="1">
      <c r="A279" s="1267">
        <v>22</v>
      </c>
      <c r="B279" s="97" t="s">
        <v>87</v>
      </c>
      <c r="C279" s="69" t="s">
        <v>522</v>
      </c>
      <c r="D279" s="98">
        <v>1</v>
      </c>
      <c r="E279" s="99" t="s">
        <v>86</v>
      </c>
      <c r="F279" s="100">
        <f t="shared" ref="F279" si="468">SUM(F280:F291)</f>
        <v>0</v>
      </c>
      <c r="G279" s="100">
        <f t="shared" ref="G279:N279" si="469">SUM(G280:G291)</f>
        <v>0</v>
      </c>
      <c r="H279" s="100">
        <f t="shared" si="469"/>
        <v>0</v>
      </c>
      <c r="I279" s="100">
        <f t="shared" ref="I279" si="470">SUM(I280:I291)</f>
        <v>0</v>
      </c>
      <c r="J279" s="100">
        <f t="shared" si="469"/>
        <v>0</v>
      </c>
      <c r="K279" s="100">
        <f t="shared" si="469"/>
        <v>0</v>
      </c>
      <c r="L279" s="100">
        <f t="shared" si="469"/>
        <v>0</v>
      </c>
      <c r="M279" s="100">
        <f t="shared" si="469"/>
        <v>0</v>
      </c>
      <c r="N279" s="100">
        <f t="shared" si="469"/>
        <v>0</v>
      </c>
      <c r="O279" s="100">
        <f t="shared" ref="O279" si="471">SUM(O280:O291)</f>
        <v>0</v>
      </c>
      <c r="P279" s="100"/>
      <c r="Q279" s="100"/>
      <c r="R279" s="100">
        <f t="shared" ref="R279" si="472">SUM(R280:R291)</f>
        <v>0</v>
      </c>
      <c r="S279" s="100">
        <f>SUM(S280:S291)</f>
        <v>0</v>
      </c>
      <c r="T279" s="100"/>
      <c r="U279" s="100">
        <f t="shared" ref="U279" si="473">SUM(U280:U291)</f>
        <v>0</v>
      </c>
      <c r="V279" s="130"/>
      <c r="W279" s="143">
        <f t="shared" ref="W279" si="474">SUM(W280:W291)</f>
        <v>0</v>
      </c>
      <c r="X279" s="100">
        <f t="shared" ref="X279" si="475">SUM(X280:X291)</f>
        <v>0</v>
      </c>
      <c r="Y279" s="100">
        <f t="shared" ref="Y279:AB279" si="476">SUM(Y280:Y291)</f>
        <v>0</v>
      </c>
      <c r="Z279" s="100">
        <f t="shared" si="476"/>
        <v>0</v>
      </c>
      <c r="AA279" s="100">
        <f t="shared" si="476"/>
        <v>0</v>
      </c>
      <c r="AB279" s="100">
        <f t="shared" si="476"/>
        <v>0</v>
      </c>
      <c r="AC279" s="101">
        <f>SUM(AC280:AC291)</f>
        <v>0</v>
      </c>
    </row>
    <row r="280" spans="1:29" s="82" customFormat="1" ht="18" customHeight="1">
      <c r="A280" s="1267"/>
      <c r="B280" s="97" t="s">
        <v>820</v>
      </c>
      <c r="C280" s="171">
        <v>8</v>
      </c>
      <c r="D280" s="171"/>
      <c r="E280" s="172" t="s">
        <v>273</v>
      </c>
      <c r="F280" s="173"/>
      <c r="G280" s="104"/>
      <c r="H280" s="103"/>
      <c r="I280" s="105"/>
      <c r="J280" s="104"/>
      <c r="K280" s="104"/>
      <c r="L280" s="104"/>
      <c r="M280" s="104">
        <f t="shared" ref="M280" si="477">F280*60%</f>
        <v>0</v>
      </c>
      <c r="N280" s="104"/>
      <c r="O280" s="104"/>
      <c r="P280" s="104"/>
      <c r="Q280" s="104"/>
      <c r="R280" s="104"/>
      <c r="S280" s="104"/>
      <c r="T280" s="105"/>
      <c r="U280" s="100">
        <f t="shared" ref="U280:U343" si="478">SUM(I280,L280)</f>
        <v>0</v>
      </c>
      <c r="V280" s="130"/>
      <c r="W280" s="134">
        <f t="shared" ref="W280:W343" si="479">ROUNDUP(U280*1/12,-1)</f>
        <v>0</v>
      </c>
      <c r="X280" s="106"/>
      <c r="Y280" s="106">
        <f t="shared" ref="Y280:Y291" si="480">ROUNDUP((U280-L280)*3.06%,-1)</f>
        <v>0</v>
      </c>
      <c r="Z280" s="106">
        <f t="shared" ref="Z280:Z291" si="481">ROUNDUP(Y280*6.55%,-1)</f>
        <v>0</v>
      </c>
      <c r="AA280" s="106">
        <f t="shared" ref="AA280:AA291" si="482">ROUND(U280*0.9%,-1)</f>
        <v>0</v>
      </c>
      <c r="AB280" s="106">
        <f t="shared" ref="AB280:AB291" si="483">ROUND(U280*0.8%,-1)</f>
        <v>0</v>
      </c>
      <c r="AC280" s="107">
        <f t="shared" ref="AC280:AC291" si="484">SUM(W280:AB280)</f>
        <v>0</v>
      </c>
    </row>
    <row r="281" spans="1:29" s="82" customFormat="1" ht="18" customHeight="1">
      <c r="A281" s="1267"/>
      <c r="B281" s="97"/>
      <c r="C281" s="98"/>
      <c r="D281" s="98"/>
      <c r="E281" s="102" t="s">
        <v>274</v>
      </c>
      <c r="F281" s="104"/>
      <c r="G281" s="104"/>
      <c r="H281" s="104"/>
      <c r="I281" s="105"/>
      <c r="J281" s="104">
        <f t="shared" ref="J281:J291" si="485">ROUND((F280+I280+T280)*1/209*1.5,-1)</f>
        <v>0</v>
      </c>
      <c r="K281" s="104">
        <f>J281*40</f>
        <v>0</v>
      </c>
      <c r="L281" s="104">
        <f t="shared" ref="L281:L291" si="486">K281-R281</f>
        <v>0</v>
      </c>
      <c r="M281" s="104"/>
      <c r="N281" s="104"/>
      <c r="O281" s="104"/>
      <c r="P281" s="104"/>
      <c r="Q281" s="104">
        <f t="shared" ref="Q281:Q343" si="487">ROUND((F280+T280)*1/209*1.5,-1)</f>
        <v>0</v>
      </c>
      <c r="R281" s="104">
        <f>Q281*40</f>
        <v>0</v>
      </c>
      <c r="S281" s="104"/>
      <c r="T281" s="105"/>
      <c r="U281" s="100">
        <f t="shared" si="478"/>
        <v>0</v>
      </c>
      <c r="V281" s="130"/>
      <c r="W281" s="134">
        <f t="shared" si="479"/>
        <v>0</v>
      </c>
      <c r="X281" s="106"/>
      <c r="Y281" s="106">
        <f t="shared" si="480"/>
        <v>0</v>
      </c>
      <c r="Z281" s="106">
        <f t="shared" si="481"/>
        <v>0</v>
      </c>
      <c r="AA281" s="106">
        <f t="shared" si="482"/>
        <v>0</v>
      </c>
      <c r="AB281" s="106">
        <f t="shared" si="483"/>
        <v>0</v>
      </c>
      <c r="AC281" s="107">
        <f t="shared" si="484"/>
        <v>0</v>
      </c>
    </row>
    <row r="282" spans="1:29" s="82" customFormat="1" ht="18" customHeight="1">
      <c r="A282" s="1267"/>
      <c r="B282" s="97"/>
      <c r="C282" s="98"/>
      <c r="D282" s="98"/>
      <c r="E282" s="102" t="s">
        <v>275</v>
      </c>
      <c r="F282" s="104"/>
      <c r="G282" s="104"/>
      <c r="H282" s="104"/>
      <c r="I282" s="105"/>
      <c r="J282" s="104">
        <f t="shared" si="485"/>
        <v>0</v>
      </c>
      <c r="K282" s="104">
        <f t="shared" ref="K282:K290" si="488">J282*40</f>
        <v>0</v>
      </c>
      <c r="L282" s="104">
        <f t="shared" si="486"/>
        <v>0</v>
      </c>
      <c r="M282" s="104"/>
      <c r="N282" s="104"/>
      <c r="O282" s="104"/>
      <c r="P282" s="104"/>
      <c r="Q282" s="104">
        <f t="shared" si="487"/>
        <v>0</v>
      </c>
      <c r="R282" s="104">
        <f t="shared" ref="R282:R290" si="489">Q282*40</f>
        <v>0</v>
      </c>
      <c r="S282" s="104"/>
      <c r="T282" s="105"/>
      <c r="U282" s="100">
        <f t="shared" si="478"/>
        <v>0</v>
      </c>
      <c r="V282" s="130"/>
      <c r="W282" s="134">
        <f t="shared" si="479"/>
        <v>0</v>
      </c>
      <c r="X282" s="106"/>
      <c r="Y282" s="106">
        <f t="shared" si="480"/>
        <v>0</v>
      </c>
      <c r="Z282" s="106">
        <f t="shared" si="481"/>
        <v>0</v>
      </c>
      <c r="AA282" s="106">
        <f t="shared" si="482"/>
        <v>0</v>
      </c>
      <c r="AB282" s="106">
        <f t="shared" si="483"/>
        <v>0</v>
      </c>
      <c r="AC282" s="107">
        <f t="shared" si="484"/>
        <v>0</v>
      </c>
    </row>
    <row r="283" spans="1:29" s="82" customFormat="1" ht="17.25" customHeight="1">
      <c r="A283" s="1267"/>
      <c r="B283" s="97"/>
      <c r="C283" s="98"/>
      <c r="D283" s="98"/>
      <c r="E283" s="102" t="s">
        <v>276</v>
      </c>
      <c r="F283" s="173"/>
      <c r="G283" s="104"/>
      <c r="H283" s="104"/>
      <c r="I283" s="105"/>
      <c r="J283" s="104">
        <f t="shared" si="485"/>
        <v>0</v>
      </c>
      <c r="K283" s="104">
        <f t="shared" si="488"/>
        <v>0</v>
      </c>
      <c r="L283" s="104">
        <f t="shared" si="486"/>
        <v>0</v>
      </c>
      <c r="M283" s="104"/>
      <c r="N283" s="104"/>
      <c r="O283" s="104"/>
      <c r="P283" s="104"/>
      <c r="Q283" s="104">
        <f t="shared" si="487"/>
        <v>0</v>
      </c>
      <c r="R283" s="104">
        <f t="shared" si="489"/>
        <v>0</v>
      </c>
      <c r="S283" s="104"/>
      <c r="T283" s="105"/>
      <c r="U283" s="100">
        <f t="shared" si="478"/>
        <v>0</v>
      </c>
      <c r="V283" s="130"/>
      <c r="W283" s="134">
        <f t="shared" si="479"/>
        <v>0</v>
      </c>
      <c r="X283" s="106"/>
      <c r="Y283" s="106">
        <f t="shared" si="480"/>
        <v>0</v>
      </c>
      <c r="Z283" s="106">
        <f t="shared" si="481"/>
        <v>0</v>
      </c>
      <c r="AA283" s="106">
        <f t="shared" si="482"/>
        <v>0</v>
      </c>
      <c r="AB283" s="106">
        <f t="shared" si="483"/>
        <v>0</v>
      </c>
      <c r="AC283" s="107">
        <f t="shared" si="484"/>
        <v>0</v>
      </c>
    </row>
    <row r="284" spans="1:29" s="82" customFormat="1" ht="17.25" customHeight="1">
      <c r="A284" s="1267"/>
      <c r="B284" s="97"/>
      <c r="C284" s="171">
        <v>9</v>
      </c>
      <c r="D284" s="171"/>
      <c r="E284" s="172" t="s">
        <v>277</v>
      </c>
      <c r="F284" s="104"/>
      <c r="G284" s="104"/>
      <c r="H284" s="104"/>
      <c r="I284" s="105"/>
      <c r="J284" s="104">
        <f t="shared" si="485"/>
        <v>0</v>
      </c>
      <c r="K284" s="104">
        <f t="shared" si="488"/>
        <v>0</v>
      </c>
      <c r="L284" s="104">
        <f t="shared" si="486"/>
        <v>0</v>
      </c>
      <c r="M284" s="104"/>
      <c r="N284" s="104"/>
      <c r="O284" s="104"/>
      <c r="P284" s="104"/>
      <c r="Q284" s="104">
        <f t="shared" si="487"/>
        <v>0</v>
      </c>
      <c r="R284" s="104">
        <f t="shared" si="489"/>
        <v>0</v>
      </c>
      <c r="S284" s="104"/>
      <c r="T284" s="105"/>
      <c r="U284" s="100">
        <f t="shared" si="478"/>
        <v>0</v>
      </c>
      <c r="V284" s="130"/>
      <c r="W284" s="134">
        <f t="shared" si="479"/>
        <v>0</v>
      </c>
      <c r="X284" s="106"/>
      <c r="Y284" s="106">
        <f t="shared" si="480"/>
        <v>0</v>
      </c>
      <c r="Z284" s="106">
        <f t="shared" si="481"/>
        <v>0</v>
      </c>
      <c r="AA284" s="106">
        <f t="shared" si="482"/>
        <v>0</v>
      </c>
      <c r="AB284" s="106">
        <f t="shared" si="483"/>
        <v>0</v>
      </c>
      <c r="AC284" s="107">
        <f t="shared" si="484"/>
        <v>0</v>
      </c>
    </row>
    <row r="285" spans="1:29" s="82" customFormat="1" ht="17.25" customHeight="1">
      <c r="A285" s="1267"/>
      <c r="B285" s="97"/>
      <c r="C285" s="98"/>
      <c r="D285" s="98"/>
      <c r="E285" s="102" t="s">
        <v>278</v>
      </c>
      <c r="F285" s="104"/>
      <c r="G285" s="104"/>
      <c r="H285" s="104"/>
      <c r="I285" s="105"/>
      <c r="J285" s="104">
        <f t="shared" si="485"/>
        <v>0</v>
      </c>
      <c r="K285" s="104">
        <f t="shared" si="488"/>
        <v>0</v>
      </c>
      <c r="L285" s="104">
        <f t="shared" si="486"/>
        <v>0</v>
      </c>
      <c r="M285" s="104"/>
      <c r="N285" s="104"/>
      <c r="O285" s="104"/>
      <c r="P285" s="104"/>
      <c r="Q285" s="104">
        <f t="shared" si="487"/>
        <v>0</v>
      </c>
      <c r="R285" s="104">
        <f t="shared" si="489"/>
        <v>0</v>
      </c>
      <c r="S285" s="104"/>
      <c r="T285" s="105"/>
      <c r="U285" s="100">
        <f t="shared" si="478"/>
        <v>0</v>
      </c>
      <c r="V285" s="130"/>
      <c r="W285" s="134">
        <f t="shared" si="479"/>
        <v>0</v>
      </c>
      <c r="X285" s="106"/>
      <c r="Y285" s="106">
        <f t="shared" si="480"/>
        <v>0</v>
      </c>
      <c r="Z285" s="106">
        <f t="shared" si="481"/>
        <v>0</v>
      </c>
      <c r="AA285" s="106">
        <f t="shared" si="482"/>
        <v>0</v>
      </c>
      <c r="AB285" s="106">
        <f t="shared" si="483"/>
        <v>0</v>
      </c>
      <c r="AC285" s="107">
        <f t="shared" si="484"/>
        <v>0</v>
      </c>
    </row>
    <row r="286" spans="1:29" s="82" customFormat="1" ht="17.25" customHeight="1">
      <c r="A286" s="1267"/>
      <c r="B286" s="97"/>
      <c r="C286" s="98"/>
      <c r="D286" s="98"/>
      <c r="E286" s="102" t="s">
        <v>279</v>
      </c>
      <c r="F286" s="104"/>
      <c r="G286" s="104"/>
      <c r="H286" s="103"/>
      <c r="I286" s="105"/>
      <c r="J286" s="104">
        <f t="shared" si="485"/>
        <v>0</v>
      </c>
      <c r="K286" s="104">
        <f t="shared" si="488"/>
        <v>0</v>
      </c>
      <c r="L286" s="104">
        <f t="shared" si="486"/>
        <v>0</v>
      </c>
      <c r="M286" s="104"/>
      <c r="N286" s="104"/>
      <c r="O286" s="104"/>
      <c r="P286" s="104"/>
      <c r="Q286" s="104">
        <f t="shared" si="487"/>
        <v>0</v>
      </c>
      <c r="R286" s="104">
        <f t="shared" si="489"/>
        <v>0</v>
      </c>
      <c r="S286" s="104"/>
      <c r="T286" s="105"/>
      <c r="U286" s="100">
        <f t="shared" si="478"/>
        <v>0</v>
      </c>
      <c r="V286" s="130"/>
      <c r="W286" s="134">
        <f t="shared" si="479"/>
        <v>0</v>
      </c>
      <c r="X286" s="106"/>
      <c r="Y286" s="106">
        <f t="shared" si="480"/>
        <v>0</v>
      </c>
      <c r="Z286" s="106">
        <f t="shared" si="481"/>
        <v>0</v>
      </c>
      <c r="AA286" s="106">
        <f t="shared" si="482"/>
        <v>0</v>
      </c>
      <c r="AB286" s="106">
        <f t="shared" si="483"/>
        <v>0</v>
      </c>
      <c r="AC286" s="107">
        <f t="shared" si="484"/>
        <v>0</v>
      </c>
    </row>
    <row r="287" spans="1:29" s="82" customFormat="1" ht="17.25" customHeight="1">
      <c r="A287" s="1267"/>
      <c r="B287" s="97"/>
      <c r="C287" s="98"/>
      <c r="D287" s="98"/>
      <c r="E287" s="102" t="s">
        <v>280</v>
      </c>
      <c r="F287" s="104"/>
      <c r="G287" s="104"/>
      <c r="H287" s="104"/>
      <c r="I287" s="105"/>
      <c r="J287" s="104">
        <f t="shared" si="485"/>
        <v>0</v>
      </c>
      <c r="K287" s="104">
        <f t="shared" si="488"/>
        <v>0</v>
      </c>
      <c r="L287" s="104">
        <f t="shared" si="486"/>
        <v>0</v>
      </c>
      <c r="M287" s="104"/>
      <c r="N287" s="104"/>
      <c r="O287" s="104"/>
      <c r="P287" s="104"/>
      <c r="Q287" s="104">
        <f t="shared" si="487"/>
        <v>0</v>
      </c>
      <c r="R287" s="104">
        <f t="shared" si="489"/>
        <v>0</v>
      </c>
      <c r="S287" s="104"/>
      <c r="T287" s="105"/>
      <c r="U287" s="100">
        <f t="shared" si="478"/>
        <v>0</v>
      </c>
      <c r="V287" s="130"/>
      <c r="W287" s="134">
        <f t="shared" si="479"/>
        <v>0</v>
      </c>
      <c r="X287" s="106"/>
      <c r="Y287" s="106">
        <f t="shared" si="480"/>
        <v>0</v>
      </c>
      <c r="Z287" s="106">
        <f t="shared" si="481"/>
        <v>0</v>
      </c>
      <c r="AA287" s="106">
        <f t="shared" si="482"/>
        <v>0</v>
      </c>
      <c r="AB287" s="106">
        <f t="shared" si="483"/>
        <v>0</v>
      </c>
      <c r="AC287" s="107">
        <f t="shared" si="484"/>
        <v>0</v>
      </c>
    </row>
    <row r="288" spans="1:29" s="82" customFormat="1" ht="17.25" customHeight="1">
      <c r="A288" s="1267"/>
      <c r="B288" s="97"/>
      <c r="C288" s="98"/>
      <c r="D288" s="98"/>
      <c r="E288" s="102" t="s">
        <v>54</v>
      </c>
      <c r="F288" s="104"/>
      <c r="G288" s="104"/>
      <c r="H288" s="104"/>
      <c r="I288" s="105"/>
      <c r="J288" s="104">
        <f t="shared" si="485"/>
        <v>0</v>
      </c>
      <c r="K288" s="104">
        <f t="shared" si="488"/>
        <v>0</v>
      </c>
      <c r="L288" s="104">
        <f t="shared" si="486"/>
        <v>0</v>
      </c>
      <c r="M288" s="104">
        <f t="shared" ref="M288" si="490">F288*60%</f>
        <v>0</v>
      </c>
      <c r="N288" s="104"/>
      <c r="O288" s="104"/>
      <c r="P288" s="104"/>
      <c r="Q288" s="104">
        <f t="shared" si="487"/>
        <v>0</v>
      </c>
      <c r="R288" s="104">
        <f t="shared" si="489"/>
        <v>0</v>
      </c>
      <c r="S288" s="104"/>
      <c r="T288" s="105"/>
      <c r="U288" s="100">
        <f t="shared" si="478"/>
        <v>0</v>
      </c>
      <c r="V288" s="130"/>
      <c r="W288" s="134">
        <f t="shared" si="479"/>
        <v>0</v>
      </c>
      <c r="X288" s="106"/>
      <c r="Y288" s="106">
        <f t="shared" si="480"/>
        <v>0</v>
      </c>
      <c r="Z288" s="106">
        <f t="shared" si="481"/>
        <v>0</v>
      </c>
      <c r="AA288" s="106">
        <f t="shared" si="482"/>
        <v>0</v>
      </c>
      <c r="AB288" s="106">
        <f t="shared" si="483"/>
        <v>0</v>
      </c>
      <c r="AC288" s="107">
        <f t="shared" si="484"/>
        <v>0</v>
      </c>
    </row>
    <row r="289" spans="1:29" s="82" customFormat="1" ht="17.25" customHeight="1">
      <c r="A289" s="1267"/>
      <c r="B289" s="97"/>
      <c r="C289" s="98"/>
      <c r="D289" s="98"/>
      <c r="E289" s="102" t="s">
        <v>55</v>
      </c>
      <c r="F289" s="104"/>
      <c r="G289" s="104"/>
      <c r="H289" s="104"/>
      <c r="I289" s="105"/>
      <c r="J289" s="104">
        <f t="shared" si="485"/>
        <v>0</v>
      </c>
      <c r="K289" s="104">
        <f t="shared" si="488"/>
        <v>0</v>
      </c>
      <c r="L289" s="104">
        <f t="shared" si="486"/>
        <v>0</v>
      </c>
      <c r="M289" s="104"/>
      <c r="N289" s="104"/>
      <c r="O289" s="104"/>
      <c r="P289" s="104"/>
      <c r="Q289" s="104">
        <f t="shared" si="487"/>
        <v>0</v>
      </c>
      <c r="R289" s="104">
        <f t="shared" si="489"/>
        <v>0</v>
      </c>
      <c r="S289" s="104"/>
      <c r="T289" s="105"/>
      <c r="U289" s="100">
        <f t="shared" si="478"/>
        <v>0</v>
      </c>
      <c r="V289" s="130"/>
      <c r="W289" s="134">
        <f t="shared" si="479"/>
        <v>0</v>
      </c>
      <c r="X289" s="106"/>
      <c r="Y289" s="106">
        <f t="shared" si="480"/>
        <v>0</v>
      </c>
      <c r="Z289" s="106">
        <f t="shared" si="481"/>
        <v>0</v>
      </c>
      <c r="AA289" s="106">
        <f t="shared" si="482"/>
        <v>0</v>
      </c>
      <c r="AB289" s="106">
        <f t="shared" si="483"/>
        <v>0</v>
      </c>
      <c r="AC289" s="107">
        <f t="shared" si="484"/>
        <v>0</v>
      </c>
    </row>
    <row r="290" spans="1:29" s="82" customFormat="1" ht="16.5" customHeight="1">
      <c r="A290" s="1267"/>
      <c r="B290" s="97"/>
      <c r="C290" s="98"/>
      <c r="D290" s="98"/>
      <c r="E290" s="102" t="s">
        <v>56</v>
      </c>
      <c r="F290" s="104"/>
      <c r="G290" s="104"/>
      <c r="H290" s="104"/>
      <c r="I290" s="105"/>
      <c r="J290" s="104">
        <f t="shared" si="485"/>
        <v>0</v>
      </c>
      <c r="K290" s="104">
        <f t="shared" si="488"/>
        <v>0</v>
      </c>
      <c r="L290" s="104">
        <f t="shared" si="486"/>
        <v>0</v>
      </c>
      <c r="M290" s="104"/>
      <c r="N290" s="104"/>
      <c r="O290" s="104"/>
      <c r="P290" s="104"/>
      <c r="Q290" s="104">
        <f t="shared" si="487"/>
        <v>0</v>
      </c>
      <c r="R290" s="104">
        <f t="shared" si="489"/>
        <v>0</v>
      </c>
      <c r="S290" s="104"/>
      <c r="T290" s="105"/>
      <c r="U290" s="100">
        <f t="shared" si="478"/>
        <v>0</v>
      </c>
      <c r="V290" s="130"/>
      <c r="W290" s="134">
        <f t="shared" si="479"/>
        <v>0</v>
      </c>
      <c r="X290" s="106"/>
      <c r="Y290" s="106">
        <f t="shared" si="480"/>
        <v>0</v>
      </c>
      <c r="Z290" s="106">
        <f t="shared" si="481"/>
        <v>0</v>
      </c>
      <c r="AA290" s="106">
        <f t="shared" si="482"/>
        <v>0</v>
      </c>
      <c r="AB290" s="106">
        <f t="shared" si="483"/>
        <v>0</v>
      </c>
      <c r="AC290" s="107">
        <f t="shared" si="484"/>
        <v>0</v>
      </c>
    </row>
    <row r="291" spans="1:29" s="82" customFormat="1" ht="16.5" customHeight="1">
      <c r="A291" s="1267"/>
      <c r="B291" s="97"/>
      <c r="C291" s="98"/>
      <c r="D291" s="98"/>
      <c r="E291" s="102" t="s">
        <v>281</v>
      </c>
      <c r="F291" s="104"/>
      <c r="G291" s="104"/>
      <c r="H291" s="104"/>
      <c r="I291" s="105"/>
      <c r="J291" s="104">
        <f t="shared" si="485"/>
        <v>0</v>
      </c>
      <c r="K291" s="104">
        <f>J291*40*2</f>
        <v>0</v>
      </c>
      <c r="L291" s="104">
        <f t="shared" si="486"/>
        <v>0</v>
      </c>
      <c r="M291" s="104"/>
      <c r="N291" s="104"/>
      <c r="O291" s="104"/>
      <c r="P291" s="104"/>
      <c r="Q291" s="104">
        <f t="shared" si="487"/>
        <v>0</v>
      </c>
      <c r="R291" s="104">
        <f>Q291*40*2</f>
        <v>0</v>
      </c>
      <c r="S291" s="104"/>
      <c r="T291" s="105"/>
      <c r="U291" s="100">
        <f t="shared" si="478"/>
        <v>0</v>
      </c>
      <c r="V291" s="130"/>
      <c r="W291" s="134">
        <f t="shared" si="479"/>
        <v>0</v>
      </c>
      <c r="X291" s="106"/>
      <c r="Y291" s="106">
        <f t="shared" si="480"/>
        <v>0</v>
      </c>
      <c r="Z291" s="106">
        <f t="shared" si="481"/>
        <v>0</v>
      </c>
      <c r="AA291" s="106">
        <f t="shared" si="482"/>
        <v>0</v>
      </c>
      <c r="AB291" s="106">
        <f t="shared" si="483"/>
        <v>0</v>
      </c>
      <c r="AC291" s="107">
        <f t="shared" si="484"/>
        <v>0</v>
      </c>
    </row>
    <row r="292" spans="1:29" s="82" customFormat="1" ht="15.75" customHeight="1">
      <c r="A292" s="1267">
        <v>23</v>
      </c>
      <c r="B292" s="97" t="s">
        <v>87</v>
      </c>
      <c r="C292" s="98" t="s">
        <v>821</v>
      </c>
      <c r="D292" s="98">
        <v>1</v>
      </c>
      <c r="E292" s="99" t="s">
        <v>86</v>
      </c>
      <c r="F292" s="100">
        <f t="shared" ref="F292" si="491">SUM(F293:F304)</f>
        <v>0</v>
      </c>
      <c r="G292" s="100">
        <f t="shared" ref="G292:N292" si="492">SUM(G293:G304)</f>
        <v>0</v>
      </c>
      <c r="H292" s="100">
        <f t="shared" si="492"/>
        <v>0</v>
      </c>
      <c r="I292" s="100">
        <f t="shared" ref="I292" si="493">SUM(I293:I304)</f>
        <v>0</v>
      </c>
      <c r="J292" s="100">
        <f t="shared" si="492"/>
        <v>0</v>
      </c>
      <c r="K292" s="100">
        <f t="shared" si="492"/>
        <v>0</v>
      </c>
      <c r="L292" s="100">
        <f t="shared" si="492"/>
        <v>0</v>
      </c>
      <c r="M292" s="100">
        <f t="shared" si="492"/>
        <v>0</v>
      </c>
      <c r="N292" s="100">
        <f t="shared" si="492"/>
        <v>0</v>
      </c>
      <c r="O292" s="100">
        <f t="shared" ref="O292" si="494">SUM(O293:O304)</f>
        <v>0</v>
      </c>
      <c r="P292" s="100"/>
      <c r="Q292" s="100"/>
      <c r="R292" s="100">
        <f t="shared" ref="R292" si="495">SUM(R293:R304)</f>
        <v>0</v>
      </c>
      <c r="S292" s="100">
        <f>SUM(S293:S304)</f>
        <v>0</v>
      </c>
      <c r="T292" s="100"/>
      <c r="U292" s="100">
        <f t="shared" ref="U292" si="496">SUM(U293:U304)</f>
        <v>0</v>
      </c>
      <c r="V292" s="130"/>
      <c r="W292" s="143">
        <f t="shared" ref="W292" si="497">SUM(W293:W304)</f>
        <v>0</v>
      </c>
      <c r="X292" s="100">
        <f t="shared" ref="X292" si="498">SUM(X293:X304)</f>
        <v>0</v>
      </c>
      <c r="Y292" s="100">
        <f t="shared" ref="Y292:AB292" si="499">SUM(Y293:Y304)</f>
        <v>0</v>
      </c>
      <c r="Z292" s="100">
        <f t="shared" si="499"/>
        <v>0</v>
      </c>
      <c r="AA292" s="100">
        <f t="shared" si="499"/>
        <v>0</v>
      </c>
      <c r="AB292" s="100">
        <f t="shared" si="499"/>
        <v>0</v>
      </c>
      <c r="AC292" s="101">
        <f>SUM(AC293:AC304)</f>
        <v>0</v>
      </c>
    </row>
    <row r="293" spans="1:29" s="82" customFormat="1" ht="15.75" customHeight="1">
      <c r="A293" s="1267"/>
      <c r="B293" s="97" t="s">
        <v>822</v>
      </c>
      <c r="C293" s="171">
        <v>6</v>
      </c>
      <c r="D293" s="171"/>
      <c r="E293" s="172" t="s">
        <v>273</v>
      </c>
      <c r="F293" s="173"/>
      <c r="G293" s="104"/>
      <c r="H293" s="103"/>
      <c r="I293" s="105"/>
      <c r="J293" s="104"/>
      <c r="K293" s="104"/>
      <c r="L293" s="104"/>
      <c r="M293" s="104">
        <f t="shared" ref="M293" si="500">F293*60%</f>
        <v>0</v>
      </c>
      <c r="N293" s="104"/>
      <c r="O293" s="104"/>
      <c r="P293" s="104"/>
      <c r="Q293" s="104"/>
      <c r="R293" s="104"/>
      <c r="S293" s="104"/>
      <c r="T293" s="105"/>
      <c r="U293" s="100">
        <f t="shared" ref="U293" si="501">SUM(I293,L293)</f>
        <v>0</v>
      </c>
      <c r="V293" s="130"/>
      <c r="W293" s="134">
        <f t="shared" ref="W293:W294" si="502">ROUNDUP(U293*1/12,-1)</f>
        <v>0</v>
      </c>
      <c r="X293" s="106"/>
      <c r="Y293" s="106">
        <f t="shared" ref="Y293:Y304" si="503">ROUNDUP((U293-L293)*3.06%,-1)</f>
        <v>0</v>
      </c>
      <c r="Z293" s="106">
        <f>ROUNDUP(Y293*6.55%,-1)</f>
        <v>0</v>
      </c>
      <c r="AA293" s="106">
        <f t="shared" ref="AA293:AA304" si="504">ROUND(U293*0.9%,-1)</f>
        <v>0</v>
      </c>
      <c r="AB293" s="106">
        <f t="shared" ref="AB293:AB304" si="505">ROUND(U293*0.8%,-1)</f>
        <v>0</v>
      </c>
      <c r="AC293" s="107">
        <f t="shared" ref="AC293:AC304" si="506">SUM(W293:AB293)</f>
        <v>0</v>
      </c>
    </row>
    <row r="294" spans="1:29" s="82" customFormat="1" ht="15.75" customHeight="1">
      <c r="A294" s="1267"/>
      <c r="B294" s="97"/>
      <c r="C294" s="98"/>
      <c r="D294" s="98"/>
      <c r="E294" s="102" t="s">
        <v>274</v>
      </c>
      <c r="F294" s="104"/>
      <c r="G294" s="104"/>
      <c r="H294" s="104"/>
      <c r="I294" s="105"/>
      <c r="J294" s="104">
        <f t="shared" ref="J294:J304" si="507">ROUND((F293+I293+T293)*1/209*1.5,-1)</f>
        <v>0</v>
      </c>
      <c r="K294" s="104">
        <f t="shared" ref="K294:K303" si="508">J294*25</f>
        <v>0</v>
      </c>
      <c r="L294" s="104">
        <f t="shared" ref="L294:L304" si="509">K294-R294-S294</f>
        <v>0</v>
      </c>
      <c r="M294" s="104"/>
      <c r="N294" s="104"/>
      <c r="O294" s="104"/>
      <c r="P294" s="104"/>
      <c r="Q294" s="104">
        <f t="shared" ref="Q294" si="510">ROUND((F293+T293)*1/209*1.5,-1)</f>
        <v>0</v>
      </c>
      <c r="R294" s="104">
        <f>Q294*20</f>
        <v>0</v>
      </c>
      <c r="S294" s="104">
        <f>Q294*5</f>
        <v>0</v>
      </c>
      <c r="T294" s="105"/>
      <c r="U294" s="100">
        <f t="shared" si="478"/>
        <v>0</v>
      </c>
      <c r="V294" s="130"/>
      <c r="W294" s="134">
        <f t="shared" si="502"/>
        <v>0</v>
      </c>
      <c r="X294" s="106"/>
      <c r="Y294" s="106">
        <f t="shared" si="503"/>
        <v>0</v>
      </c>
      <c r="Z294" s="106">
        <f t="shared" ref="Z294:Z304" si="511">ROUNDUP(Y294*6.55%,-1)</f>
        <v>0</v>
      </c>
      <c r="AA294" s="106">
        <f t="shared" si="504"/>
        <v>0</v>
      </c>
      <c r="AB294" s="106">
        <f t="shared" si="505"/>
        <v>0</v>
      </c>
      <c r="AC294" s="107">
        <f t="shared" si="506"/>
        <v>0</v>
      </c>
    </row>
    <row r="295" spans="1:29" s="82" customFormat="1" ht="15.75" customHeight="1">
      <c r="A295" s="1267"/>
      <c r="B295" s="97"/>
      <c r="C295" s="98"/>
      <c r="D295" s="98"/>
      <c r="E295" s="102" t="s">
        <v>275</v>
      </c>
      <c r="F295" s="104"/>
      <c r="G295" s="104"/>
      <c r="H295" s="104"/>
      <c r="I295" s="105"/>
      <c r="J295" s="104">
        <f t="shared" si="507"/>
        <v>0</v>
      </c>
      <c r="K295" s="104">
        <f t="shared" si="508"/>
        <v>0</v>
      </c>
      <c r="L295" s="104">
        <f t="shared" si="509"/>
        <v>0</v>
      </c>
      <c r="M295" s="104"/>
      <c r="N295" s="104"/>
      <c r="O295" s="104"/>
      <c r="P295" s="104"/>
      <c r="Q295" s="104">
        <f t="shared" si="487"/>
        <v>0</v>
      </c>
      <c r="R295" s="104">
        <f t="shared" ref="R295:R303" si="512">Q295*20</f>
        <v>0</v>
      </c>
      <c r="S295" s="104">
        <f t="shared" ref="S295:S303" si="513">Q295*5</f>
        <v>0</v>
      </c>
      <c r="T295" s="105"/>
      <c r="U295" s="100">
        <f t="shared" si="478"/>
        <v>0</v>
      </c>
      <c r="V295" s="130"/>
      <c r="W295" s="134">
        <f t="shared" si="479"/>
        <v>0</v>
      </c>
      <c r="X295" s="106"/>
      <c r="Y295" s="106">
        <f t="shared" si="503"/>
        <v>0</v>
      </c>
      <c r="Z295" s="106">
        <f t="shared" si="511"/>
        <v>0</v>
      </c>
      <c r="AA295" s="106">
        <f t="shared" si="504"/>
        <v>0</v>
      </c>
      <c r="AB295" s="106">
        <f t="shared" si="505"/>
        <v>0</v>
      </c>
      <c r="AC295" s="107">
        <f t="shared" si="506"/>
        <v>0</v>
      </c>
    </row>
    <row r="296" spans="1:29" s="82" customFormat="1" ht="15.75" customHeight="1">
      <c r="A296" s="1267"/>
      <c r="B296" s="97"/>
      <c r="C296" s="171">
        <v>7</v>
      </c>
      <c r="D296" s="171"/>
      <c r="E296" s="172" t="s">
        <v>276</v>
      </c>
      <c r="F296" s="173"/>
      <c r="G296" s="104"/>
      <c r="H296" s="104"/>
      <c r="I296" s="105"/>
      <c r="J296" s="104">
        <f t="shared" si="507"/>
        <v>0</v>
      </c>
      <c r="K296" s="104">
        <f t="shared" si="508"/>
        <v>0</v>
      </c>
      <c r="L296" s="104">
        <f t="shared" si="509"/>
        <v>0</v>
      </c>
      <c r="M296" s="104"/>
      <c r="N296" s="104"/>
      <c r="O296" s="104"/>
      <c r="P296" s="104"/>
      <c r="Q296" s="104">
        <f t="shared" si="487"/>
        <v>0</v>
      </c>
      <c r="R296" s="104">
        <f t="shared" si="512"/>
        <v>0</v>
      </c>
      <c r="S296" s="104">
        <f t="shared" si="513"/>
        <v>0</v>
      </c>
      <c r="T296" s="105"/>
      <c r="U296" s="100">
        <f t="shared" si="478"/>
        <v>0</v>
      </c>
      <c r="V296" s="130"/>
      <c r="W296" s="134">
        <f t="shared" si="479"/>
        <v>0</v>
      </c>
      <c r="X296" s="106"/>
      <c r="Y296" s="106">
        <f t="shared" si="503"/>
        <v>0</v>
      </c>
      <c r="Z296" s="106">
        <f t="shared" si="511"/>
        <v>0</v>
      </c>
      <c r="AA296" s="106">
        <f t="shared" si="504"/>
        <v>0</v>
      </c>
      <c r="AB296" s="106">
        <f t="shared" si="505"/>
        <v>0</v>
      </c>
      <c r="AC296" s="107">
        <f t="shared" si="506"/>
        <v>0</v>
      </c>
    </row>
    <row r="297" spans="1:29" s="82" customFormat="1" ht="15.75" customHeight="1">
      <c r="A297" s="1267"/>
      <c r="B297" s="97"/>
      <c r="C297" s="98"/>
      <c r="D297" s="98"/>
      <c r="E297" s="102" t="s">
        <v>277</v>
      </c>
      <c r="F297" s="104"/>
      <c r="G297" s="104"/>
      <c r="H297" s="104"/>
      <c r="I297" s="105"/>
      <c r="J297" s="104">
        <f t="shared" si="507"/>
        <v>0</v>
      </c>
      <c r="K297" s="104">
        <f t="shared" si="508"/>
        <v>0</v>
      </c>
      <c r="L297" s="104">
        <f t="shared" si="509"/>
        <v>0</v>
      </c>
      <c r="M297" s="104"/>
      <c r="N297" s="104"/>
      <c r="O297" s="104"/>
      <c r="P297" s="104"/>
      <c r="Q297" s="104">
        <f t="shared" si="487"/>
        <v>0</v>
      </c>
      <c r="R297" s="104">
        <f t="shared" si="512"/>
        <v>0</v>
      </c>
      <c r="S297" s="104">
        <f t="shared" si="513"/>
        <v>0</v>
      </c>
      <c r="T297" s="105"/>
      <c r="U297" s="100">
        <f t="shared" si="478"/>
        <v>0</v>
      </c>
      <c r="V297" s="130"/>
      <c r="W297" s="134">
        <f t="shared" si="479"/>
        <v>0</v>
      </c>
      <c r="X297" s="106"/>
      <c r="Y297" s="106">
        <f t="shared" si="503"/>
        <v>0</v>
      </c>
      <c r="Z297" s="106">
        <f t="shared" si="511"/>
        <v>0</v>
      </c>
      <c r="AA297" s="106">
        <f t="shared" si="504"/>
        <v>0</v>
      </c>
      <c r="AB297" s="106">
        <f t="shared" si="505"/>
        <v>0</v>
      </c>
      <c r="AC297" s="107">
        <f t="shared" si="506"/>
        <v>0</v>
      </c>
    </row>
    <row r="298" spans="1:29" s="82" customFormat="1" ht="15.75" customHeight="1">
      <c r="A298" s="1267"/>
      <c r="B298" s="97"/>
      <c r="C298" s="98"/>
      <c r="D298" s="98"/>
      <c r="E298" s="102" t="s">
        <v>278</v>
      </c>
      <c r="F298" s="104"/>
      <c r="G298" s="104"/>
      <c r="H298" s="104"/>
      <c r="I298" s="105"/>
      <c r="J298" s="104">
        <f t="shared" si="507"/>
        <v>0</v>
      </c>
      <c r="K298" s="104">
        <f t="shared" si="508"/>
        <v>0</v>
      </c>
      <c r="L298" s="104">
        <f t="shared" si="509"/>
        <v>0</v>
      </c>
      <c r="M298" s="104"/>
      <c r="N298" s="104"/>
      <c r="O298" s="104"/>
      <c r="P298" s="104"/>
      <c r="Q298" s="104">
        <f t="shared" si="487"/>
        <v>0</v>
      </c>
      <c r="R298" s="104">
        <f t="shared" si="512"/>
        <v>0</v>
      </c>
      <c r="S298" s="104">
        <f t="shared" si="513"/>
        <v>0</v>
      </c>
      <c r="T298" s="105"/>
      <c r="U298" s="100">
        <f t="shared" si="478"/>
        <v>0</v>
      </c>
      <c r="V298" s="130"/>
      <c r="W298" s="134">
        <f t="shared" si="479"/>
        <v>0</v>
      </c>
      <c r="X298" s="106"/>
      <c r="Y298" s="106">
        <f t="shared" si="503"/>
        <v>0</v>
      </c>
      <c r="Z298" s="106">
        <f t="shared" si="511"/>
        <v>0</v>
      </c>
      <c r="AA298" s="106">
        <f t="shared" si="504"/>
        <v>0</v>
      </c>
      <c r="AB298" s="106">
        <f t="shared" si="505"/>
        <v>0</v>
      </c>
      <c r="AC298" s="107">
        <f t="shared" si="506"/>
        <v>0</v>
      </c>
    </row>
    <row r="299" spans="1:29" s="82" customFormat="1" ht="15.75" customHeight="1">
      <c r="A299" s="1267"/>
      <c r="B299" s="97"/>
      <c r="C299" s="98"/>
      <c r="D299" s="98"/>
      <c r="E299" s="102" t="s">
        <v>279</v>
      </c>
      <c r="F299" s="104"/>
      <c r="G299" s="104"/>
      <c r="H299" s="103"/>
      <c r="I299" s="105"/>
      <c r="J299" s="104">
        <f t="shared" si="507"/>
        <v>0</v>
      </c>
      <c r="K299" s="104">
        <f t="shared" si="508"/>
        <v>0</v>
      </c>
      <c r="L299" s="104">
        <f t="shared" si="509"/>
        <v>0</v>
      </c>
      <c r="M299" s="104"/>
      <c r="N299" s="104"/>
      <c r="O299" s="104"/>
      <c r="P299" s="104"/>
      <c r="Q299" s="104">
        <f t="shared" si="487"/>
        <v>0</v>
      </c>
      <c r="R299" s="104">
        <f t="shared" si="512"/>
        <v>0</v>
      </c>
      <c r="S299" s="104">
        <f t="shared" si="513"/>
        <v>0</v>
      </c>
      <c r="T299" s="105"/>
      <c r="U299" s="100">
        <f t="shared" si="478"/>
        <v>0</v>
      </c>
      <c r="V299" s="130"/>
      <c r="W299" s="134">
        <f t="shared" si="479"/>
        <v>0</v>
      </c>
      <c r="X299" s="106"/>
      <c r="Y299" s="106">
        <f t="shared" si="503"/>
        <v>0</v>
      </c>
      <c r="Z299" s="106">
        <f t="shared" si="511"/>
        <v>0</v>
      </c>
      <c r="AA299" s="106">
        <f t="shared" si="504"/>
        <v>0</v>
      </c>
      <c r="AB299" s="106">
        <f t="shared" si="505"/>
        <v>0</v>
      </c>
      <c r="AC299" s="107">
        <f t="shared" si="506"/>
        <v>0</v>
      </c>
    </row>
    <row r="300" spans="1:29" s="82" customFormat="1" ht="15.75" customHeight="1">
      <c r="A300" s="1267"/>
      <c r="B300" s="97"/>
      <c r="C300" s="98"/>
      <c r="D300" s="98"/>
      <c r="E300" s="102" t="s">
        <v>280</v>
      </c>
      <c r="F300" s="104"/>
      <c r="G300" s="104"/>
      <c r="H300" s="104"/>
      <c r="I300" s="105"/>
      <c r="J300" s="104">
        <f t="shared" si="507"/>
        <v>0</v>
      </c>
      <c r="K300" s="104">
        <f t="shared" si="508"/>
        <v>0</v>
      </c>
      <c r="L300" s="104">
        <f t="shared" si="509"/>
        <v>0</v>
      </c>
      <c r="M300" s="104"/>
      <c r="N300" s="104"/>
      <c r="O300" s="104"/>
      <c r="P300" s="104"/>
      <c r="Q300" s="104">
        <f t="shared" si="487"/>
        <v>0</v>
      </c>
      <c r="R300" s="104">
        <f t="shared" si="512"/>
        <v>0</v>
      </c>
      <c r="S300" s="104">
        <f t="shared" si="513"/>
        <v>0</v>
      </c>
      <c r="T300" s="105"/>
      <c r="U300" s="100">
        <f t="shared" si="478"/>
        <v>0</v>
      </c>
      <c r="V300" s="130"/>
      <c r="W300" s="134">
        <f t="shared" si="479"/>
        <v>0</v>
      </c>
      <c r="X300" s="106"/>
      <c r="Y300" s="106">
        <f t="shared" si="503"/>
        <v>0</v>
      </c>
      <c r="Z300" s="106">
        <f t="shared" si="511"/>
        <v>0</v>
      </c>
      <c r="AA300" s="106">
        <f t="shared" si="504"/>
        <v>0</v>
      </c>
      <c r="AB300" s="106">
        <f t="shared" si="505"/>
        <v>0</v>
      </c>
      <c r="AC300" s="107">
        <f t="shared" si="506"/>
        <v>0</v>
      </c>
    </row>
    <row r="301" spans="1:29" s="82" customFormat="1" ht="15.75" customHeight="1">
      <c r="A301" s="1267"/>
      <c r="B301" s="97"/>
      <c r="C301" s="98"/>
      <c r="D301" s="98"/>
      <c r="E301" s="102" t="s">
        <v>54</v>
      </c>
      <c r="F301" s="104"/>
      <c r="G301" s="104"/>
      <c r="H301" s="104"/>
      <c r="I301" s="105"/>
      <c r="J301" s="104">
        <f t="shared" si="507"/>
        <v>0</v>
      </c>
      <c r="K301" s="104">
        <f t="shared" si="508"/>
        <v>0</v>
      </c>
      <c r="L301" s="104">
        <f t="shared" si="509"/>
        <v>0</v>
      </c>
      <c r="M301" s="104">
        <f t="shared" ref="M301" si="514">F301*60%</f>
        <v>0</v>
      </c>
      <c r="N301" s="104"/>
      <c r="O301" s="104"/>
      <c r="P301" s="104"/>
      <c r="Q301" s="104">
        <f t="shared" si="487"/>
        <v>0</v>
      </c>
      <c r="R301" s="104">
        <f t="shared" si="512"/>
        <v>0</v>
      </c>
      <c r="S301" s="104">
        <f t="shared" si="513"/>
        <v>0</v>
      </c>
      <c r="T301" s="105"/>
      <c r="U301" s="100">
        <f t="shared" si="478"/>
        <v>0</v>
      </c>
      <c r="V301" s="130"/>
      <c r="W301" s="134">
        <f t="shared" si="479"/>
        <v>0</v>
      </c>
      <c r="X301" s="106"/>
      <c r="Y301" s="106">
        <f t="shared" si="503"/>
        <v>0</v>
      </c>
      <c r="Z301" s="106">
        <f t="shared" si="511"/>
        <v>0</v>
      </c>
      <c r="AA301" s="106">
        <f t="shared" si="504"/>
        <v>0</v>
      </c>
      <c r="AB301" s="106">
        <f t="shared" si="505"/>
        <v>0</v>
      </c>
      <c r="AC301" s="107">
        <f t="shared" si="506"/>
        <v>0</v>
      </c>
    </row>
    <row r="302" spans="1:29" s="82" customFormat="1" ht="15.75" customHeight="1">
      <c r="A302" s="1267"/>
      <c r="B302" s="97"/>
      <c r="C302" s="98"/>
      <c r="D302" s="98"/>
      <c r="E302" s="102" t="s">
        <v>55</v>
      </c>
      <c r="F302" s="104"/>
      <c r="G302" s="104"/>
      <c r="H302" s="104"/>
      <c r="I302" s="105"/>
      <c r="J302" s="104">
        <f t="shared" si="507"/>
        <v>0</v>
      </c>
      <c r="K302" s="104">
        <f t="shared" si="508"/>
        <v>0</v>
      </c>
      <c r="L302" s="104">
        <f t="shared" si="509"/>
        <v>0</v>
      </c>
      <c r="M302" s="104"/>
      <c r="N302" s="104"/>
      <c r="O302" s="104"/>
      <c r="P302" s="104"/>
      <c r="Q302" s="104">
        <f t="shared" si="487"/>
        <v>0</v>
      </c>
      <c r="R302" s="104">
        <f t="shared" si="512"/>
        <v>0</v>
      </c>
      <c r="S302" s="104">
        <f t="shared" si="513"/>
        <v>0</v>
      </c>
      <c r="T302" s="105"/>
      <c r="U302" s="100">
        <f t="shared" si="478"/>
        <v>0</v>
      </c>
      <c r="V302" s="130"/>
      <c r="W302" s="134">
        <f t="shared" si="479"/>
        <v>0</v>
      </c>
      <c r="X302" s="106"/>
      <c r="Y302" s="106">
        <f t="shared" si="503"/>
        <v>0</v>
      </c>
      <c r="Z302" s="106">
        <f t="shared" si="511"/>
        <v>0</v>
      </c>
      <c r="AA302" s="106">
        <f t="shared" si="504"/>
        <v>0</v>
      </c>
      <c r="AB302" s="106">
        <f t="shared" si="505"/>
        <v>0</v>
      </c>
      <c r="AC302" s="107">
        <f t="shared" si="506"/>
        <v>0</v>
      </c>
    </row>
    <row r="303" spans="1:29" s="82" customFormat="1" ht="15.75" customHeight="1">
      <c r="A303" s="1267"/>
      <c r="B303" s="97"/>
      <c r="C303" s="98"/>
      <c r="D303" s="98"/>
      <c r="E303" s="102" t="s">
        <v>56</v>
      </c>
      <c r="F303" s="104"/>
      <c r="G303" s="104"/>
      <c r="H303" s="104"/>
      <c r="I303" s="105"/>
      <c r="J303" s="104">
        <f t="shared" si="507"/>
        <v>0</v>
      </c>
      <c r="K303" s="104">
        <f t="shared" si="508"/>
        <v>0</v>
      </c>
      <c r="L303" s="104">
        <f t="shared" si="509"/>
        <v>0</v>
      </c>
      <c r="M303" s="104"/>
      <c r="N303" s="104"/>
      <c r="O303" s="104"/>
      <c r="P303" s="104"/>
      <c r="Q303" s="104">
        <f t="shared" si="487"/>
        <v>0</v>
      </c>
      <c r="R303" s="104">
        <f t="shared" si="512"/>
        <v>0</v>
      </c>
      <c r="S303" s="104">
        <f t="shared" si="513"/>
        <v>0</v>
      </c>
      <c r="T303" s="105"/>
      <c r="U303" s="100">
        <f t="shared" si="478"/>
        <v>0</v>
      </c>
      <c r="V303" s="130"/>
      <c r="W303" s="134">
        <f t="shared" si="479"/>
        <v>0</v>
      </c>
      <c r="X303" s="106"/>
      <c r="Y303" s="106">
        <f t="shared" si="503"/>
        <v>0</v>
      </c>
      <c r="Z303" s="106">
        <f t="shared" si="511"/>
        <v>0</v>
      </c>
      <c r="AA303" s="106">
        <f t="shared" si="504"/>
        <v>0</v>
      </c>
      <c r="AB303" s="106">
        <f t="shared" si="505"/>
        <v>0</v>
      </c>
      <c r="AC303" s="107">
        <f t="shared" si="506"/>
        <v>0</v>
      </c>
    </row>
    <row r="304" spans="1:29" s="82" customFormat="1" ht="15.75" customHeight="1">
      <c r="A304" s="1267"/>
      <c r="B304" s="97"/>
      <c r="C304" s="98"/>
      <c r="D304" s="98"/>
      <c r="E304" s="102" t="s">
        <v>281</v>
      </c>
      <c r="F304" s="104"/>
      <c r="G304" s="104"/>
      <c r="H304" s="104"/>
      <c r="I304" s="105"/>
      <c r="J304" s="104">
        <f t="shared" si="507"/>
        <v>0</v>
      </c>
      <c r="K304" s="104">
        <f t="shared" ref="K304" si="515">J304*25*2</f>
        <v>0</v>
      </c>
      <c r="L304" s="104">
        <f t="shared" si="509"/>
        <v>0</v>
      </c>
      <c r="M304" s="104"/>
      <c r="N304" s="104"/>
      <c r="O304" s="104"/>
      <c r="P304" s="104"/>
      <c r="Q304" s="104">
        <f t="shared" si="487"/>
        <v>0</v>
      </c>
      <c r="R304" s="104">
        <f>Q304*20*2</f>
        <v>0</v>
      </c>
      <c r="S304" s="104">
        <f>(Q304*5)*2</f>
        <v>0</v>
      </c>
      <c r="T304" s="105"/>
      <c r="U304" s="100">
        <f t="shared" si="478"/>
        <v>0</v>
      </c>
      <c r="V304" s="130"/>
      <c r="W304" s="134">
        <f t="shared" si="479"/>
        <v>0</v>
      </c>
      <c r="X304" s="106"/>
      <c r="Y304" s="106">
        <f t="shared" si="503"/>
        <v>0</v>
      </c>
      <c r="Z304" s="106">
        <f t="shared" si="511"/>
        <v>0</v>
      </c>
      <c r="AA304" s="106">
        <f t="shared" si="504"/>
        <v>0</v>
      </c>
      <c r="AB304" s="106">
        <f t="shared" si="505"/>
        <v>0</v>
      </c>
      <c r="AC304" s="107">
        <f t="shared" si="506"/>
        <v>0</v>
      </c>
    </row>
    <row r="305" spans="1:29" s="82" customFormat="1" ht="16.5" customHeight="1">
      <c r="A305" s="1267">
        <v>24</v>
      </c>
      <c r="B305" s="97" t="s">
        <v>87</v>
      </c>
      <c r="C305" s="98" t="s">
        <v>821</v>
      </c>
      <c r="D305" s="98">
        <v>1</v>
      </c>
      <c r="E305" s="99" t="s">
        <v>86</v>
      </c>
      <c r="F305" s="100">
        <f t="shared" ref="F305" si="516">SUM(F306:F317)</f>
        <v>0</v>
      </c>
      <c r="G305" s="100">
        <f t="shared" ref="G305:N305" si="517">SUM(G306:G317)</f>
        <v>0</v>
      </c>
      <c r="H305" s="100">
        <f t="shared" si="517"/>
        <v>0</v>
      </c>
      <c r="I305" s="100">
        <f t="shared" ref="I305" si="518">SUM(I306:I317)</f>
        <v>0</v>
      </c>
      <c r="J305" s="100">
        <f t="shared" si="517"/>
        <v>0</v>
      </c>
      <c r="K305" s="100">
        <f t="shared" si="517"/>
        <v>0</v>
      </c>
      <c r="L305" s="100">
        <f t="shared" si="517"/>
        <v>0</v>
      </c>
      <c r="M305" s="100">
        <f t="shared" si="517"/>
        <v>0</v>
      </c>
      <c r="N305" s="100">
        <f t="shared" si="517"/>
        <v>0</v>
      </c>
      <c r="O305" s="100">
        <f t="shared" ref="O305" si="519">SUM(O306:O317)</f>
        <v>0</v>
      </c>
      <c r="P305" s="100"/>
      <c r="Q305" s="100"/>
      <c r="R305" s="100">
        <f t="shared" ref="R305" si="520">SUM(R306:R317)</f>
        <v>0</v>
      </c>
      <c r="S305" s="100">
        <f>SUM(S306:S317)</f>
        <v>0</v>
      </c>
      <c r="T305" s="100"/>
      <c r="U305" s="100">
        <f t="shared" ref="U305" si="521">SUM(U306:U317)</f>
        <v>0</v>
      </c>
      <c r="V305" s="130"/>
      <c r="W305" s="143">
        <f t="shared" ref="W305" si="522">SUM(W306:W317)</f>
        <v>0</v>
      </c>
      <c r="X305" s="100">
        <f t="shared" ref="X305" si="523">SUM(X306:X317)</f>
        <v>0</v>
      </c>
      <c r="Y305" s="100">
        <f t="shared" ref="Y305:AB305" si="524">SUM(Y306:Y317)</f>
        <v>0</v>
      </c>
      <c r="Z305" s="100">
        <f t="shared" si="524"/>
        <v>0</v>
      </c>
      <c r="AA305" s="100">
        <f t="shared" si="524"/>
        <v>0</v>
      </c>
      <c r="AB305" s="100">
        <f t="shared" si="524"/>
        <v>0</v>
      </c>
      <c r="AC305" s="101">
        <f>SUM(AC306:AC317)</f>
        <v>0</v>
      </c>
    </row>
    <row r="306" spans="1:29" s="82" customFormat="1" ht="16.5" customHeight="1">
      <c r="A306" s="1267"/>
      <c r="B306" s="97" t="s">
        <v>823</v>
      </c>
      <c r="C306" s="171">
        <v>6</v>
      </c>
      <c r="D306" s="171"/>
      <c r="E306" s="172" t="s">
        <v>389</v>
      </c>
      <c r="F306" s="173"/>
      <c r="G306" s="104"/>
      <c r="H306" s="103"/>
      <c r="I306" s="105"/>
      <c r="J306" s="104"/>
      <c r="K306" s="104"/>
      <c r="L306" s="104"/>
      <c r="M306" s="104">
        <f t="shared" ref="M306" si="525">F306*60%</f>
        <v>0</v>
      </c>
      <c r="N306" s="104"/>
      <c r="O306" s="104"/>
      <c r="P306" s="104"/>
      <c r="Q306" s="104"/>
      <c r="R306" s="104"/>
      <c r="S306" s="104"/>
      <c r="T306" s="105"/>
      <c r="U306" s="100">
        <f t="shared" ref="U306" si="526">SUM(I306,L306)</f>
        <v>0</v>
      </c>
      <c r="V306" s="130"/>
      <c r="W306" s="134">
        <f t="shared" ref="W306:W307" si="527">ROUNDUP(U306*1/12,-1)</f>
        <v>0</v>
      </c>
      <c r="X306" s="106"/>
      <c r="Y306" s="106">
        <f t="shared" ref="Y306:Y317" si="528">ROUNDUP((U306-L306)*3.06%,-1)</f>
        <v>0</v>
      </c>
      <c r="Z306" s="106">
        <f>ROUNDUP(Y306*6.55%,-1)</f>
        <v>0</v>
      </c>
      <c r="AA306" s="106">
        <f t="shared" ref="AA306:AA317" si="529">ROUND(U306*0.9%,-1)</f>
        <v>0</v>
      </c>
      <c r="AB306" s="106">
        <f t="shared" ref="AB306:AB317" si="530">ROUND(U306*0.8%,-1)</f>
        <v>0</v>
      </c>
      <c r="AC306" s="107">
        <f t="shared" ref="AC306:AC317" si="531">SUM(W306:AB306)</f>
        <v>0</v>
      </c>
    </row>
    <row r="307" spans="1:29" s="82" customFormat="1" ht="16.5" customHeight="1">
      <c r="A307" s="1267"/>
      <c r="B307" s="97"/>
      <c r="C307" s="98"/>
      <c r="D307" s="98"/>
      <c r="E307" s="102" t="s">
        <v>390</v>
      </c>
      <c r="F307" s="104"/>
      <c r="G307" s="104"/>
      <c r="H307" s="104"/>
      <c r="I307" s="105"/>
      <c r="J307" s="104">
        <f t="shared" ref="J307:J317" si="532">ROUND((F306+I306+T306)*1/209*1.5,-1)</f>
        <v>0</v>
      </c>
      <c r="K307" s="104">
        <f>J307*40</f>
        <v>0</v>
      </c>
      <c r="L307" s="104">
        <f t="shared" ref="L307:L317" si="533">K307-R307</f>
        <v>0</v>
      </c>
      <c r="M307" s="104"/>
      <c r="N307" s="104"/>
      <c r="O307" s="104"/>
      <c r="P307" s="104"/>
      <c r="Q307" s="104">
        <f t="shared" ref="Q307" si="534">ROUND((F306+T306)*1/209*1.5,-1)</f>
        <v>0</v>
      </c>
      <c r="R307" s="104">
        <f>Q307*40</f>
        <v>0</v>
      </c>
      <c r="S307" s="104"/>
      <c r="T307" s="105"/>
      <c r="U307" s="100">
        <f t="shared" si="478"/>
        <v>0</v>
      </c>
      <c r="V307" s="130"/>
      <c r="W307" s="134">
        <f t="shared" si="527"/>
        <v>0</v>
      </c>
      <c r="X307" s="106"/>
      <c r="Y307" s="106">
        <f t="shared" si="528"/>
        <v>0</v>
      </c>
      <c r="Z307" s="106">
        <f t="shared" ref="Z307:Z317" si="535">ROUNDUP(Y307*6.55%,-1)</f>
        <v>0</v>
      </c>
      <c r="AA307" s="106">
        <f t="shared" si="529"/>
        <v>0</v>
      </c>
      <c r="AB307" s="106">
        <f t="shared" si="530"/>
        <v>0</v>
      </c>
      <c r="AC307" s="107">
        <f t="shared" si="531"/>
        <v>0</v>
      </c>
    </row>
    <row r="308" spans="1:29" s="82" customFormat="1" ht="16.5" customHeight="1">
      <c r="A308" s="1267"/>
      <c r="B308" s="97"/>
      <c r="C308" s="98"/>
      <c r="D308" s="98"/>
      <c r="E308" s="102" t="s">
        <v>391</v>
      </c>
      <c r="F308" s="104"/>
      <c r="G308" s="104"/>
      <c r="H308" s="104"/>
      <c r="I308" s="105"/>
      <c r="J308" s="104">
        <f t="shared" si="532"/>
        <v>0</v>
      </c>
      <c r="K308" s="104">
        <f t="shared" ref="K308:K316" si="536">J308*40</f>
        <v>0</v>
      </c>
      <c r="L308" s="104">
        <f t="shared" si="533"/>
        <v>0</v>
      </c>
      <c r="M308" s="104"/>
      <c r="N308" s="104"/>
      <c r="O308" s="104"/>
      <c r="P308" s="104"/>
      <c r="Q308" s="104">
        <f t="shared" si="487"/>
        <v>0</v>
      </c>
      <c r="R308" s="104">
        <f t="shared" ref="R308:R316" si="537">Q308*40</f>
        <v>0</v>
      </c>
      <c r="S308" s="104"/>
      <c r="T308" s="105"/>
      <c r="U308" s="100">
        <f t="shared" si="478"/>
        <v>0</v>
      </c>
      <c r="V308" s="130"/>
      <c r="W308" s="134">
        <f t="shared" si="479"/>
        <v>0</v>
      </c>
      <c r="X308" s="106"/>
      <c r="Y308" s="106">
        <f t="shared" si="528"/>
        <v>0</v>
      </c>
      <c r="Z308" s="106">
        <f t="shared" si="535"/>
        <v>0</v>
      </c>
      <c r="AA308" s="106">
        <f t="shared" si="529"/>
        <v>0</v>
      </c>
      <c r="AB308" s="106">
        <f t="shared" si="530"/>
        <v>0</v>
      </c>
      <c r="AC308" s="107">
        <f t="shared" si="531"/>
        <v>0</v>
      </c>
    </row>
    <row r="309" spans="1:29" s="82" customFormat="1" ht="16.5" customHeight="1">
      <c r="A309" s="1267"/>
      <c r="B309" s="97"/>
      <c r="C309" s="171">
        <v>7</v>
      </c>
      <c r="D309" s="171"/>
      <c r="E309" s="172" t="s">
        <v>392</v>
      </c>
      <c r="F309" s="173"/>
      <c r="G309" s="104"/>
      <c r="H309" s="104"/>
      <c r="I309" s="105"/>
      <c r="J309" s="104">
        <f t="shared" si="532"/>
        <v>0</v>
      </c>
      <c r="K309" s="104">
        <f t="shared" si="536"/>
        <v>0</v>
      </c>
      <c r="L309" s="104">
        <f t="shared" si="533"/>
        <v>0</v>
      </c>
      <c r="M309" s="104"/>
      <c r="N309" s="104"/>
      <c r="O309" s="104"/>
      <c r="P309" s="104"/>
      <c r="Q309" s="104">
        <f t="shared" si="487"/>
        <v>0</v>
      </c>
      <c r="R309" s="104">
        <f t="shared" si="537"/>
        <v>0</v>
      </c>
      <c r="S309" s="104"/>
      <c r="T309" s="105"/>
      <c r="U309" s="100">
        <f t="shared" si="478"/>
        <v>0</v>
      </c>
      <c r="V309" s="130"/>
      <c r="W309" s="134">
        <f t="shared" si="479"/>
        <v>0</v>
      </c>
      <c r="X309" s="106"/>
      <c r="Y309" s="106">
        <f t="shared" si="528"/>
        <v>0</v>
      </c>
      <c r="Z309" s="106">
        <f t="shared" si="535"/>
        <v>0</v>
      </c>
      <c r="AA309" s="106">
        <f t="shared" si="529"/>
        <v>0</v>
      </c>
      <c r="AB309" s="106">
        <f t="shared" si="530"/>
        <v>0</v>
      </c>
      <c r="AC309" s="107">
        <f t="shared" si="531"/>
        <v>0</v>
      </c>
    </row>
    <row r="310" spans="1:29" s="82" customFormat="1" ht="16.5" customHeight="1">
      <c r="A310" s="1267"/>
      <c r="B310" s="97"/>
      <c r="C310" s="98"/>
      <c r="D310" s="98"/>
      <c r="E310" s="102" t="s">
        <v>393</v>
      </c>
      <c r="F310" s="104"/>
      <c r="G310" s="104"/>
      <c r="H310" s="104"/>
      <c r="I310" s="105"/>
      <c r="J310" s="104">
        <f t="shared" si="532"/>
        <v>0</v>
      </c>
      <c r="K310" s="104">
        <f t="shared" si="536"/>
        <v>0</v>
      </c>
      <c r="L310" s="104">
        <f t="shared" si="533"/>
        <v>0</v>
      </c>
      <c r="M310" s="104"/>
      <c r="N310" s="104"/>
      <c r="O310" s="104"/>
      <c r="P310" s="104"/>
      <c r="Q310" s="104">
        <f t="shared" si="487"/>
        <v>0</v>
      </c>
      <c r="R310" s="104">
        <f t="shared" si="537"/>
        <v>0</v>
      </c>
      <c r="S310" s="104"/>
      <c r="T310" s="105"/>
      <c r="U310" s="100">
        <f t="shared" si="478"/>
        <v>0</v>
      </c>
      <c r="V310" s="130"/>
      <c r="W310" s="134">
        <f t="shared" si="479"/>
        <v>0</v>
      </c>
      <c r="X310" s="106"/>
      <c r="Y310" s="106">
        <f t="shared" si="528"/>
        <v>0</v>
      </c>
      <c r="Z310" s="106">
        <f t="shared" si="535"/>
        <v>0</v>
      </c>
      <c r="AA310" s="106">
        <f t="shared" si="529"/>
        <v>0</v>
      </c>
      <c r="AB310" s="106">
        <f t="shared" si="530"/>
        <v>0</v>
      </c>
      <c r="AC310" s="107">
        <f t="shared" si="531"/>
        <v>0</v>
      </c>
    </row>
    <row r="311" spans="1:29" s="82" customFormat="1" ht="16.5" customHeight="1">
      <c r="A311" s="1267"/>
      <c r="B311" s="97"/>
      <c r="C311" s="98"/>
      <c r="D311" s="98"/>
      <c r="E311" s="102" t="s">
        <v>394</v>
      </c>
      <c r="F311" s="104"/>
      <c r="G311" s="104"/>
      <c r="H311" s="104"/>
      <c r="I311" s="105"/>
      <c r="J311" s="104">
        <f t="shared" si="532"/>
        <v>0</v>
      </c>
      <c r="K311" s="104">
        <f t="shared" si="536"/>
        <v>0</v>
      </c>
      <c r="L311" s="104">
        <f t="shared" si="533"/>
        <v>0</v>
      </c>
      <c r="M311" s="104"/>
      <c r="N311" s="104"/>
      <c r="O311" s="104"/>
      <c r="P311" s="104"/>
      <c r="Q311" s="104">
        <f t="shared" si="487"/>
        <v>0</v>
      </c>
      <c r="R311" s="104">
        <f t="shared" si="537"/>
        <v>0</v>
      </c>
      <c r="S311" s="104"/>
      <c r="T311" s="105"/>
      <c r="U311" s="100">
        <f t="shared" si="478"/>
        <v>0</v>
      </c>
      <c r="V311" s="130"/>
      <c r="W311" s="134">
        <f t="shared" si="479"/>
        <v>0</v>
      </c>
      <c r="X311" s="106"/>
      <c r="Y311" s="106">
        <f t="shared" si="528"/>
        <v>0</v>
      </c>
      <c r="Z311" s="106">
        <f t="shared" si="535"/>
        <v>0</v>
      </c>
      <c r="AA311" s="106">
        <f t="shared" si="529"/>
        <v>0</v>
      </c>
      <c r="AB311" s="106">
        <f t="shared" si="530"/>
        <v>0</v>
      </c>
      <c r="AC311" s="107">
        <f t="shared" si="531"/>
        <v>0</v>
      </c>
    </row>
    <row r="312" spans="1:29" s="82" customFormat="1" ht="16.5" customHeight="1">
      <c r="A312" s="1267"/>
      <c r="B312" s="97"/>
      <c r="C312" s="98"/>
      <c r="D312" s="98"/>
      <c r="E312" s="102" t="s">
        <v>279</v>
      </c>
      <c r="F312" s="104"/>
      <c r="G312" s="104"/>
      <c r="H312" s="103"/>
      <c r="I312" s="105"/>
      <c r="J312" s="104">
        <f t="shared" si="532"/>
        <v>0</v>
      </c>
      <c r="K312" s="104">
        <f t="shared" si="536"/>
        <v>0</v>
      </c>
      <c r="L312" s="104">
        <f t="shared" si="533"/>
        <v>0</v>
      </c>
      <c r="M312" s="104"/>
      <c r="N312" s="104"/>
      <c r="O312" s="104"/>
      <c r="P312" s="104"/>
      <c r="Q312" s="104">
        <f t="shared" si="487"/>
        <v>0</v>
      </c>
      <c r="R312" s="104">
        <f t="shared" si="537"/>
        <v>0</v>
      </c>
      <c r="S312" s="104"/>
      <c r="T312" s="105"/>
      <c r="U312" s="100">
        <f t="shared" si="478"/>
        <v>0</v>
      </c>
      <c r="V312" s="130"/>
      <c r="W312" s="134">
        <f t="shared" si="479"/>
        <v>0</v>
      </c>
      <c r="X312" s="106"/>
      <c r="Y312" s="106">
        <f t="shared" si="528"/>
        <v>0</v>
      </c>
      <c r="Z312" s="106">
        <f t="shared" si="535"/>
        <v>0</v>
      </c>
      <c r="AA312" s="106">
        <f t="shared" si="529"/>
        <v>0</v>
      </c>
      <c r="AB312" s="106">
        <f t="shared" si="530"/>
        <v>0</v>
      </c>
      <c r="AC312" s="107">
        <f t="shared" si="531"/>
        <v>0</v>
      </c>
    </row>
    <row r="313" spans="1:29" s="82" customFormat="1" ht="16.5" customHeight="1">
      <c r="A313" s="1267"/>
      <c r="B313" s="97"/>
      <c r="C313" s="98"/>
      <c r="D313" s="98"/>
      <c r="E313" s="102" t="s">
        <v>280</v>
      </c>
      <c r="F313" s="104"/>
      <c r="G313" s="104"/>
      <c r="H313" s="104"/>
      <c r="I313" s="105"/>
      <c r="J313" s="104">
        <f t="shared" si="532"/>
        <v>0</v>
      </c>
      <c r="K313" s="104">
        <f t="shared" si="536"/>
        <v>0</v>
      </c>
      <c r="L313" s="104">
        <f t="shared" si="533"/>
        <v>0</v>
      </c>
      <c r="M313" s="104"/>
      <c r="N313" s="104"/>
      <c r="O313" s="104"/>
      <c r="P313" s="104"/>
      <c r="Q313" s="104">
        <f t="shared" si="487"/>
        <v>0</v>
      </c>
      <c r="R313" s="104">
        <f t="shared" si="537"/>
        <v>0</v>
      </c>
      <c r="S313" s="104"/>
      <c r="T313" s="105"/>
      <c r="U313" s="100">
        <f t="shared" si="478"/>
        <v>0</v>
      </c>
      <c r="V313" s="130"/>
      <c r="W313" s="134">
        <f t="shared" si="479"/>
        <v>0</v>
      </c>
      <c r="X313" s="106"/>
      <c r="Y313" s="106">
        <f t="shared" si="528"/>
        <v>0</v>
      </c>
      <c r="Z313" s="106">
        <f t="shared" si="535"/>
        <v>0</v>
      </c>
      <c r="AA313" s="106">
        <f t="shared" si="529"/>
        <v>0</v>
      </c>
      <c r="AB313" s="106">
        <f t="shared" si="530"/>
        <v>0</v>
      </c>
      <c r="AC313" s="107">
        <f t="shared" si="531"/>
        <v>0</v>
      </c>
    </row>
    <row r="314" spans="1:29" s="82" customFormat="1" ht="16.5" customHeight="1">
      <c r="A314" s="1267"/>
      <c r="B314" s="97"/>
      <c r="C314" s="98"/>
      <c r="D314" s="98"/>
      <c r="E314" s="102" t="s">
        <v>54</v>
      </c>
      <c r="F314" s="104"/>
      <c r="G314" s="104"/>
      <c r="H314" s="104"/>
      <c r="I314" s="105"/>
      <c r="J314" s="104">
        <f t="shared" si="532"/>
        <v>0</v>
      </c>
      <c r="K314" s="104">
        <f t="shared" si="536"/>
        <v>0</v>
      </c>
      <c r="L314" s="104">
        <f t="shared" si="533"/>
        <v>0</v>
      </c>
      <c r="M314" s="104">
        <f t="shared" ref="M314" si="538">F314*60%</f>
        <v>0</v>
      </c>
      <c r="N314" s="104"/>
      <c r="O314" s="104"/>
      <c r="P314" s="104"/>
      <c r="Q314" s="104">
        <f t="shared" si="487"/>
        <v>0</v>
      </c>
      <c r="R314" s="104">
        <f t="shared" si="537"/>
        <v>0</v>
      </c>
      <c r="S314" s="104"/>
      <c r="T314" s="105"/>
      <c r="U314" s="100">
        <f t="shared" si="478"/>
        <v>0</v>
      </c>
      <c r="V314" s="130"/>
      <c r="W314" s="134">
        <f t="shared" si="479"/>
        <v>0</v>
      </c>
      <c r="X314" s="106"/>
      <c r="Y314" s="106">
        <f t="shared" si="528"/>
        <v>0</v>
      </c>
      <c r="Z314" s="106">
        <f t="shared" si="535"/>
        <v>0</v>
      </c>
      <c r="AA314" s="106">
        <f t="shared" si="529"/>
        <v>0</v>
      </c>
      <c r="AB314" s="106">
        <f t="shared" si="530"/>
        <v>0</v>
      </c>
      <c r="AC314" s="107">
        <f t="shared" si="531"/>
        <v>0</v>
      </c>
    </row>
    <row r="315" spans="1:29" s="82" customFormat="1" ht="16.5" customHeight="1">
      <c r="A315" s="1267"/>
      <c r="B315" s="97"/>
      <c r="C315" s="98"/>
      <c r="D315" s="98"/>
      <c r="E315" s="102" t="s">
        <v>55</v>
      </c>
      <c r="F315" s="104"/>
      <c r="G315" s="104"/>
      <c r="H315" s="104"/>
      <c r="I315" s="105"/>
      <c r="J315" s="104">
        <f t="shared" si="532"/>
        <v>0</v>
      </c>
      <c r="K315" s="104">
        <f t="shared" si="536"/>
        <v>0</v>
      </c>
      <c r="L315" s="104">
        <f t="shared" si="533"/>
        <v>0</v>
      </c>
      <c r="M315" s="104"/>
      <c r="N315" s="104"/>
      <c r="O315" s="104"/>
      <c r="P315" s="104"/>
      <c r="Q315" s="104">
        <f t="shared" si="487"/>
        <v>0</v>
      </c>
      <c r="R315" s="104">
        <f t="shared" si="537"/>
        <v>0</v>
      </c>
      <c r="S315" s="104"/>
      <c r="T315" s="105"/>
      <c r="U315" s="100">
        <f t="shared" si="478"/>
        <v>0</v>
      </c>
      <c r="V315" s="130"/>
      <c r="W315" s="134">
        <f t="shared" si="479"/>
        <v>0</v>
      </c>
      <c r="X315" s="106"/>
      <c r="Y315" s="106">
        <f t="shared" si="528"/>
        <v>0</v>
      </c>
      <c r="Z315" s="106">
        <f t="shared" si="535"/>
        <v>0</v>
      </c>
      <c r="AA315" s="106">
        <f t="shared" si="529"/>
        <v>0</v>
      </c>
      <c r="AB315" s="106">
        <f t="shared" si="530"/>
        <v>0</v>
      </c>
      <c r="AC315" s="107">
        <f t="shared" si="531"/>
        <v>0</v>
      </c>
    </row>
    <row r="316" spans="1:29" s="82" customFormat="1" ht="16.5" customHeight="1">
      <c r="A316" s="1267"/>
      <c r="B316" s="97"/>
      <c r="C316" s="98"/>
      <c r="D316" s="98"/>
      <c r="E316" s="102" t="s">
        <v>56</v>
      </c>
      <c r="F316" s="104"/>
      <c r="G316" s="104"/>
      <c r="H316" s="104"/>
      <c r="I316" s="105"/>
      <c r="J316" s="104">
        <f t="shared" si="532"/>
        <v>0</v>
      </c>
      <c r="K316" s="104">
        <f t="shared" si="536"/>
        <v>0</v>
      </c>
      <c r="L316" s="104">
        <f t="shared" si="533"/>
        <v>0</v>
      </c>
      <c r="M316" s="104"/>
      <c r="N316" s="104"/>
      <c r="O316" s="104"/>
      <c r="P316" s="104"/>
      <c r="Q316" s="104">
        <f t="shared" si="487"/>
        <v>0</v>
      </c>
      <c r="R316" s="104">
        <f t="shared" si="537"/>
        <v>0</v>
      </c>
      <c r="S316" s="104"/>
      <c r="T316" s="105"/>
      <c r="U316" s="100">
        <f t="shared" si="478"/>
        <v>0</v>
      </c>
      <c r="V316" s="130"/>
      <c r="W316" s="134">
        <f t="shared" si="479"/>
        <v>0</v>
      </c>
      <c r="X316" s="106"/>
      <c r="Y316" s="106">
        <f t="shared" si="528"/>
        <v>0</v>
      </c>
      <c r="Z316" s="106">
        <f t="shared" si="535"/>
        <v>0</v>
      </c>
      <c r="AA316" s="106">
        <f t="shared" si="529"/>
        <v>0</v>
      </c>
      <c r="AB316" s="106">
        <f t="shared" si="530"/>
        <v>0</v>
      </c>
      <c r="AC316" s="107">
        <f t="shared" si="531"/>
        <v>0</v>
      </c>
    </row>
    <row r="317" spans="1:29" s="82" customFormat="1" ht="16.5" customHeight="1">
      <c r="A317" s="1267"/>
      <c r="B317" s="97"/>
      <c r="C317" s="98"/>
      <c r="D317" s="98"/>
      <c r="E317" s="102" t="s">
        <v>395</v>
      </c>
      <c r="F317" s="104"/>
      <c r="G317" s="104"/>
      <c r="H317" s="104"/>
      <c r="I317" s="105"/>
      <c r="J317" s="104">
        <f t="shared" si="532"/>
        <v>0</v>
      </c>
      <c r="K317" s="104">
        <f>J317*40*2</f>
        <v>0</v>
      </c>
      <c r="L317" s="104">
        <f t="shared" si="533"/>
        <v>0</v>
      </c>
      <c r="M317" s="104"/>
      <c r="N317" s="104"/>
      <c r="O317" s="104"/>
      <c r="P317" s="104"/>
      <c r="Q317" s="104">
        <f t="shared" si="487"/>
        <v>0</v>
      </c>
      <c r="R317" s="104">
        <f>Q317*40*2</f>
        <v>0</v>
      </c>
      <c r="S317" s="104"/>
      <c r="T317" s="105"/>
      <c r="U317" s="100">
        <f t="shared" si="478"/>
        <v>0</v>
      </c>
      <c r="V317" s="130"/>
      <c r="W317" s="134">
        <f t="shared" si="479"/>
        <v>0</v>
      </c>
      <c r="X317" s="106"/>
      <c r="Y317" s="106">
        <f t="shared" si="528"/>
        <v>0</v>
      </c>
      <c r="Z317" s="106">
        <f t="shared" si="535"/>
        <v>0</v>
      </c>
      <c r="AA317" s="106">
        <f t="shared" si="529"/>
        <v>0</v>
      </c>
      <c r="AB317" s="106">
        <f t="shared" si="530"/>
        <v>0</v>
      </c>
      <c r="AC317" s="107">
        <f t="shared" si="531"/>
        <v>0</v>
      </c>
    </row>
    <row r="318" spans="1:29" s="82" customFormat="1" ht="16.5" customHeight="1">
      <c r="A318" s="1267">
        <v>25</v>
      </c>
      <c r="B318" s="97" t="s">
        <v>87</v>
      </c>
      <c r="C318" s="98" t="s">
        <v>821</v>
      </c>
      <c r="D318" s="98">
        <v>1</v>
      </c>
      <c r="E318" s="99" t="s">
        <v>86</v>
      </c>
      <c r="F318" s="100">
        <f t="shared" ref="F318" si="539">SUM(F319:F330)</f>
        <v>0</v>
      </c>
      <c r="G318" s="100">
        <f t="shared" ref="G318:N318" si="540">SUM(G319:G330)</f>
        <v>0</v>
      </c>
      <c r="H318" s="100">
        <f t="shared" si="540"/>
        <v>0</v>
      </c>
      <c r="I318" s="100">
        <f t="shared" ref="I318" si="541">SUM(I319:I330)</f>
        <v>0</v>
      </c>
      <c r="J318" s="100">
        <f t="shared" si="540"/>
        <v>0</v>
      </c>
      <c r="K318" s="100">
        <f t="shared" si="540"/>
        <v>0</v>
      </c>
      <c r="L318" s="100">
        <f t="shared" si="540"/>
        <v>0</v>
      </c>
      <c r="M318" s="100">
        <f t="shared" si="540"/>
        <v>0</v>
      </c>
      <c r="N318" s="100">
        <f t="shared" si="540"/>
        <v>0</v>
      </c>
      <c r="O318" s="100">
        <f t="shared" ref="O318" si="542">SUM(O319:O330)</f>
        <v>0</v>
      </c>
      <c r="P318" s="100"/>
      <c r="Q318" s="100"/>
      <c r="R318" s="100">
        <f t="shared" ref="R318" si="543">SUM(R319:R330)</f>
        <v>0</v>
      </c>
      <c r="S318" s="100">
        <f>SUM(S319:S330)</f>
        <v>0</v>
      </c>
      <c r="T318" s="100"/>
      <c r="U318" s="100">
        <f t="shared" ref="U318" si="544">SUM(U319:U330)</f>
        <v>0</v>
      </c>
      <c r="V318" s="130"/>
      <c r="W318" s="143">
        <f t="shared" ref="W318" si="545">SUM(W319:W330)</f>
        <v>0</v>
      </c>
      <c r="X318" s="100">
        <f t="shared" ref="X318" si="546">SUM(X319:X330)</f>
        <v>0</v>
      </c>
      <c r="Y318" s="100">
        <f t="shared" ref="Y318:AB318" si="547">SUM(Y319:Y330)</f>
        <v>0</v>
      </c>
      <c r="Z318" s="100">
        <f t="shared" si="547"/>
        <v>0</v>
      </c>
      <c r="AA318" s="100">
        <f t="shared" si="547"/>
        <v>0</v>
      </c>
      <c r="AB318" s="100">
        <f t="shared" si="547"/>
        <v>0</v>
      </c>
      <c r="AC318" s="101">
        <f>SUM(AC319:AC330)</f>
        <v>0</v>
      </c>
    </row>
    <row r="319" spans="1:29" s="82" customFormat="1" ht="16.5" customHeight="1">
      <c r="A319" s="1267"/>
      <c r="B319" s="97" t="s">
        <v>824</v>
      </c>
      <c r="C319" s="171">
        <v>6</v>
      </c>
      <c r="D319" s="171"/>
      <c r="E319" s="172" t="s">
        <v>389</v>
      </c>
      <c r="F319" s="173"/>
      <c r="G319" s="104"/>
      <c r="H319" s="103"/>
      <c r="I319" s="105"/>
      <c r="J319" s="104"/>
      <c r="K319" s="104"/>
      <c r="L319" s="104"/>
      <c r="M319" s="104">
        <f t="shared" ref="M319" si="548">F319*60%</f>
        <v>0</v>
      </c>
      <c r="N319" s="104"/>
      <c r="O319" s="104"/>
      <c r="P319" s="104"/>
      <c r="Q319" s="104"/>
      <c r="R319" s="104"/>
      <c r="S319" s="104"/>
      <c r="T319" s="105"/>
      <c r="U319" s="100">
        <f t="shared" ref="U319" si="549">SUM(I319,L319)</f>
        <v>0</v>
      </c>
      <c r="V319" s="130"/>
      <c r="W319" s="134">
        <f t="shared" ref="W319:W320" si="550">ROUNDUP(U319*1/12,-1)</f>
        <v>0</v>
      </c>
      <c r="X319" s="106"/>
      <c r="Y319" s="106">
        <f t="shared" ref="Y319:Y330" si="551">ROUNDUP((U319-L319)*3.06%,-1)</f>
        <v>0</v>
      </c>
      <c r="Z319" s="106">
        <f>ROUNDUP(Y319*6.55%,-1)</f>
        <v>0</v>
      </c>
      <c r="AA319" s="106">
        <f t="shared" ref="AA319:AA330" si="552">ROUND(U319*0.9%,-1)</f>
        <v>0</v>
      </c>
      <c r="AB319" s="106">
        <f t="shared" ref="AB319:AB330" si="553">ROUND(U319*0.8%,-1)</f>
        <v>0</v>
      </c>
      <c r="AC319" s="107">
        <f t="shared" ref="AC319:AC330" si="554">SUM(W319:AB319)</f>
        <v>0</v>
      </c>
    </row>
    <row r="320" spans="1:29" s="82" customFormat="1" ht="16.5" customHeight="1">
      <c r="A320" s="1267"/>
      <c r="B320" s="97"/>
      <c r="C320" s="98"/>
      <c r="D320" s="98"/>
      <c r="E320" s="102" t="s">
        <v>390</v>
      </c>
      <c r="F320" s="104"/>
      <c r="G320" s="104"/>
      <c r="H320" s="104"/>
      <c r="I320" s="105"/>
      <c r="J320" s="104">
        <f t="shared" ref="J320:J330" si="555">ROUND((F319+I319+T319)*1/209*1.5,-1)</f>
        <v>0</v>
      </c>
      <c r="K320" s="104">
        <f>J320*40</f>
        <v>0</v>
      </c>
      <c r="L320" s="104">
        <f t="shared" ref="L320:L330" si="556">K320-R320</f>
        <v>0</v>
      </c>
      <c r="M320" s="104"/>
      <c r="N320" s="104"/>
      <c r="O320" s="104"/>
      <c r="P320" s="104"/>
      <c r="Q320" s="104">
        <f t="shared" ref="Q320" si="557">ROUND((F319+T319)*1/209*1.5,-1)</f>
        <v>0</v>
      </c>
      <c r="R320" s="104">
        <f>Q320*40</f>
        <v>0</v>
      </c>
      <c r="S320" s="104"/>
      <c r="T320" s="105"/>
      <c r="U320" s="100">
        <f t="shared" si="478"/>
        <v>0</v>
      </c>
      <c r="V320" s="130"/>
      <c r="W320" s="134">
        <f t="shared" si="550"/>
        <v>0</v>
      </c>
      <c r="X320" s="106"/>
      <c r="Y320" s="106">
        <f t="shared" si="551"/>
        <v>0</v>
      </c>
      <c r="Z320" s="106">
        <f t="shared" ref="Z320:Z330" si="558">ROUNDUP(Y320*6.55%,-1)</f>
        <v>0</v>
      </c>
      <c r="AA320" s="106">
        <f t="shared" si="552"/>
        <v>0</v>
      </c>
      <c r="AB320" s="106">
        <f t="shared" si="553"/>
        <v>0</v>
      </c>
      <c r="AC320" s="107">
        <f t="shared" si="554"/>
        <v>0</v>
      </c>
    </row>
    <row r="321" spans="1:29" s="82" customFormat="1" ht="16.5" customHeight="1">
      <c r="A321" s="1267"/>
      <c r="B321" s="97"/>
      <c r="C321" s="98"/>
      <c r="D321" s="98"/>
      <c r="E321" s="102" t="s">
        <v>391</v>
      </c>
      <c r="F321" s="104"/>
      <c r="G321" s="104"/>
      <c r="H321" s="104"/>
      <c r="I321" s="105"/>
      <c r="J321" s="104">
        <f t="shared" si="555"/>
        <v>0</v>
      </c>
      <c r="K321" s="104">
        <f t="shared" ref="K321:K329" si="559">J321*40</f>
        <v>0</v>
      </c>
      <c r="L321" s="104">
        <f t="shared" si="556"/>
        <v>0</v>
      </c>
      <c r="M321" s="104"/>
      <c r="N321" s="104"/>
      <c r="O321" s="104"/>
      <c r="P321" s="104"/>
      <c r="Q321" s="104">
        <f t="shared" si="487"/>
        <v>0</v>
      </c>
      <c r="R321" s="104">
        <f t="shared" ref="R321:R329" si="560">Q321*40</f>
        <v>0</v>
      </c>
      <c r="S321" s="104"/>
      <c r="T321" s="105"/>
      <c r="U321" s="100">
        <f t="shared" si="478"/>
        <v>0</v>
      </c>
      <c r="V321" s="130"/>
      <c r="W321" s="134">
        <f t="shared" si="479"/>
        <v>0</v>
      </c>
      <c r="X321" s="106"/>
      <c r="Y321" s="106">
        <f t="shared" si="551"/>
        <v>0</v>
      </c>
      <c r="Z321" s="106">
        <f t="shared" si="558"/>
        <v>0</v>
      </c>
      <c r="AA321" s="106">
        <f t="shared" si="552"/>
        <v>0</v>
      </c>
      <c r="AB321" s="106">
        <f t="shared" si="553"/>
        <v>0</v>
      </c>
      <c r="AC321" s="107">
        <f t="shared" si="554"/>
        <v>0</v>
      </c>
    </row>
    <row r="322" spans="1:29" s="82" customFormat="1" ht="16.5" customHeight="1">
      <c r="A322" s="1267"/>
      <c r="B322" s="97"/>
      <c r="C322" s="171">
        <v>7</v>
      </c>
      <c r="D322" s="171"/>
      <c r="E322" s="172" t="s">
        <v>392</v>
      </c>
      <c r="F322" s="173"/>
      <c r="G322" s="104"/>
      <c r="H322" s="104"/>
      <c r="I322" s="105"/>
      <c r="J322" s="104">
        <f t="shared" si="555"/>
        <v>0</v>
      </c>
      <c r="K322" s="104">
        <f t="shared" si="559"/>
        <v>0</v>
      </c>
      <c r="L322" s="104">
        <f t="shared" si="556"/>
        <v>0</v>
      </c>
      <c r="M322" s="104"/>
      <c r="N322" s="104"/>
      <c r="O322" s="104"/>
      <c r="P322" s="104"/>
      <c r="Q322" s="104">
        <f t="shared" si="487"/>
        <v>0</v>
      </c>
      <c r="R322" s="104">
        <f t="shared" si="560"/>
        <v>0</v>
      </c>
      <c r="S322" s="104"/>
      <c r="T322" s="105"/>
      <c r="U322" s="100">
        <f t="shared" si="478"/>
        <v>0</v>
      </c>
      <c r="V322" s="130"/>
      <c r="W322" s="134">
        <f t="shared" si="479"/>
        <v>0</v>
      </c>
      <c r="X322" s="106"/>
      <c r="Y322" s="106">
        <f t="shared" si="551"/>
        <v>0</v>
      </c>
      <c r="Z322" s="106">
        <f t="shared" si="558"/>
        <v>0</v>
      </c>
      <c r="AA322" s="106">
        <f t="shared" si="552"/>
        <v>0</v>
      </c>
      <c r="AB322" s="106">
        <f t="shared" si="553"/>
        <v>0</v>
      </c>
      <c r="AC322" s="107">
        <f t="shared" si="554"/>
        <v>0</v>
      </c>
    </row>
    <row r="323" spans="1:29" s="82" customFormat="1" ht="16.5" customHeight="1">
      <c r="A323" s="1267"/>
      <c r="B323" s="97"/>
      <c r="C323" s="98"/>
      <c r="D323" s="98"/>
      <c r="E323" s="102" t="s">
        <v>393</v>
      </c>
      <c r="F323" s="104"/>
      <c r="G323" s="104"/>
      <c r="H323" s="104"/>
      <c r="I323" s="105"/>
      <c r="J323" s="104">
        <f t="shared" si="555"/>
        <v>0</v>
      </c>
      <c r="K323" s="104">
        <f t="shared" si="559"/>
        <v>0</v>
      </c>
      <c r="L323" s="104">
        <f t="shared" si="556"/>
        <v>0</v>
      </c>
      <c r="M323" s="104"/>
      <c r="N323" s="104"/>
      <c r="O323" s="104"/>
      <c r="P323" s="104"/>
      <c r="Q323" s="104">
        <f t="shared" si="487"/>
        <v>0</v>
      </c>
      <c r="R323" s="104">
        <f t="shared" si="560"/>
        <v>0</v>
      </c>
      <c r="S323" s="104"/>
      <c r="T323" s="105"/>
      <c r="U323" s="100">
        <f t="shared" si="478"/>
        <v>0</v>
      </c>
      <c r="V323" s="130"/>
      <c r="W323" s="134">
        <f t="shared" si="479"/>
        <v>0</v>
      </c>
      <c r="X323" s="106"/>
      <c r="Y323" s="106">
        <f t="shared" si="551"/>
        <v>0</v>
      </c>
      <c r="Z323" s="106">
        <f t="shared" si="558"/>
        <v>0</v>
      </c>
      <c r="AA323" s="106">
        <f t="shared" si="552"/>
        <v>0</v>
      </c>
      <c r="AB323" s="106">
        <f t="shared" si="553"/>
        <v>0</v>
      </c>
      <c r="AC323" s="107">
        <f t="shared" si="554"/>
        <v>0</v>
      </c>
    </row>
    <row r="324" spans="1:29" s="82" customFormat="1" ht="16.5" customHeight="1">
      <c r="A324" s="1267"/>
      <c r="B324" s="97"/>
      <c r="C324" s="98"/>
      <c r="D324" s="98"/>
      <c r="E324" s="102" t="s">
        <v>394</v>
      </c>
      <c r="F324" s="104"/>
      <c r="G324" s="104"/>
      <c r="H324" s="104"/>
      <c r="I324" s="105"/>
      <c r="J324" s="104">
        <f t="shared" si="555"/>
        <v>0</v>
      </c>
      <c r="K324" s="104">
        <f t="shared" si="559"/>
        <v>0</v>
      </c>
      <c r="L324" s="104">
        <f t="shared" si="556"/>
        <v>0</v>
      </c>
      <c r="M324" s="104"/>
      <c r="N324" s="104"/>
      <c r="O324" s="104"/>
      <c r="P324" s="104"/>
      <c r="Q324" s="104">
        <f t="shared" si="487"/>
        <v>0</v>
      </c>
      <c r="R324" s="104">
        <f t="shared" si="560"/>
        <v>0</v>
      </c>
      <c r="S324" s="104"/>
      <c r="T324" s="105"/>
      <c r="U324" s="100">
        <f t="shared" si="478"/>
        <v>0</v>
      </c>
      <c r="V324" s="130"/>
      <c r="W324" s="134">
        <f t="shared" si="479"/>
        <v>0</v>
      </c>
      <c r="X324" s="106"/>
      <c r="Y324" s="106">
        <f t="shared" si="551"/>
        <v>0</v>
      </c>
      <c r="Z324" s="106">
        <f t="shared" si="558"/>
        <v>0</v>
      </c>
      <c r="AA324" s="106">
        <f t="shared" si="552"/>
        <v>0</v>
      </c>
      <c r="AB324" s="106">
        <f t="shared" si="553"/>
        <v>0</v>
      </c>
      <c r="AC324" s="107">
        <f t="shared" si="554"/>
        <v>0</v>
      </c>
    </row>
    <row r="325" spans="1:29" s="82" customFormat="1" ht="16.5" customHeight="1">
      <c r="A325" s="1267"/>
      <c r="B325" s="97"/>
      <c r="C325" s="98"/>
      <c r="D325" s="98"/>
      <c r="E325" s="102" t="s">
        <v>279</v>
      </c>
      <c r="F325" s="104"/>
      <c r="G325" s="104"/>
      <c r="H325" s="103"/>
      <c r="I325" s="105"/>
      <c r="J325" s="104">
        <f t="shared" si="555"/>
        <v>0</v>
      </c>
      <c r="K325" s="104">
        <f t="shared" si="559"/>
        <v>0</v>
      </c>
      <c r="L325" s="104">
        <f t="shared" si="556"/>
        <v>0</v>
      </c>
      <c r="M325" s="104"/>
      <c r="N325" s="104"/>
      <c r="O325" s="104"/>
      <c r="P325" s="104"/>
      <c r="Q325" s="104">
        <f t="shared" si="487"/>
        <v>0</v>
      </c>
      <c r="R325" s="104">
        <f t="shared" si="560"/>
        <v>0</v>
      </c>
      <c r="S325" s="104"/>
      <c r="T325" s="105"/>
      <c r="U325" s="100">
        <f t="shared" si="478"/>
        <v>0</v>
      </c>
      <c r="V325" s="130"/>
      <c r="W325" s="134">
        <f t="shared" si="479"/>
        <v>0</v>
      </c>
      <c r="X325" s="106"/>
      <c r="Y325" s="106">
        <f t="shared" si="551"/>
        <v>0</v>
      </c>
      <c r="Z325" s="106">
        <f t="shared" si="558"/>
        <v>0</v>
      </c>
      <c r="AA325" s="106">
        <f t="shared" si="552"/>
        <v>0</v>
      </c>
      <c r="AB325" s="106">
        <f t="shared" si="553"/>
        <v>0</v>
      </c>
      <c r="AC325" s="107">
        <f t="shared" si="554"/>
        <v>0</v>
      </c>
    </row>
    <row r="326" spans="1:29" s="82" customFormat="1" ht="16.5" customHeight="1">
      <c r="A326" s="1267"/>
      <c r="B326" s="97"/>
      <c r="C326" s="98"/>
      <c r="D326" s="98"/>
      <c r="E326" s="102" t="s">
        <v>280</v>
      </c>
      <c r="F326" s="104"/>
      <c r="G326" s="104"/>
      <c r="H326" s="104"/>
      <c r="I326" s="105"/>
      <c r="J326" s="104">
        <f t="shared" si="555"/>
        <v>0</v>
      </c>
      <c r="K326" s="104">
        <f t="shared" si="559"/>
        <v>0</v>
      </c>
      <c r="L326" s="104">
        <f t="shared" si="556"/>
        <v>0</v>
      </c>
      <c r="M326" s="104"/>
      <c r="N326" s="104"/>
      <c r="O326" s="104"/>
      <c r="P326" s="104"/>
      <c r="Q326" s="104">
        <f t="shared" si="487"/>
        <v>0</v>
      </c>
      <c r="R326" s="104">
        <f t="shared" si="560"/>
        <v>0</v>
      </c>
      <c r="S326" s="104"/>
      <c r="T326" s="105"/>
      <c r="U326" s="100">
        <f t="shared" si="478"/>
        <v>0</v>
      </c>
      <c r="V326" s="130"/>
      <c r="W326" s="134">
        <f t="shared" si="479"/>
        <v>0</v>
      </c>
      <c r="X326" s="106"/>
      <c r="Y326" s="106">
        <f t="shared" si="551"/>
        <v>0</v>
      </c>
      <c r="Z326" s="106">
        <f t="shared" si="558"/>
        <v>0</v>
      </c>
      <c r="AA326" s="106">
        <f t="shared" si="552"/>
        <v>0</v>
      </c>
      <c r="AB326" s="106">
        <f t="shared" si="553"/>
        <v>0</v>
      </c>
      <c r="AC326" s="107">
        <f t="shared" si="554"/>
        <v>0</v>
      </c>
    </row>
    <row r="327" spans="1:29" s="82" customFormat="1" ht="16.5" customHeight="1">
      <c r="A327" s="1267"/>
      <c r="B327" s="97"/>
      <c r="C327" s="98"/>
      <c r="D327" s="98"/>
      <c r="E327" s="102" t="s">
        <v>54</v>
      </c>
      <c r="F327" s="104"/>
      <c r="G327" s="104"/>
      <c r="H327" s="104"/>
      <c r="I327" s="105"/>
      <c r="J327" s="104">
        <f t="shared" si="555"/>
        <v>0</v>
      </c>
      <c r="K327" s="104">
        <f t="shared" si="559"/>
        <v>0</v>
      </c>
      <c r="L327" s="104">
        <f t="shared" si="556"/>
        <v>0</v>
      </c>
      <c r="M327" s="104">
        <f t="shared" ref="M327" si="561">F327*60%</f>
        <v>0</v>
      </c>
      <c r="N327" s="104"/>
      <c r="O327" s="104"/>
      <c r="P327" s="104"/>
      <c r="Q327" s="104">
        <f t="shared" si="487"/>
        <v>0</v>
      </c>
      <c r="R327" s="104">
        <f t="shared" si="560"/>
        <v>0</v>
      </c>
      <c r="S327" s="104"/>
      <c r="T327" s="105"/>
      <c r="U327" s="100">
        <f t="shared" si="478"/>
        <v>0</v>
      </c>
      <c r="V327" s="130"/>
      <c r="W327" s="134">
        <f t="shared" si="479"/>
        <v>0</v>
      </c>
      <c r="X327" s="106"/>
      <c r="Y327" s="106">
        <f t="shared" si="551"/>
        <v>0</v>
      </c>
      <c r="Z327" s="106">
        <f t="shared" si="558"/>
        <v>0</v>
      </c>
      <c r="AA327" s="106">
        <f t="shared" si="552"/>
        <v>0</v>
      </c>
      <c r="AB327" s="106">
        <f t="shared" si="553"/>
        <v>0</v>
      </c>
      <c r="AC327" s="107">
        <f t="shared" si="554"/>
        <v>0</v>
      </c>
    </row>
    <row r="328" spans="1:29" s="82" customFormat="1" ht="16.5" customHeight="1">
      <c r="A328" s="1267"/>
      <c r="B328" s="97"/>
      <c r="C328" s="98"/>
      <c r="D328" s="98"/>
      <c r="E328" s="102" t="s">
        <v>55</v>
      </c>
      <c r="F328" s="104"/>
      <c r="G328" s="104"/>
      <c r="H328" s="104"/>
      <c r="I328" s="105"/>
      <c r="J328" s="104">
        <f t="shared" si="555"/>
        <v>0</v>
      </c>
      <c r="K328" s="104">
        <f t="shared" si="559"/>
        <v>0</v>
      </c>
      <c r="L328" s="104">
        <f t="shared" si="556"/>
        <v>0</v>
      </c>
      <c r="M328" s="104"/>
      <c r="N328" s="104"/>
      <c r="O328" s="104"/>
      <c r="P328" s="104"/>
      <c r="Q328" s="104">
        <f t="shared" si="487"/>
        <v>0</v>
      </c>
      <c r="R328" s="104">
        <f t="shared" si="560"/>
        <v>0</v>
      </c>
      <c r="S328" s="104"/>
      <c r="T328" s="105"/>
      <c r="U328" s="100">
        <f t="shared" si="478"/>
        <v>0</v>
      </c>
      <c r="V328" s="130"/>
      <c r="W328" s="134">
        <f t="shared" si="479"/>
        <v>0</v>
      </c>
      <c r="X328" s="106"/>
      <c r="Y328" s="106">
        <f t="shared" si="551"/>
        <v>0</v>
      </c>
      <c r="Z328" s="106">
        <f t="shared" si="558"/>
        <v>0</v>
      </c>
      <c r="AA328" s="106">
        <f t="shared" si="552"/>
        <v>0</v>
      </c>
      <c r="AB328" s="106">
        <f t="shared" si="553"/>
        <v>0</v>
      </c>
      <c r="AC328" s="107">
        <f t="shared" si="554"/>
        <v>0</v>
      </c>
    </row>
    <row r="329" spans="1:29" s="82" customFormat="1" ht="16.5" customHeight="1">
      <c r="A329" s="1267"/>
      <c r="B329" s="97"/>
      <c r="C329" s="98"/>
      <c r="D329" s="98"/>
      <c r="E329" s="102" t="s">
        <v>56</v>
      </c>
      <c r="F329" s="104"/>
      <c r="G329" s="104"/>
      <c r="H329" s="104"/>
      <c r="I329" s="105"/>
      <c r="J329" s="104">
        <f t="shared" si="555"/>
        <v>0</v>
      </c>
      <c r="K329" s="104">
        <f t="shared" si="559"/>
        <v>0</v>
      </c>
      <c r="L329" s="104">
        <f t="shared" si="556"/>
        <v>0</v>
      </c>
      <c r="M329" s="104"/>
      <c r="N329" s="104"/>
      <c r="O329" s="104"/>
      <c r="P329" s="104"/>
      <c r="Q329" s="104">
        <f t="shared" si="487"/>
        <v>0</v>
      </c>
      <c r="R329" s="104">
        <f t="shared" si="560"/>
        <v>0</v>
      </c>
      <c r="S329" s="104"/>
      <c r="T329" s="105"/>
      <c r="U329" s="100">
        <f t="shared" si="478"/>
        <v>0</v>
      </c>
      <c r="V329" s="130"/>
      <c r="W329" s="134">
        <f t="shared" si="479"/>
        <v>0</v>
      </c>
      <c r="X329" s="106"/>
      <c r="Y329" s="106">
        <f t="shared" si="551"/>
        <v>0</v>
      </c>
      <c r="Z329" s="106">
        <f t="shared" si="558"/>
        <v>0</v>
      </c>
      <c r="AA329" s="106">
        <f t="shared" si="552"/>
        <v>0</v>
      </c>
      <c r="AB329" s="106">
        <f t="shared" si="553"/>
        <v>0</v>
      </c>
      <c r="AC329" s="107">
        <f t="shared" si="554"/>
        <v>0</v>
      </c>
    </row>
    <row r="330" spans="1:29" s="82" customFormat="1" ht="16.5" customHeight="1">
      <c r="A330" s="1267"/>
      <c r="B330" s="97"/>
      <c r="C330" s="98"/>
      <c r="D330" s="98"/>
      <c r="E330" s="102" t="s">
        <v>395</v>
      </c>
      <c r="F330" s="104"/>
      <c r="G330" s="104"/>
      <c r="H330" s="104"/>
      <c r="I330" s="105"/>
      <c r="J330" s="104">
        <f t="shared" si="555"/>
        <v>0</v>
      </c>
      <c r="K330" s="104">
        <f>J330*40*2</f>
        <v>0</v>
      </c>
      <c r="L330" s="104">
        <f t="shared" si="556"/>
        <v>0</v>
      </c>
      <c r="M330" s="104"/>
      <c r="N330" s="104"/>
      <c r="O330" s="104"/>
      <c r="P330" s="104"/>
      <c r="Q330" s="104">
        <f t="shared" si="487"/>
        <v>0</v>
      </c>
      <c r="R330" s="104">
        <f>Q330*40*2</f>
        <v>0</v>
      </c>
      <c r="S330" s="104"/>
      <c r="T330" s="105"/>
      <c r="U330" s="100">
        <f t="shared" si="478"/>
        <v>0</v>
      </c>
      <c r="V330" s="130"/>
      <c r="W330" s="134">
        <f t="shared" si="479"/>
        <v>0</v>
      </c>
      <c r="X330" s="106"/>
      <c r="Y330" s="106">
        <f t="shared" si="551"/>
        <v>0</v>
      </c>
      <c r="Z330" s="106">
        <f t="shared" si="558"/>
        <v>0</v>
      </c>
      <c r="AA330" s="106">
        <f t="shared" si="552"/>
        <v>0</v>
      </c>
      <c r="AB330" s="106">
        <f t="shared" si="553"/>
        <v>0</v>
      </c>
      <c r="AC330" s="107">
        <f t="shared" si="554"/>
        <v>0</v>
      </c>
    </row>
    <row r="331" spans="1:29" s="82" customFormat="1" ht="16.5" customHeight="1">
      <c r="A331" s="1267">
        <v>26</v>
      </c>
      <c r="B331" s="97" t="s">
        <v>87</v>
      </c>
      <c r="C331" s="98" t="s">
        <v>523</v>
      </c>
      <c r="D331" s="98">
        <v>1</v>
      </c>
      <c r="E331" s="99" t="s">
        <v>86</v>
      </c>
      <c r="F331" s="100">
        <f t="shared" ref="F331" si="562">SUM(F332:F343)</f>
        <v>0</v>
      </c>
      <c r="G331" s="100">
        <f t="shared" ref="G331:N331" si="563">SUM(G332:G343)</f>
        <v>0</v>
      </c>
      <c r="H331" s="100">
        <f t="shared" si="563"/>
        <v>0</v>
      </c>
      <c r="I331" s="100">
        <f t="shared" ref="I331" si="564">SUM(I332:I343)</f>
        <v>0</v>
      </c>
      <c r="J331" s="100">
        <f t="shared" si="563"/>
        <v>0</v>
      </c>
      <c r="K331" s="100">
        <f t="shared" si="563"/>
        <v>0</v>
      </c>
      <c r="L331" s="100">
        <f t="shared" si="563"/>
        <v>0</v>
      </c>
      <c r="M331" s="100">
        <f t="shared" si="563"/>
        <v>0</v>
      </c>
      <c r="N331" s="100">
        <f t="shared" si="563"/>
        <v>0</v>
      </c>
      <c r="O331" s="100">
        <f t="shared" ref="O331" si="565">SUM(O332:O343)</f>
        <v>0</v>
      </c>
      <c r="P331" s="100"/>
      <c r="Q331" s="100"/>
      <c r="R331" s="100">
        <f t="shared" ref="R331:R357" si="566">SUM(R332:R343)</f>
        <v>0</v>
      </c>
      <c r="S331" s="100">
        <f>SUM(S332:S343)</f>
        <v>0</v>
      </c>
      <c r="T331" s="100"/>
      <c r="U331" s="100">
        <f t="shared" ref="U331" si="567">SUM(U332:U343)</f>
        <v>0</v>
      </c>
      <c r="V331" s="130"/>
      <c r="W331" s="143">
        <f t="shared" ref="W331" si="568">SUM(W332:W343)</f>
        <v>0</v>
      </c>
      <c r="X331" s="100">
        <f t="shared" ref="X331" si="569">SUM(X332:X343)</f>
        <v>0</v>
      </c>
      <c r="Y331" s="100">
        <f t="shared" ref="Y331:AB331" si="570">SUM(Y332:Y343)</f>
        <v>0</v>
      </c>
      <c r="Z331" s="100">
        <f t="shared" si="570"/>
        <v>0</v>
      </c>
      <c r="AA331" s="100">
        <f t="shared" si="570"/>
        <v>0</v>
      </c>
      <c r="AB331" s="100">
        <f t="shared" si="570"/>
        <v>0</v>
      </c>
      <c r="AC331" s="101">
        <f>SUM(AC332:AC343)</f>
        <v>0</v>
      </c>
    </row>
    <row r="332" spans="1:29" s="82" customFormat="1" ht="16.5" customHeight="1">
      <c r="A332" s="1267"/>
      <c r="B332" s="97" t="s">
        <v>396</v>
      </c>
      <c r="C332" s="171">
        <v>9</v>
      </c>
      <c r="D332" s="171"/>
      <c r="E332" s="172" t="s">
        <v>389</v>
      </c>
      <c r="F332" s="173"/>
      <c r="G332" s="104"/>
      <c r="H332" s="103"/>
      <c r="I332" s="105"/>
      <c r="J332" s="104"/>
      <c r="K332" s="104"/>
      <c r="L332" s="104"/>
      <c r="M332" s="104">
        <f t="shared" ref="M332" si="571">F332*60%</f>
        <v>0</v>
      </c>
      <c r="N332" s="104"/>
      <c r="O332" s="104"/>
      <c r="P332" s="104"/>
      <c r="Q332" s="104"/>
      <c r="R332" s="104"/>
      <c r="S332" s="104"/>
      <c r="T332" s="105"/>
      <c r="U332" s="100">
        <f t="shared" ref="U332" si="572">SUM(I332,L332)</f>
        <v>0</v>
      </c>
      <c r="V332" s="130"/>
      <c r="W332" s="134">
        <f t="shared" ref="W332:W333" si="573">ROUNDUP(U332*1/12,-1)</f>
        <v>0</v>
      </c>
      <c r="X332" s="106"/>
      <c r="Y332" s="106">
        <f t="shared" ref="Y332:Y343" si="574">ROUNDUP((U332-L332)*3.06%,-1)</f>
        <v>0</v>
      </c>
      <c r="Z332" s="106">
        <f t="shared" ref="Z332:Z343" si="575">ROUNDUP(Y332*6.55%,-1)</f>
        <v>0</v>
      </c>
      <c r="AA332" s="106">
        <f t="shared" ref="AA332:AA343" si="576">ROUND(U332*0.9%,-1)</f>
        <v>0</v>
      </c>
      <c r="AB332" s="106">
        <f t="shared" ref="AB332:AB343" si="577">ROUND(U332*0.8%,-1)</f>
        <v>0</v>
      </c>
      <c r="AC332" s="107">
        <f t="shared" ref="AC332:AC343" si="578">SUM(W332:AB332)</f>
        <v>0</v>
      </c>
    </row>
    <row r="333" spans="1:29" s="82" customFormat="1" ht="16.5" customHeight="1">
      <c r="A333" s="1267"/>
      <c r="B333" s="97"/>
      <c r="C333" s="98"/>
      <c r="D333" s="98"/>
      <c r="E333" s="102" t="s">
        <v>390</v>
      </c>
      <c r="F333" s="104"/>
      <c r="G333" s="104"/>
      <c r="H333" s="104"/>
      <c r="I333" s="105"/>
      <c r="J333" s="104">
        <f t="shared" ref="J333:J343" si="579">ROUND((F332+I332+T332)*1/209*1.5,-1)</f>
        <v>0</v>
      </c>
      <c r="K333" s="104">
        <f>J333*40</f>
        <v>0</v>
      </c>
      <c r="L333" s="104">
        <f t="shared" ref="L333:L343" si="580">K333-R333</f>
        <v>0</v>
      </c>
      <c r="M333" s="104"/>
      <c r="N333" s="104"/>
      <c r="O333" s="104"/>
      <c r="P333" s="104"/>
      <c r="Q333" s="104">
        <f t="shared" ref="Q333" si="581">ROUND((F332+T332)*1/209*1.5,-1)</f>
        <v>0</v>
      </c>
      <c r="R333" s="104">
        <f>Q333*40</f>
        <v>0</v>
      </c>
      <c r="S333" s="104"/>
      <c r="T333" s="105"/>
      <c r="U333" s="100">
        <f t="shared" si="478"/>
        <v>0</v>
      </c>
      <c r="V333" s="130"/>
      <c r="W333" s="134">
        <f t="shared" si="573"/>
        <v>0</v>
      </c>
      <c r="X333" s="106"/>
      <c r="Y333" s="106">
        <f t="shared" si="574"/>
        <v>0</v>
      </c>
      <c r="Z333" s="106">
        <f t="shared" si="575"/>
        <v>0</v>
      </c>
      <c r="AA333" s="106">
        <f t="shared" si="576"/>
        <v>0</v>
      </c>
      <c r="AB333" s="106">
        <f t="shared" si="577"/>
        <v>0</v>
      </c>
      <c r="AC333" s="107">
        <f t="shared" si="578"/>
        <v>0</v>
      </c>
    </row>
    <row r="334" spans="1:29" s="82" customFormat="1" ht="16.5" customHeight="1">
      <c r="A334" s="1267"/>
      <c r="B334" s="97"/>
      <c r="C334" s="98"/>
      <c r="D334" s="98"/>
      <c r="E334" s="102" t="s">
        <v>391</v>
      </c>
      <c r="F334" s="104"/>
      <c r="G334" s="104"/>
      <c r="H334" s="104"/>
      <c r="I334" s="105"/>
      <c r="J334" s="104">
        <f t="shared" si="579"/>
        <v>0</v>
      </c>
      <c r="K334" s="104">
        <f t="shared" ref="K334:K342" si="582">J334*40</f>
        <v>0</v>
      </c>
      <c r="L334" s="104">
        <f t="shared" si="580"/>
        <v>0</v>
      </c>
      <c r="M334" s="104"/>
      <c r="N334" s="104"/>
      <c r="O334" s="104"/>
      <c r="P334" s="104"/>
      <c r="Q334" s="104">
        <f t="shared" si="487"/>
        <v>0</v>
      </c>
      <c r="R334" s="104">
        <f t="shared" ref="R334:R342" si="583">Q334*40</f>
        <v>0</v>
      </c>
      <c r="S334" s="104"/>
      <c r="T334" s="105"/>
      <c r="U334" s="100">
        <f t="shared" si="478"/>
        <v>0</v>
      </c>
      <c r="V334" s="130"/>
      <c r="W334" s="134">
        <f t="shared" si="479"/>
        <v>0</v>
      </c>
      <c r="X334" s="106"/>
      <c r="Y334" s="106">
        <f t="shared" si="574"/>
        <v>0</v>
      </c>
      <c r="Z334" s="106">
        <f t="shared" si="575"/>
        <v>0</v>
      </c>
      <c r="AA334" s="106">
        <f t="shared" si="576"/>
        <v>0</v>
      </c>
      <c r="AB334" s="106">
        <f t="shared" si="577"/>
        <v>0</v>
      </c>
      <c r="AC334" s="107">
        <f t="shared" si="578"/>
        <v>0</v>
      </c>
    </row>
    <row r="335" spans="1:29" s="82" customFormat="1" ht="16.5" customHeight="1">
      <c r="A335" s="1267"/>
      <c r="B335" s="97"/>
      <c r="C335" s="98"/>
      <c r="D335" s="98"/>
      <c r="E335" s="102" t="s">
        <v>392</v>
      </c>
      <c r="F335" s="173"/>
      <c r="G335" s="104"/>
      <c r="H335" s="104"/>
      <c r="I335" s="105"/>
      <c r="J335" s="104">
        <f t="shared" si="579"/>
        <v>0</v>
      </c>
      <c r="K335" s="104">
        <f t="shared" si="582"/>
        <v>0</v>
      </c>
      <c r="L335" s="104">
        <f t="shared" si="580"/>
        <v>0</v>
      </c>
      <c r="M335" s="104"/>
      <c r="N335" s="104"/>
      <c r="O335" s="104"/>
      <c r="P335" s="104"/>
      <c r="Q335" s="104">
        <f t="shared" si="487"/>
        <v>0</v>
      </c>
      <c r="R335" s="104">
        <f t="shared" si="583"/>
        <v>0</v>
      </c>
      <c r="S335" s="104"/>
      <c r="T335" s="105"/>
      <c r="U335" s="100">
        <f t="shared" si="478"/>
        <v>0</v>
      </c>
      <c r="V335" s="130"/>
      <c r="W335" s="134">
        <f t="shared" si="479"/>
        <v>0</v>
      </c>
      <c r="X335" s="106"/>
      <c r="Y335" s="106">
        <f t="shared" si="574"/>
        <v>0</v>
      </c>
      <c r="Z335" s="106">
        <f t="shared" si="575"/>
        <v>0</v>
      </c>
      <c r="AA335" s="106">
        <f t="shared" si="576"/>
        <v>0</v>
      </c>
      <c r="AB335" s="106">
        <f t="shared" si="577"/>
        <v>0</v>
      </c>
      <c r="AC335" s="107">
        <f t="shared" si="578"/>
        <v>0</v>
      </c>
    </row>
    <row r="336" spans="1:29" s="82" customFormat="1" ht="16.5" customHeight="1">
      <c r="A336" s="1267"/>
      <c r="B336" s="97"/>
      <c r="C336" s="98"/>
      <c r="D336" s="98"/>
      <c r="E336" s="102" t="s">
        <v>393</v>
      </c>
      <c r="F336" s="104"/>
      <c r="G336" s="104"/>
      <c r="H336" s="104"/>
      <c r="I336" s="105"/>
      <c r="J336" s="104">
        <f t="shared" si="579"/>
        <v>0</v>
      </c>
      <c r="K336" s="104">
        <f t="shared" si="582"/>
        <v>0</v>
      </c>
      <c r="L336" s="104">
        <f t="shared" si="580"/>
        <v>0</v>
      </c>
      <c r="M336" s="104"/>
      <c r="N336" s="104"/>
      <c r="O336" s="104"/>
      <c r="P336" s="104"/>
      <c r="Q336" s="104">
        <f t="shared" si="487"/>
        <v>0</v>
      </c>
      <c r="R336" s="104">
        <f t="shared" si="583"/>
        <v>0</v>
      </c>
      <c r="S336" s="104"/>
      <c r="T336" s="105"/>
      <c r="U336" s="100">
        <f t="shared" si="478"/>
        <v>0</v>
      </c>
      <c r="V336" s="130"/>
      <c r="W336" s="134">
        <f t="shared" si="479"/>
        <v>0</v>
      </c>
      <c r="X336" s="106"/>
      <c r="Y336" s="106">
        <f t="shared" si="574"/>
        <v>0</v>
      </c>
      <c r="Z336" s="106">
        <f t="shared" si="575"/>
        <v>0</v>
      </c>
      <c r="AA336" s="106">
        <f t="shared" si="576"/>
        <v>0</v>
      </c>
      <c r="AB336" s="106">
        <f t="shared" si="577"/>
        <v>0</v>
      </c>
      <c r="AC336" s="107">
        <f t="shared" si="578"/>
        <v>0</v>
      </c>
    </row>
    <row r="337" spans="1:29" s="82" customFormat="1" ht="16.5" customHeight="1">
      <c r="A337" s="1267"/>
      <c r="B337" s="97"/>
      <c r="C337" s="98"/>
      <c r="D337" s="98"/>
      <c r="E337" s="102" t="s">
        <v>394</v>
      </c>
      <c r="F337" s="104"/>
      <c r="G337" s="104"/>
      <c r="H337" s="104"/>
      <c r="I337" s="105"/>
      <c r="J337" s="104">
        <f t="shared" si="579"/>
        <v>0</v>
      </c>
      <c r="K337" s="104">
        <f t="shared" si="582"/>
        <v>0</v>
      </c>
      <c r="L337" s="104">
        <f t="shared" si="580"/>
        <v>0</v>
      </c>
      <c r="M337" s="104"/>
      <c r="N337" s="104"/>
      <c r="O337" s="104"/>
      <c r="P337" s="104"/>
      <c r="Q337" s="104">
        <f t="shared" si="487"/>
        <v>0</v>
      </c>
      <c r="R337" s="104">
        <f t="shared" si="583"/>
        <v>0</v>
      </c>
      <c r="S337" s="104"/>
      <c r="T337" s="105"/>
      <c r="U337" s="100">
        <f t="shared" si="478"/>
        <v>0</v>
      </c>
      <c r="V337" s="130"/>
      <c r="W337" s="134">
        <f t="shared" si="479"/>
        <v>0</v>
      </c>
      <c r="X337" s="106"/>
      <c r="Y337" s="106">
        <f t="shared" si="574"/>
        <v>0</v>
      </c>
      <c r="Z337" s="106">
        <f t="shared" si="575"/>
        <v>0</v>
      </c>
      <c r="AA337" s="106">
        <f t="shared" si="576"/>
        <v>0</v>
      </c>
      <c r="AB337" s="106">
        <f t="shared" si="577"/>
        <v>0</v>
      </c>
      <c r="AC337" s="107">
        <f t="shared" si="578"/>
        <v>0</v>
      </c>
    </row>
    <row r="338" spans="1:29" s="82" customFormat="1" ht="16.5" customHeight="1">
      <c r="A338" s="1267"/>
      <c r="B338" s="97"/>
      <c r="C338" s="171">
        <v>10</v>
      </c>
      <c r="D338" s="171"/>
      <c r="E338" s="172" t="s">
        <v>279</v>
      </c>
      <c r="F338" s="104"/>
      <c r="G338" s="104"/>
      <c r="H338" s="103"/>
      <c r="I338" s="105"/>
      <c r="J338" s="104">
        <f t="shared" si="579"/>
        <v>0</v>
      </c>
      <c r="K338" s="104">
        <f t="shared" si="582"/>
        <v>0</v>
      </c>
      <c r="L338" s="104">
        <f t="shared" si="580"/>
        <v>0</v>
      </c>
      <c r="M338" s="104"/>
      <c r="N338" s="104"/>
      <c r="O338" s="104"/>
      <c r="P338" s="104"/>
      <c r="Q338" s="104">
        <f t="shared" si="487"/>
        <v>0</v>
      </c>
      <c r="R338" s="104">
        <f t="shared" si="583"/>
        <v>0</v>
      </c>
      <c r="S338" s="104"/>
      <c r="T338" s="105"/>
      <c r="U338" s="100">
        <f t="shared" si="478"/>
        <v>0</v>
      </c>
      <c r="V338" s="130"/>
      <c r="W338" s="134">
        <f t="shared" si="479"/>
        <v>0</v>
      </c>
      <c r="X338" s="106"/>
      <c r="Y338" s="106">
        <f t="shared" si="574"/>
        <v>0</v>
      </c>
      <c r="Z338" s="106">
        <f t="shared" si="575"/>
        <v>0</v>
      </c>
      <c r="AA338" s="106">
        <f t="shared" si="576"/>
        <v>0</v>
      </c>
      <c r="AB338" s="106">
        <f t="shared" si="577"/>
        <v>0</v>
      </c>
      <c r="AC338" s="107">
        <f t="shared" si="578"/>
        <v>0</v>
      </c>
    </row>
    <row r="339" spans="1:29" s="82" customFormat="1" ht="16.5" customHeight="1">
      <c r="A339" s="1267"/>
      <c r="B339" s="97"/>
      <c r="C339" s="98"/>
      <c r="D339" s="98"/>
      <c r="E339" s="102" t="s">
        <v>280</v>
      </c>
      <c r="F339" s="104"/>
      <c r="G339" s="104"/>
      <c r="H339" s="104"/>
      <c r="I339" s="105"/>
      <c r="J339" s="104">
        <f t="shared" si="579"/>
        <v>0</v>
      </c>
      <c r="K339" s="104">
        <f t="shared" si="582"/>
        <v>0</v>
      </c>
      <c r="L339" s="104">
        <f t="shared" si="580"/>
        <v>0</v>
      </c>
      <c r="M339" s="104"/>
      <c r="N339" s="104"/>
      <c r="O339" s="104"/>
      <c r="P339" s="104"/>
      <c r="Q339" s="104">
        <f t="shared" si="487"/>
        <v>0</v>
      </c>
      <c r="R339" s="104">
        <f t="shared" si="583"/>
        <v>0</v>
      </c>
      <c r="S339" s="104"/>
      <c r="T339" s="105"/>
      <c r="U339" s="100">
        <f t="shared" si="478"/>
        <v>0</v>
      </c>
      <c r="V339" s="130"/>
      <c r="W339" s="134">
        <f t="shared" si="479"/>
        <v>0</v>
      </c>
      <c r="X339" s="106"/>
      <c r="Y339" s="106">
        <f t="shared" si="574"/>
        <v>0</v>
      </c>
      <c r="Z339" s="106">
        <f t="shared" si="575"/>
        <v>0</v>
      </c>
      <c r="AA339" s="106">
        <f t="shared" si="576"/>
        <v>0</v>
      </c>
      <c r="AB339" s="106">
        <f t="shared" si="577"/>
        <v>0</v>
      </c>
      <c r="AC339" s="107">
        <f t="shared" si="578"/>
        <v>0</v>
      </c>
    </row>
    <row r="340" spans="1:29" s="82" customFormat="1" ht="16.5" customHeight="1">
      <c r="A340" s="1267"/>
      <c r="B340" s="97"/>
      <c r="C340" s="98"/>
      <c r="D340" s="98"/>
      <c r="E340" s="102" t="s">
        <v>54</v>
      </c>
      <c r="F340" s="104"/>
      <c r="G340" s="104"/>
      <c r="H340" s="104"/>
      <c r="I340" s="105"/>
      <c r="J340" s="104">
        <f t="shared" si="579"/>
        <v>0</v>
      </c>
      <c r="K340" s="104">
        <f t="shared" si="582"/>
        <v>0</v>
      </c>
      <c r="L340" s="104">
        <f t="shared" si="580"/>
        <v>0</v>
      </c>
      <c r="M340" s="104">
        <f t="shared" ref="M340" si="584">F340*60%</f>
        <v>0</v>
      </c>
      <c r="N340" s="104"/>
      <c r="O340" s="104"/>
      <c r="P340" s="104"/>
      <c r="Q340" s="104">
        <f t="shared" si="487"/>
        <v>0</v>
      </c>
      <c r="R340" s="104">
        <f t="shared" si="583"/>
        <v>0</v>
      </c>
      <c r="S340" s="104"/>
      <c r="T340" s="105"/>
      <c r="U340" s="100">
        <f t="shared" si="478"/>
        <v>0</v>
      </c>
      <c r="V340" s="130"/>
      <c r="W340" s="134">
        <f t="shared" si="479"/>
        <v>0</v>
      </c>
      <c r="X340" s="106"/>
      <c r="Y340" s="106">
        <f t="shared" si="574"/>
        <v>0</v>
      </c>
      <c r="Z340" s="106">
        <f t="shared" si="575"/>
        <v>0</v>
      </c>
      <c r="AA340" s="106">
        <f t="shared" si="576"/>
        <v>0</v>
      </c>
      <c r="AB340" s="106">
        <f t="shared" si="577"/>
        <v>0</v>
      </c>
      <c r="AC340" s="107">
        <f t="shared" si="578"/>
        <v>0</v>
      </c>
    </row>
    <row r="341" spans="1:29" s="82" customFormat="1" ht="16.5" customHeight="1">
      <c r="A341" s="1267"/>
      <c r="B341" s="97"/>
      <c r="C341" s="98"/>
      <c r="D341" s="98"/>
      <c r="E341" s="102" t="s">
        <v>55</v>
      </c>
      <c r="F341" s="104"/>
      <c r="G341" s="104"/>
      <c r="H341" s="104"/>
      <c r="I341" s="105"/>
      <c r="J341" s="104">
        <f t="shared" si="579"/>
        <v>0</v>
      </c>
      <c r="K341" s="104">
        <f t="shared" si="582"/>
        <v>0</v>
      </c>
      <c r="L341" s="104">
        <f t="shared" si="580"/>
        <v>0</v>
      </c>
      <c r="M341" s="104"/>
      <c r="N341" s="104"/>
      <c r="O341" s="104"/>
      <c r="P341" s="104"/>
      <c r="Q341" s="104">
        <f t="shared" si="487"/>
        <v>0</v>
      </c>
      <c r="R341" s="104">
        <f t="shared" si="583"/>
        <v>0</v>
      </c>
      <c r="S341" s="104"/>
      <c r="T341" s="105"/>
      <c r="U341" s="100">
        <f t="shared" si="478"/>
        <v>0</v>
      </c>
      <c r="V341" s="130"/>
      <c r="W341" s="134">
        <f t="shared" si="479"/>
        <v>0</v>
      </c>
      <c r="X341" s="106"/>
      <c r="Y341" s="106">
        <f t="shared" si="574"/>
        <v>0</v>
      </c>
      <c r="Z341" s="106">
        <f t="shared" si="575"/>
        <v>0</v>
      </c>
      <c r="AA341" s="106">
        <f t="shared" si="576"/>
        <v>0</v>
      </c>
      <c r="AB341" s="106">
        <f t="shared" si="577"/>
        <v>0</v>
      </c>
      <c r="AC341" s="107">
        <f t="shared" si="578"/>
        <v>0</v>
      </c>
    </row>
    <row r="342" spans="1:29" s="82" customFormat="1" ht="16.5" customHeight="1">
      <c r="A342" s="1267"/>
      <c r="B342" s="97"/>
      <c r="C342" s="98"/>
      <c r="D342" s="98"/>
      <c r="E342" s="102" t="s">
        <v>56</v>
      </c>
      <c r="F342" s="104"/>
      <c r="G342" s="104"/>
      <c r="H342" s="104"/>
      <c r="I342" s="105"/>
      <c r="J342" s="104">
        <f t="shared" si="579"/>
        <v>0</v>
      </c>
      <c r="K342" s="104">
        <f t="shared" si="582"/>
        <v>0</v>
      </c>
      <c r="L342" s="104">
        <f t="shared" si="580"/>
        <v>0</v>
      </c>
      <c r="M342" s="104"/>
      <c r="N342" s="104"/>
      <c r="O342" s="104"/>
      <c r="P342" s="104"/>
      <c r="Q342" s="104">
        <f t="shared" si="487"/>
        <v>0</v>
      </c>
      <c r="R342" s="104">
        <f t="shared" si="583"/>
        <v>0</v>
      </c>
      <c r="S342" s="104"/>
      <c r="T342" s="105"/>
      <c r="U342" s="100">
        <f t="shared" si="478"/>
        <v>0</v>
      </c>
      <c r="V342" s="130"/>
      <c r="W342" s="134">
        <f t="shared" si="479"/>
        <v>0</v>
      </c>
      <c r="X342" s="106"/>
      <c r="Y342" s="106">
        <f t="shared" si="574"/>
        <v>0</v>
      </c>
      <c r="Z342" s="106">
        <f t="shared" si="575"/>
        <v>0</v>
      </c>
      <c r="AA342" s="106">
        <f t="shared" si="576"/>
        <v>0</v>
      </c>
      <c r="AB342" s="106">
        <f t="shared" si="577"/>
        <v>0</v>
      </c>
      <c r="AC342" s="107">
        <f t="shared" si="578"/>
        <v>0</v>
      </c>
    </row>
    <row r="343" spans="1:29" s="82" customFormat="1" ht="16.5" customHeight="1">
      <c r="A343" s="1267"/>
      <c r="B343" s="97"/>
      <c r="C343" s="98"/>
      <c r="D343" s="98"/>
      <c r="E343" s="102" t="s">
        <v>395</v>
      </c>
      <c r="F343" s="104"/>
      <c r="G343" s="104"/>
      <c r="H343" s="104"/>
      <c r="I343" s="105"/>
      <c r="J343" s="104">
        <f t="shared" si="579"/>
        <v>0</v>
      </c>
      <c r="K343" s="104">
        <f>J343*40*2</f>
        <v>0</v>
      </c>
      <c r="L343" s="104">
        <f t="shared" si="580"/>
        <v>0</v>
      </c>
      <c r="M343" s="104"/>
      <c r="N343" s="104"/>
      <c r="O343" s="104"/>
      <c r="P343" s="104"/>
      <c r="Q343" s="104">
        <f t="shared" si="487"/>
        <v>0</v>
      </c>
      <c r="R343" s="104">
        <f>Q343*40*2</f>
        <v>0</v>
      </c>
      <c r="S343" s="104"/>
      <c r="T343" s="105"/>
      <c r="U343" s="100">
        <f t="shared" si="478"/>
        <v>0</v>
      </c>
      <c r="V343" s="130"/>
      <c r="W343" s="134">
        <f t="shared" si="479"/>
        <v>0</v>
      </c>
      <c r="X343" s="106"/>
      <c r="Y343" s="106">
        <f t="shared" si="574"/>
        <v>0</v>
      </c>
      <c r="Z343" s="106">
        <f t="shared" si="575"/>
        <v>0</v>
      </c>
      <c r="AA343" s="106">
        <f t="shared" si="576"/>
        <v>0</v>
      </c>
      <c r="AB343" s="106">
        <f t="shared" si="577"/>
        <v>0</v>
      </c>
      <c r="AC343" s="107">
        <f t="shared" si="578"/>
        <v>0</v>
      </c>
    </row>
    <row r="344" spans="1:29" s="82" customFormat="1" ht="16.5" customHeight="1">
      <c r="A344" s="1267">
        <v>27</v>
      </c>
      <c r="B344" s="97" t="s">
        <v>87</v>
      </c>
      <c r="C344" s="98" t="s">
        <v>434</v>
      </c>
      <c r="D344" s="98">
        <v>1</v>
      </c>
      <c r="E344" s="99" t="s">
        <v>86</v>
      </c>
      <c r="F344" s="100">
        <f t="shared" ref="F344" si="585">SUM(F345:F356)</f>
        <v>0</v>
      </c>
      <c r="G344" s="100">
        <f t="shared" ref="G344:N344" si="586">SUM(G345:G356)</f>
        <v>0</v>
      </c>
      <c r="H344" s="100">
        <f t="shared" si="586"/>
        <v>0</v>
      </c>
      <c r="I344" s="100">
        <f t="shared" ref="I344" si="587">SUM(I345:I356)</f>
        <v>0</v>
      </c>
      <c r="J344" s="100">
        <f t="shared" si="586"/>
        <v>0</v>
      </c>
      <c r="K344" s="100">
        <f t="shared" si="586"/>
        <v>0</v>
      </c>
      <c r="L344" s="100">
        <f t="shared" si="586"/>
        <v>0</v>
      </c>
      <c r="M344" s="100">
        <f t="shared" si="586"/>
        <v>0</v>
      </c>
      <c r="N344" s="100">
        <f t="shared" si="586"/>
        <v>0</v>
      </c>
      <c r="O344" s="100">
        <f t="shared" ref="O344" si="588">SUM(O345:O356)</f>
        <v>0</v>
      </c>
      <c r="P344" s="100"/>
      <c r="Q344" s="100"/>
      <c r="R344" s="100">
        <f t="shared" si="566"/>
        <v>0</v>
      </c>
      <c r="S344" s="100">
        <f>SUM(S345:S356)</f>
        <v>0</v>
      </c>
      <c r="T344" s="100"/>
      <c r="U344" s="100">
        <f t="shared" ref="U344" si="589">SUM(U345:U356)</f>
        <v>0</v>
      </c>
      <c r="V344" s="130"/>
      <c r="W344" s="143">
        <f t="shared" ref="W344:X344" si="590">SUM(W345:W356)</f>
        <v>0</v>
      </c>
      <c r="X344" s="100">
        <f t="shared" si="590"/>
        <v>0</v>
      </c>
      <c r="Y344" s="100">
        <f t="shared" ref="Y344:AB344" si="591">SUM(Y345:Y356)</f>
        <v>0</v>
      </c>
      <c r="Z344" s="100">
        <f t="shared" si="591"/>
        <v>0</v>
      </c>
      <c r="AA344" s="100">
        <f t="shared" si="591"/>
        <v>0</v>
      </c>
      <c r="AB344" s="100">
        <f t="shared" si="591"/>
        <v>0</v>
      </c>
      <c r="AC344" s="101">
        <f>SUM(AC345:AC356)</f>
        <v>0</v>
      </c>
    </row>
    <row r="345" spans="1:29" s="82" customFormat="1" ht="16.5" customHeight="1">
      <c r="A345" s="1267"/>
      <c r="B345" s="97" t="s">
        <v>446</v>
      </c>
      <c r="C345" s="171">
        <v>7</v>
      </c>
      <c r="D345" s="171"/>
      <c r="E345" s="172" t="s">
        <v>389</v>
      </c>
      <c r="F345" s="173"/>
      <c r="G345" s="104"/>
      <c r="H345" s="103"/>
      <c r="I345" s="105"/>
      <c r="J345" s="104"/>
      <c r="K345" s="104"/>
      <c r="L345" s="104"/>
      <c r="M345" s="104">
        <f t="shared" ref="M345" si="592">F345*60%</f>
        <v>0</v>
      </c>
      <c r="N345" s="104"/>
      <c r="O345" s="104"/>
      <c r="P345" s="104"/>
      <c r="Q345" s="104"/>
      <c r="R345" s="104"/>
      <c r="S345" s="104"/>
      <c r="T345" s="105"/>
      <c r="U345" s="100">
        <f t="shared" ref="U345:U408" si="593">SUM(I345,L345)</f>
        <v>0</v>
      </c>
      <c r="V345" s="130"/>
      <c r="W345" s="134">
        <f t="shared" ref="W345:W408" si="594">ROUNDUP(U345*1/12,-1)</f>
        <v>0</v>
      </c>
      <c r="X345" s="106"/>
      <c r="Y345" s="106">
        <f t="shared" ref="Y345:Y356" si="595">ROUNDUP((U345-L345)*3.06%,-1)</f>
        <v>0</v>
      </c>
      <c r="Z345" s="106">
        <f>ROUNDUP(Y345*6.55%,-1)</f>
        <v>0</v>
      </c>
      <c r="AA345" s="106">
        <f t="shared" ref="AA345:AA356" si="596">ROUND(U345*0.9%,-1)</f>
        <v>0</v>
      </c>
      <c r="AB345" s="106">
        <f t="shared" ref="AB345:AB356" si="597">ROUND(U345*0.8%,-1)</f>
        <v>0</v>
      </c>
      <c r="AC345" s="107">
        <f t="shared" ref="AC345:AC356" si="598">SUM(W345:AB345)</f>
        <v>0</v>
      </c>
    </row>
    <row r="346" spans="1:29" s="82" customFormat="1" ht="16.5" customHeight="1">
      <c r="A346" s="1267"/>
      <c r="B346" s="97"/>
      <c r="C346" s="98"/>
      <c r="D346" s="98"/>
      <c r="E346" s="102" t="s">
        <v>390</v>
      </c>
      <c r="F346" s="104"/>
      <c r="G346" s="104"/>
      <c r="H346" s="104"/>
      <c r="I346" s="105"/>
      <c r="J346" s="104">
        <f t="shared" ref="J346:J356" si="599">ROUND((F345+I345+T345)*1/209*1.5,-1)</f>
        <v>0</v>
      </c>
      <c r="K346" s="104">
        <f>J346*40</f>
        <v>0</v>
      </c>
      <c r="L346" s="104">
        <f t="shared" ref="L346:L356" si="600">K346-R346</f>
        <v>0</v>
      </c>
      <c r="M346" s="104"/>
      <c r="N346" s="104"/>
      <c r="O346" s="104"/>
      <c r="P346" s="104"/>
      <c r="Q346" s="104">
        <f t="shared" ref="Q346:Q408" si="601">ROUND((F345+T345)*1/209*1.5,-1)</f>
        <v>0</v>
      </c>
      <c r="R346" s="104">
        <f>Q346*40</f>
        <v>0</v>
      </c>
      <c r="S346" s="104"/>
      <c r="T346" s="105"/>
      <c r="U346" s="100">
        <f t="shared" si="593"/>
        <v>0</v>
      </c>
      <c r="V346" s="130"/>
      <c r="W346" s="134">
        <f t="shared" si="594"/>
        <v>0</v>
      </c>
      <c r="X346" s="106"/>
      <c r="Y346" s="106">
        <f t="shared" si="595"/>
        <v>0</v>
      </c>
      <c r="Z346" s="106">
        <f t="shared" ref="Z346:Z356" si="602">ROUNDUP(Y346*6.55%,-1)</f>
        <v>0</v>
      </c>
      <c r="AA346" s="106">
        <f t="shared" si="596"/>
        <v>0</v>
      </c>
      <c r="AB346" s="106">
        <f t="shared" si="597"/>
        <v>0</v>
      </c>
      <c r="AC346" s="107">
        <f t="shared" si="598"/>
        <v>0</v>
      </c>
    </row>
    <row r="347" spans="1:29" s="82" customFormat="1" ht="16.5" customHeight="1">
      <c r="A347" s="1267"/>
      <c r="B347" s="97"/>
      <c r="C347" s="171">
        <v>8</v>
      </c>
      <c r="D347" s="171"/>
      <c r="E347" s="172" t="s">
        <v>391</v>
      </c>
      <c r="F347" s="104"/>
      <c r="G347" s="104"/>
      <c r="H347" s="104"/>
      <c r="I347" s="105"/>
      <c r="J347" s="104">
        <f t="shared" si="599"/>
        <v>0</v>
      </c>
      <c r="K347" s="104">
        <f t="shared" ref="K347:K355" si="603">J347*40</f>
        <v>0</v>
      </c>
      <c r="L347" s="104">
        <f t="shared" si="600"/>
        <v>0</v>
      </c>
      <c r="M347" s="104"/>
      <c r="N347" s="104"/>
      <c r="O347" s="104"/>
      <c r="P347" s="104"/>
      <c r="Q347" s="104">
        <f t="shared" si="601"/>
        <v>0</v>
      </c>
      <c r="R347" s="104">
        <f t="shared" ref="R347:R355" si="604">Q347*40</f>
        <v>0</v>
      </c>
      <c r="S347" s="104"/>
      <c r="T347" s="105"/>
      <c r="U347" s="100">
        <f t="shared" si="593"/>
        <v>0</v>
      </c>
      <c r="V347" s="130"/>
      <c r="W347" s="134">
        <f t="shared" si="594"/>
        <v>0</v>
      </c>
      <c r="X347" s="106"/>
      <c r="Y347" s="106">
        <f t="shared" si="595"/>
        <v>0</v>
      </c>
      <c r="Z347" s="106">
        <f t="shared" si="602"/>
        <v>0</v>
      </c>
      <c r="AA347" s="106">
        <f t="shared" si="596"/>
        <v>0</v>
      </c>
      <c r="AB347" s="106">
        <f t="shared" si="597"/>
        <v>0</v>
      </c>
      <c r="AC347" s="107">
        <f t="shared" si="598"/>
        <v>0</v>
      </c>
    </row>
    <row r="348" spans="1:29" s="82" customFormat="1" ht="16.5" customHeight="1">
      <c r="A348" s="1267"/>
      <c r="B348" s="97"/>
      <c r="C348" s="98"/>
      <c r="D348" s="98"/>
      <c r="E348" s="102" t="s">
        <v>392</v>
      </c>
      <c r="F348" s="173"/>
      <c r="G348" s="104"/>
      <c r="H348" s="104"/>
      <c r="I348" s="105"/>
      <c r="J348" s="104">
        <f t="shared" si="599"/>
        <v>0</v>
      </c>
      <c r="K348" s="104">
        <f t="shared" si="603"/>
        <v>0</v>
      </c>
      <c r="L348" s="104">
        <f t="shared" si="600"/>
        <v>0</v>
      </c>
      <c r="M348" s="104"/>
      <c r="N348" s="104"/>
      <c r="O348" s="104"/>
      <c r="P348" s="104"/>
      <c r="Q348" s="104">
        <f t="shared" si="601"/>
        <v>0</v>
      </c>
      <c r="R348" s="104">
        <f t="shared" si="604"/>
        <v>0</v>
      </c>
      <c r="S348" s="104"/>
      <c r="T348" s="105"/>
      <c r="U348" s="100">
        <f t="shared" si="593"/>
        <v>0</v>
      </c>
      <c r="V348" s="130"/>
      <c r="W348" s="134">
        <f t="shared" si="594"/>
        <v>0</v>
      </c>
      <c r="X348" s="106"/>
      <c r="Y348" s="106">
        <f t="shared" si="595"/>
        <v>0</v>
      </c>
      <c r="Z348" s="106">
        <f t="shared" si="602"/>
        <v>0</v>
      </c>
      <c r="AA348" s="106">
        <f t="shared" si="596"/>
        <v>0</v>
      </c>
      <c r="AB348" s="106">
        <f t="shared" si="597"/>
        <v>0</v>
      </c>
      <c r="AC348" s="107">
        <f t="shared" si="598"/>
        <v>0</v>
      </c>
    </row>
    <row r="349" spans="1:29" s="82" customFormat="1" ht="16.5" customHeight="1">
      <c r="A349" s="1267"/>
      <c r="B349" s="97"/>
      <c r="C349" s="98"/>
      <c r="D349" s="98"/>
      <c r="E349" s="102" t="s">
        <v>393</v>
      </c>
      <c r="F349" s="104"/>
      <c r="G349" s="104"/>
      <c r="H349" s="104"/>
      <c r="I349" s="105"/>
      <c r="J349" s="104">
        <f t="shared" si="599"/>
        <v>0</v>
      </c>
      <c r="K349" s="104">
        <f t="shared" si="603"/>
        <v>0</v>
      </c>
      <c r="L349" s="104">
        <f t="shared" si="600"/>
        <v>0</v>
      </c>
      <c r="M349" s="104"/>
      <c r="N349" s="104"/>
      <c r="O349" s="104"/>
      <c r="P349" s="104"/>
      <c r="Q349" s="104">
        <f t="shared" si="601"/>
        <v>0</v>
      </c>
      <c r="R349" s="104">
        <f t="shared" si="604"/>
        <v>0</v>
      </c>
      <c r="S349" s="104"/>
      <c r="T349" s="105"/>
      <c r="U349" s="100">
        <f t="shared" si="593"/>
        <v>0</v>
      </c>
      <c r="V349" s="130"/>
      <c r="W349" s="134">
        <f t="shared" si="594"/>
        <v>0</v>
      </c>
      <c r="X349" s="106"/>
      <c r="Y349" s="106">
        <f t="shared" si="595"/>
        <v>0</v>
      </c>
      <c r="Z349" s="106">
        <f t="shared" si="602"/>
        <v>0</v>
      </c>
      <c r="AA349" s="106">
        <f t="shared" si="596"/>
        <v>0</v>
      </c>
      <c r="AB349" s="106">
        <f t="shared" si="597"/>
        <v>0</v>
      </c>
      <c r="AC349" s="107">
        <f t="shared" si="598"/>
        <v>0</v>
      </c>
    </row>
    <row r="350" spans="1:29" s="82" customFormat="1" ht="16.5" customHeight="1">
      <c r="A350" s="1267"/>
      <c r="B350" s="97"/>
      <c r="C350" s="98"/>
      <c r="D350" s="98"/>
      <c r="E350" s="102" t="s">
        <v>394</v>
      </c>
      <c r="F350" s="104"/>
      <c r="G350" s="104"/>
      <c r="H350" s="104"/>
      <c r="I350" s="105"/>
      <c r="J350" s="104">
        <f t="shared" si="599"/>
        <v>0</v>
      </c>
      <c r="K350" s="104">
        <f t="shared" si="603"/>
        <v>0</v>
      </c>
      <c r="L350" s="104">
        <f t="shared" si="600"/>
        <v>0</v>
      </c>
      <c r="M350" s="104"/>
      <c r="N350" s="104"/>
      <c r="O350" s="104"/>
      <c r="P350" s="104"/>
      <c r="Q350" s="104">
        <f t="shared" si="601"/>
        <v>0</v>
      </c>
      <c r="R350" s="104">
        <f t="shared" si="604"/>
        <v>0</v>
      </c>
      <c r="S350" s="104"/>
      <c r="T350" s="105"/>
      <c r="U350" s="100">
        <f t="shared" si="593"/>
        <v>0</v>
      </c>
      <c r="V350" s="130"/>
      <c r="W350" s="134">
        <f t="shared" si="594"/>
        <v>0</v>
      </c>
      <c r="X350" s="106"/>
      <c r="Y350" s="106">
        <f t="shared" si="595"/>
        <v>0</v>
      </c>
      <c r="Z350" s="106">
        <f t="shared" si="602"/>
        <v>0</v>
      </c>
      <c r="AA350" s="106">
        <f t="shared" si="596"/>
        <v>0</v>
      </c>
      <c r="AB350" s="106">
        <f t="shared" si="597"/>
        <v>0</v>
      </c>
      <c r="AC350" s="107">
        <f t="shared" si="598"/>
        <v>0</v>
      </c>
    </row>
    <row r="351" spans="1:29" s="82" customFormat="1" ht="16.5" customHeight="1">
      <c r="A351" s="1267"/>
      <c r="B351" s="97"/>
      <c r="C351" s="98"/>
      <c r="D351" s="98"/>
      <c r="E351" s="102" t="s">
        <v>279</v>
      </c>
      <c r="F351" s="104"/>
      <c r="G351" s="104"/>
      <c r="H351" s="103"/>
      <c r="I351" s="105"/>
      <c r="J351" s="104">
        <f t="shared" si="599"/>
        <v>0</v>
      </c>
      <c r="K351" s="104">
        <f t="shared" si="603"/>
        <v>0</v>
      </c>
      <c r="L351" s="104">
        <f t="shared" si="600"/>
        <v>0</v>
      </c>
      <c r="M351" s="104"/>
      <c r="N351" s="104"/>
      <c r="O351" s="104"/>
      <c r="P351" s="104"/>
      <c r="Q351" s="104">
        <f t="shared" si="601"/>
        <v>0</v>
      </c>
      <c r="R351" s="104">
        <f t="shared" si="604"/>
        <v>0</v>
      </c>
      <c r="S351" s="104"/>
      <c r="T351" s="105"/>
      <c r="U351" s="100">
        <f t="shared" si="593"/>
        <v>0</v>
      </c>
      <c r="V351" s="130"/>
      <c r="W351" s="134">
        <f t="shared" si="594"/>
        <v>0</v>
      </c>
      <c r="X351" s="106"/>
      <c r="Y351" s="106">
        <f t="shared" si="595"/>
        <v>0</v>
      </c>
      <c r="Z351" s="106">
        <f t="shared" si="602"/>
        <v>0</v>
      </c>
      <c r="AA351" s="106">
        <f t="shared" si="596"/>
        <v>0</v>
      </c>
      <c r="AB351" s="106">
        <f t="shared" si="597"/>
        <v>0</v>
      </c>
      <c r="AC351" s="107">
        <f t="shared" si="598"/>
        <v>0</v>
      </c>
    </row>
    <row r="352" spans="1:29" s="82" customFormat="1" ht="16.5" customHeight="1">
      <c r="A352" s="1267"/>
      <c r="B352" s="97"/>
      <c r="C352" s="98"/>
      <c r="D352" s="98"/>
      <c r="E352" s="102" t="s">
        <v>280</v>
      </c>
      <c r="F352" s="104"/>
      <c r="G352" s="104"/>
      <c r="H352" s="104"/>
      <c r="I352" s="105"/>
      <c r="J352" s="104">
        <f t="shared" si="599"/>
        <v>0</v>
      </c>
      <c r="K352" s="104">
        <f t="shared" si="603"/>
        <v>0</v>
      </c>
      <c r="L352" s="104">
        <f t="shared" si="600"/>
        <v>0</v>
      </c>
      <c r="M352" s="104"/>
      <c r="N352" s="104"/>
      <c r="O352" s="104"/>
      <c r="P352" s="104"/>
      <c r="Q352" s="104">
        <f t="shared" si="601"/>
        <v>0</v>
      </c>
      <c r="R352" s="104">
        <f t="shared" si="604"/>
        <v>0</v>
      </c>
      <c r="S352" s="104"/>
      <c r="T352" s="105"/>
      <c r="U352" s="100">
        <f t="shared" si="593"/>
        <v>0</v>
      </c>
      <c r="V352" s="130"/>
      <c r="W352" s="134">
        <f t="shared" si="594"/>
        <v>0</v>
      </c>
      <c r="X352" s="106"/>
      <c r="Y352" s="106">
        <f t="shared" si="595"/>
        <v>0</v>
      </c>
      <c r="Z352" s="106">
        <f t="shared" si="602"/>
        <v>0</v>
      </c>
      <c r="AA352" s="106">
        <f t="shared" si="596"/>
        <v>0</v>
      </c>
      <c r="AB352" s="106">
        <f t="shared" si="597"/>
        <v>0</v>
      </c>
      <c r="AC352" s="107">
        <f t="shared" si="598"/>
        <v>0</v>
      </c>
    </row>
    <row r="353" spans="1:29" s="82" customFormat="1" ht="16.5" customHeight="1">
      <c r="A353" s="1267"/>
      <c r="B353" s="97"/>
      <c r="C353" s="98"/>
      <c r="D353" s="98"/>
      <c r="E353" s="102" t="s">
        <v>54</v>
      </c>
      <c r="F353" s="104"/>
      <c r="G353" s="104"/>
      <c r="H353" s="104"/>
      <c r="I353" s="105"/>
      <c r="J353" s="104">
        <f t="shared" si="599"/>
        <v>0</v>
      </c>
      <c r="K353" s="104">
        <f t="shared" si="603"/>
        <v>0</v>
      </c>
      <c r="L353" s="104">
        <f t="shared" si="600"/>
        <v>0</v>
      </c>
      <c r="M353" s="104">
        <f t="shared" ref="M353" si="605">F353*60%</f>
        <v>0</v>
      </c>
      <c r="N353" s="104"/>
      <c r="O353" s="104"/>
      <c r="P353" s="104"/>
      <c r="Q353" s="104">
        <f t="shared" si="601"/>
        <v>0</v>
      </c>
      <c r="R353" s="104">
        <f t="shared" si="604"/>
        <v>0</v>
      </c>
      <c r="S353" s="104"/>
      <c r="T353" s="105"/>
      <c r="U353" s="100">
        <f t="shared" si="593"/>
        <v>0</v>
      </c>
      <c r="V353" s="130"/>
      <c r="W353" s="134">
        <f t="shared" si="594"/>
        <v>0</v>
      </c>
      <c r="X353" s="106"/>
      <c r="Y353" s="106">
        <f t="shared" si="595"/>
        <v>0</v>
      </c>
      <c r="Z353" s="106">
        <f t="shared" si="602"/>
        <v>0</v>
      </c>
      <c r="AA353" s="106">
        <f t="shared" si="596"/>
        <v>0</v>
      </c>
      <c r="AB353" s="106">
        <f t="shared" si="597"/>
        <v>0</v>
      </c>
      <c r="AC353" s="107">
        <f t="shared" si="598"/>
        <v>0</v>
      </c>
    </row>
    <row r="354" spans="1:29" s="82" customFormat="1" ht="16.5" customHeight="1">
      <c r="A354" s="1267"/>
      <c r="B354" s="97"/>
      <c r="C354" s="98"/>
      <c r="D354" s="98"/>
      <c r="E354" s="102" t="s">
        <v>55</v>
      </c>
      <c r="F354" s="104"/>
      <c r="G354" s="104"/>
      <c r="H354" s="104"/>
      <c r="I354" s="105"/>
      <c r="J354" s="104">
        <f t="shared" si="599"/>
        <v>0</v>
      </c>
      <c r="K354" s="104">
        <f t="shared" si="603"/>
        <v>0</v>
      </c>
      <c r="L354" s="104">
        <f t="shared" si="600"/>
        <v>0</v>
      </c>
      <c r="M354" s="104"/>
      <c r="N354" s="104"/>
      <c r="O354" s="104"/>
      <c r="P354" s="104"/>
      <c r="Q354" s="104">
        <f t="shared" si="601"/>
        <v>0</v>
      </c>
      <c r="R354" s="104">
        <f t="shared" si="604"/>
        <v>0</v>
      </c>
      <c r="S354" s="104"/>
      <c r="T354" s="105"/>
      <c r="U354" s="100">
        <f t="shared" si="593"/>
        <v>0</v>
      </c>
      <c r="V354" s="130"/>
      <c r="W354" s="134">
        <f t="shared" si="594"/>
        <v>0</v>
      </c>
      <c r="X354" s="106"/>
      <c r="Y354" s="106">
        <f t="shared" si="595"/>
        <v>0</v>
      </c>
      <c r="Z354" s="106">
        <f t="shared" si="602"/>
        <v>0</v>
      </c>
      <c r="AA354" s="106">
        <f t="shared" si="596"/>
        <v>0</v>
      </c>
      <c r="AB354" s="106">
        <f t="shared" si="597"/>
        <v>0</v>
      </c>
      <c r="AC354" s="107">
        <f t="shared" si="598"/>
        <v>0</v>
      </c>
    </row>
    <row r="355" spans="1:29" s="82" customFormat="1" ht="16.5" customHeight="1">
      <c r="A355" s="1267"/>
      <c r="B355" s="97"/>
      <c r="C355" s="98"/>
      <c r="D355" s="98"/>
      <c r="E355" s="102" t="s">
        <v>56</v>
      </c>
      <c r="F355" s="104"/>
      <c r="G355" s="104"/>
      <c r="H355" s="104"/>
      <c r="I355" s="105"/>
      <c r="J355" s="104">
        <f t="shared" si="599"/>
        <v>0</v>
      </c>
      <c r="K355" s="104">
        <f t="shared" si="603"/>
        <v>0</v>
      </c>
      <c r="L355" s="104">
        <f t="shared" si="600"/>
        <v>0</v>
      </c>
      <c r="M355" s="104"/>
      <c r="N355" s="104"/>
      <c r="O355" s="104"/>
      <c r="P355" s="104"/>
      <c r="Q355" s="104">
        <f t="shared" si="601"/>
        <v>0</v>
      </c>
      <c r="R355" s="104">
        <f t="shared" si="604"/>
        <v>0</v>
      </c>
      <c r="S355" s="104"/>
      <c r="T355" s="105"/>
      <c r="U355" s="100">
        <f t="shared" si="593"/>
        <v>0</v>
      </c>
      <c r="V355" s="130"/>
      <c r="W355" s="134">
        <f t="shared" si="594"/>
        <v>0</v>
      </c>
      <c r="X355" s="106"/>
      <c r="Y355" s="106">
        <f t="shared" si="595"/>
        <v>0</v>
      </c>
      <c r="Z355" s="106">
        <f t="shared" si="602"/>
        <v>0</v>
      </c>
      <c r="AA355" s="106">
        <f t="shared" si="596"/>
        <v>0</v>
      </c>
      <c r="AB355" s="106">
        <f t="shared" si="597"/>
        <v>0</v>
      </c>
      <c r="AC355" s="107">
        <f t="shared" si="598"/>
        <v>0</v>
      </c>
    </row>
    <row r="356" spans="1:29" s="82" customFormat="1" ht="16.5" customHeight="1">
      <c r="A356" s="1267"/>
      <c r="B356" s="97"/>
      <c r="C356" s="98"/>
      <c r="D356" s="98"/>
      <c r="E356" s="102" t="s">
        <v>395</v>
      </c>
      <c r="F356" s="104"/>
      <c r="G356" s="104"/>
      <c r="H356" s="104"/>
      <c r="I356" s="105"/>
      <c r="J356" s="104">
        <f t="shared" si="599"/>
        <v>0</v>
      </c>
      <c r="K356" s="104">
        <f>J356*40*2</f>
        <v>0</v>
      </c>
      <c r="L356" s="104">
        <f t="shared" si="600"/>
        <v>0</v>
      </c>
      <c r="M356" s="104"/>
      <c r="N356" s="104"/>
      <c r="O356" s="104"/>
      <c r="P356" s="104"/>
      <c r="Q356" s="104">
        <f t="shared" si="601"/>
        <v>0</v>
      </c>
      <c r="R356" s="104">
        <f>Q356*40*2</f>
        <v>0</v>
      </c>
      <c r="S356" s="104"/>
      <c r="T356" s="105"/>
      <c r="U356" s="100">
        <f t="shared" si="593"/>
        <v>0</v>
      </c>
      <c r="V356" s="130"/>
      <c r="W356" s="134">
        <f t="shared" si="594"/>
        <v>0</v>
      </c>
      <c r="X356" s="106"/>
      <c r="Y356" s="106">
        <f t="shared" si="595"/>
        <v>0</v>
      </c>
      <c r="Z356" s="106">
        <f t="shared" si="602"/>
        <v>0</v>
      </c>
      <c r="AA356" s="106">
        <f t="shared" si="596"/>
        <v>0</v>
      </c>
      <c r="AB356" s="106">
        <f t="shared" si="597"/>
        <v>0</v>
      </c>
      <c r="AC356" s="107">
        <f t="shared" si="598"/>
        <v>0</v>
      </c>
    </row>
    <row r="357" spans="1:29" s="82" customFormat="1" ht="16.5" customHeight="1">
      <c r="A357" s="1267">
        <v>28</v>
      </c>
      <c r="B357" s="97" t="s">
        <v>87</v>
      </c>
      <c r="C357" s="98" t="s">
        <v>522</v>
      </c>
      <c r="D357" s="98">
        <v>1</v>
      </c>
      <c r="E357" s="99" t="s">
        <v>86</v>
      </c>
      <c r="F357" s="100">
        <f t="shared" ref="F357" si="606">SUM(F358:F369)</f>
        <v>0</v>
      </c>
      <c r="G357" s="100">
        <f t="shared" ref="G357:N357" si="607">SUM(G358:G369)</f>
        <v>0</v>
      </c>
      <c r="H357" s="100">
        <f t="shared" si="607"/>
        <v>0</v>
      </c>
      <c r="I357" s="100">
        <f t="shared" ref="I357" si="608">SUM(I358:I369)</f>
        <v>0</v>
      </c>
      <c r="J357" s="100">
        <f t="shared" si="607"/>
        <v>0</v>
      </c>
      <c r="K357" s="100">
        <f t="shared" si="607"/>
        <v>0</v>
      </c>
      <c r="L357" s="100">
        <f t="shared" si="607"/>
        <v>0</v>
      </c>
      <c r="M357" s="100">
        <f t="shared" si="607"/>
        <v>0</v>
      </c>
      <c r="N357" s="100">
        <f t="shared" si="607"/>
        <v>0</v>
      </c>
      <c r="O357" s="100">
        <f t="shared" ref="O357" si="609">SUM(O358:O369)</f>
        <v>0</v>
      </c>
      <c r="P357" s="100"/>
      <c r="Q357" s="100"/>
      <c r="R357" s="100">
        <f t="shared" si="566"/>
        <v>0</v>
      </c>
      <c r="S357" s="100">
        <f>SUM(S358:S369)</f>
        <v>0</v>
      </c>
      <c r="T357" s="100"/>
      <c r="U357" s="100">
        <f t="shared" ref="U357" si="610">SUM(U358:U369)</f>
        <v>0</v>
      </c>
      <c r="V357" s="130"/>
      <c r="W357" s="143">
        <f t="shared" ref="W357" si="611">SUM(W358:W369)</f>
        <v>0</v>
      </c>
      <c r="X357" s="100">
        <f t="shared" ref="X357" si="612">SUM(X358:X369)</f>
        <v>0</v>
      </c>
      <c r="Y357" s="100">
        <f t="shared" ref="Y357:AB357" si="613">SUM(Y358:Y369)</f>
        <v>0</v>
      </c>
      <c r="Z357" s="100">
        <f t="shared" si="613"/>
        <v>0</v>
      </c>
      <c r="AA357" s="100">
        <f t="shared" si="613"/>
        <v>0</v>
      </c>
      <c r="AB357" s="100">
        <f t="shared" si="613"/>
        <v>0</v>
      </c>
      <c r="AC357" s="101">
        <f>SUM(AC358:AC369)</f>
        <v>0</v>
      </c>
    </row>
    <row r="358" spans="1:29" s="82" customFormat="1" ht="16.5" customHeight="1">
      <c r="A358" s="1267"/>
      <c r="B358" s="97" t="s">
        <v>825</v>
      </c>
      <c r="C358" s="171">
        <v>8</v>
      </c>
      <c r="D358" s="171"/>
      <c r="E358" s="172" t="s">
        <v>389</v>
      </c>
      <c r="F358" s="173"/>
      <c r="G358" s="104"/>
      <c r="H358" s="103"/>
      <c r="I358" s="105"/>
      <c r="J358" s="104"/>
      <c r="K358" s="104"/>
      <c r="L358" s="104"/>
      <c r="M358" s="104">
        <f t="shared" ref="M358" si="614">F358*60%</f>
        <v>0</v>
      </c>
      <c r="N358" s="104"/>
      <c r="O358" s="104"/>
      <c r="P358" s="104"/>
      <c r="Q358" s="104"/>
      <c r="R358" s="104"/>
      <c r="S358" s="104"/>
      <c r="T358" s="105"/>
      <c r="U358" s="100">
        <f t="shared" ref="U358" si="615">SUM(I358,L358)</f>
        <v>0</v>
      </c>
      <c r="V358" s="130"/>
      <c r="W358" s="134">
        <f t="shared" ref="W358:W359" si="616">ROUNDUP(U358*1/12,-1)</f>
        <v>0</v>
      </c>
      <c r="X358" s="106"/>
      <c r="Y358" s="106">
        <f t="shared" ref="Y358:Y369" si="617">ROUNDUP((U358-L358)*3.06%,-1)</f>
        <v>0</v>
      </c>
      <c r="Z358" s="106">
        <f>ROUNDUP(Y358*6.55%,-1)</f>
        <v>0</v>
      </c>
      <c r="AA358" s="106">
        <f t="shared" ref="AA358:AA369" si="618">ROUND(U358*0.9%,-1)</f>
        <v>0</v>
      </c>
      <c r="AB358" s="106">
        <f t="shared" ref="AB358:AB369" si="619">ROUND(U358*0.8%,-1)</f>
        <v>0</v>
      </c>
      <c r="AC358" s="107">
        <f t="shared" ref="AC358:AC369" si="620">SUM(W358:AB358)</f>
        <v>0</v>
      </c>
    </row>
    <row r="359" spans="1:29" s="82" customFormat="1" ht="16.5" customHeight="1">
      <c r="A359" s="1267"/>
      <c r="B359" s="97"/>
      <c r="C359" s="98"/>
      <c r="D359" s="98"/>
      <c r="E359" s="102" t="s">
        <v>390</v>
      </c>
      <c r="F359" s="104"/>
      <c r="G359" s="104"/>
      <c r="H359" s="104"/>
      <c r="I359" s="105"/>
      <c r="J359" s="104">
        <f t="shared" ref="J359:J369" si="621">ROUND((F358+I358+T358)*1/209*1.5,-1)</f>
        <v>0</v>
      </c>
      <c r="K359" s="104">
        <f t="shared" ref="K359:K420" si="622">J359*40</f>
        <v>0</v>
      </c>
      <c r="L359" s="104">
        <f t="shared" ref="L359:L369" si="623">K359-R359</f>
        <v>0</v>
      </c>
      <c r="M359" s="104"/>
      <c r="N359" s="104"/>
      <c r="O359" s="104"/>
      <c r="P359" s="104"/>
      <c r="Q359" s="104">
        <f t="shared" ref="Q359" si="624">ROUND((F358+T358)*1/209*1.5,-1)</f>
        <v>0</v>
      </c>
      <c r="R359" s="104">
        <f>Q359*40</f>
        <v>0</v>
      </c>
      <c r="S359" s="104"/>
      <c r="T359" s="105"/>
      <c r="U359" s="100">
        <f t="shared" si="593"/>
        <v>0</v>
      </c>
      <c r="V359" s="130"/>
      <c r="W359" s="134">
        <f t="shared" si="616"/>
        <v>0</v>
      </c>
      <c r="X359" s="106"/>
      <c r="Y359" s="106">
        <f t="shared" si="617"/>
        <v>0</v>
      </c>
      <c r="Z359" s="106">
        <f t="shared" ref="Z359:Z369" si="625">ROUNDUP(Y359*6.55%,-1)</f>
        <v>0</v>
      </c>
      <c r="AA359" s="106">
        <f t="shared" si="618"/>
        <v>0</v>
      </c>
      <c r="AB359" s="106">
        <f t="shared" si="619"/>
        <v>0</v>
      </c>
      <c r="AC359" s="107">
        <f t="shared" si="620"/>
        <v>0</v>
      </c>
    </row>
    <row r="360" spans="1:29" s="82" customFormat="1" ht="16.5" customHeight="1">
      <c r="A360" s="1267"/>
      <c r="B360" s="97"/>
      <c r="C360" s="98"/>
      <c r="D360" s="98"/>
      <c r="E360" s="102" t="s">
        <v>391</v>
      </c>
      <c r="F360" s="104"/>
      <c r="G360" s="104"/>
      <c r="H360" s="104"/>
      <c r="I360" s="105"/>
      <c r="J360" s="104">
        <f t="shared" si="621"/>
        <v>0</v>
      </c>
      <c r="K360" s="104">
        <f t="shared" si="622"/>
        <v>0</v>
      </c>
      <c r="L360" s="104">
        <f t="shared" si="623"/>
        <v>0</v>
      </c>
      <c r="M360" s="104"/>
      <c r="N360" s="104"/>
      <c r="O360" s="104"/>
      <c r="P360" s="104"/>
      <c r="Q360" s="104">
        <f t="shared" si="601"/>
        <v>0</v>
      </c>
      <c r="R360" s="104">
        <f t="shared" ref="R360:R368" si="626">Q360*40</f>
        <v>0</v>
      </c>
      <c r="S360" s="104"/>
      <c r="T360" s="105"/>
      <c r="U360" s="100">
        <f t="shared" si="593"/>
        <v>0</v>
      </c>
      <c r="V360" s="130"/>
      <c r="W360" s="134">
        <f t="shared" si="594"/>
        <v>0</v>
      </c>
      <c r="X360" s="106"/>
      <c r="Y360" s="106">
        <f t="shared" si="617"/>
        <v>0</v>
      </c>
      <c r="Z360" s="106">
        <f t="shared" si="625"/>
        <v>0</v>
      </c>
      <c r="AA360" s="106">
        <f t="shared" si="618"/>
        <v>0</v>
      </c>
      <c r="AB360" s="106">
        <f t="shared" si="619"/>
        <v>0</v>
      </c>
      <c r="AC360" s="107">
        <f t="shared" si="620"/>
        <v>0</v>
      </c>
    </row>
    <row r="361" spans="1:29" s="82" customFormat="1" ht="16.5" customHeight="1">
      <c r="A361" s="1267"/>
      <c r="B361" s="97"/>
      <c r="C361" s="98"/>
      <c r="D361" s="98"/>
      <c r="E361" s="102" t="s">
        <v>392</v>
      </c>
      <c r="F361" s="173"/>
      <c r="G361" s="104"/>
      <c r="H361" s="104"/>
      <c r="I361" s="105"/>
      <c r="J361" s="104">
        <f t="shared" si="621"/>
        <v>0</v>
      </c>
      <c r="K361" s="104">
        <f t="shared" si="622"/>
        <v>0</v>
      </c>
      <c r="L361" s="104">
        <f t="shared" si="623"/>
        <v>0</v>
      </c>
      <c r="M361" s="104"/>
      <c r="N361" s="104"/>
      <c r="O361" s="104"/>
      <c r="P361" s="104"/>
      <c r="Q361" s="104">
        <f t="shared" si="601"/>
        <v>0</v>
      </c>
      <c r="R361" s="104">
        <f t="shared" si="626"/>
        <v>0</v>
      </c>
      <c r="S361" s="104"/>
      <c r="T361" s="105"/>
      <c r="U361" s="100">
        <f t="shared" si="593"/>
        <v>0</v>
      </c>
      <c r="V361" s="130"/>
      <c r="W361" s="134">
        <f t="shared" si="594"/>
        <v>0</v>
      </c>
      <c r="X361" s="106"/>
      <c r="Y361" s="106">
        <f t="shared" si="617"/>
        <v>0</v>
      </c>
      <c r="Z361" s="106">
        <f t="shared" si="625"/>
        <v>0</v>
      </c>
      <c r="AA361" s="106">
        <f t="shared" si="618"/>
        <v>0</v>
      </c>
      <c r="AB361" s="106">
        <f t="shared" si="619"/>
        <v>0</v>
      </c>
      <c r="AC361" s="107">
        <f t="shared" si="620"/>
        <v>0</v>
      </c>
    </row>
    <row r="362" spans="1:29" s="82" customFormat="1" ht="16.5" customHeight="1">
      <c r="A362" s="1267"/>
      <c r="B362" s="97"/>
      <c r="C362" s="98"/>
      <c r="D362" s="98"/>
      <c r="E362" s="102" t="s">
        <v>393</v>
      </c>
      <c r="F362" s="104"/>
      <c r="G362" s="104"/>
      <c r="H362" s="104"/>
      <c r="I362" s="105"/>
      <c r="J362" s="104">
        <f t="shared" si="621"/>
        <v>0</v>
      </c>
      <c r="K362" s="104">
        <f t="shared" si="622"/>
        <v>0</v>
      </c>
      <c r="L362" s="104">
        <f t="shared" si="623"/>
        <v>0</v>
      </c>
      <c r="M362" s="104"/>
      <c r="N362" s="104"/>
      <c r="O362" s="104"/>
      <c r="P362" s="104"/>
      <c r="Q362" s="104">
        <f t="shared" si="601"/>
        <v>0</v>
      </c>
      <c r="R362" s="104">
        <f t="shared" si="626"/>
        <v>0</v>
      </c>
      <c r="S362" s="104"/>
      <c r="T362" s="105"/>
      <c r="U362" s="100">
        <f t="shared" si="593"/>
        <v>0</v>
      </c>
      <c r="V362" s="130"/>
      <c r="W362" s="134">
        <f t="shared" si="594"/>
        <v>0</v>
      </c>
      <c r="X362" s="106"/>
      <c r="Y362" s="106">
        <f t="shared" si="617"/>
        <v>0</v>
      </c>
      <c r="Z362" s="106">
        <f t="shared" si="625"/>
        <v>0</v>
      </c>
      <c r="AA362" s="106">
        <f t="shared" si="618"/>
        <v>0</v>
      </c>
      <c r="AB362" s="106">
        <f t="shared" si="619"/>
        <v>0</v>
      </c>
      <c r="AC362" s="107">
        <f t="shared" si="620"/>
        <v>0</v>
      </c>
    </row>
    <row r="363" spans="1:29" s="82" customFormat="1" ht="16.5" customHeight="1">
      <c r="A363" s="1267"/>
      <c r="B363" s="97"/>
      <c r="C363" s="171">
        <v>9</v>
      </c>
      <c r="D363" s="171"/>
      <c r="E363" s="172" t="s">
        <v>394</v>
      </c>
      <c r="F363" s="104"/>
      <c r="G363" s="104"/>
      <c r="H363" s="104"/>
      <c r="I363" s="105"/>
      <c r="J363" s="104">
        <f t="shared" si="621"/>
        <v>0</v>
      </c>
      <c r="K363" s="104">
        <f t="shared" si="622"/>
        <v>0</v>
      </c>
      <c r="L363" s="104">
        <f t="shared" si="623"/>
        <v>0</v>
      </c>
      <c r="M363" s="104"/>
      <c r="N363" s="104"/>
      <c r="O363" s="104"/>
      <c r="P363" s="104"/>
      <c r="Q363" s="104">
        <f t="shared" si="601"/>
        <v>0</v>
      </c>
      <c r="R363" s="104">
        <f t="shared" si="626"/>
        <v>0</v>
      </c>
      <c r="S363" s="104"/>
      <c r="T363" s="105"/>
      <c r="U363" s="100">
        <f t="shared" si="593"/>
        <v>0</v>
      </c>
      <c r="V363" s="130"/>
      <c r="W363" s="134">
        <f t="shared" si="594"/>
        <v>0</v>
      </c>
      <c r="X363" s="106"/>
      <c r="Y363" s="106">
        <f t="shared" si="617"/>
        <v>0</v>
      </c>
      <c r="Z363" s="106">
        <f t="shared" si="625"/>
        <v>0</v>
      </c>
      <c r="AA363" s="106">
        <f t="shared" si="618"/>
        <v>0</v>
      </c>
      <c r="AB363" s="106">
        <f t="shared" si="619"/>
        <v>0</v>
      </c>
      <c r="AC363" s="107">
        <f t="shared" si="620"/>
        <v>0</v>
      </c>
    </row>
    <row r="364" spans="1:29" s="82" customFormat="1" ht="16.5" customHeight="1">
      <c r="A364" s="1267"/>
      <c r="B364" s="97"/>
      <c r="C364" s="98"/>
      <c r="D364" s="98"/>
      <c r="E364" s="102" t="s">
        <v>279</v>
      </c>
      <c r="F364" s="104"/>
      <c r="G364" s="104"/>
      <c r="H364" s="103"/>
      <c r="I364" s="105"/>
      <c r="J364" s="104">
        <f t="shared" si="621"/>
        <v>0</v>
      </c>
      <c r="K364" s="104">
        <f t="shared" si="622"/>
        <v>0</v>
      </c>
      <c r="L364" s="104">
        <f t="shared" si="623"/>
        <v>0</v>
      </c>
      <c r="M364" s="104"/>
      <c r="N364" s="104"/>
      <c r="O364" s="104"/>
      <c r="P364" s="104"/>
      <c r="Q364" s="104">
        <f t="shared" si="601"/>
        <v>0</v>
      </c>
      <c r="R364" s="104">
        <f t="shared" si="626"/>
        <v>0</v>
      </c>
      <c r="S364" s="104"/>
      <c r="T364" s="105"/>
      <c r="U364" s="100">
        <f t="shared" si="593"/>
        <v>0</v>
      </c>
      <c r="V364" s="130"/>
      <c r="W364" s="134">
        <f t="shared" si="594"/>
        <v>0</v>
      </c>
      <c r="X364" s="106"/>
      <c r="Y364" s="106">
        <f t="shared" si="617"/>
        <v>0</v>
      </c>
      <c r="Z364" s="106">
        <f t="shared" si="625"/>
        <v>0</v>
      </c>
      <c r="AA364" s="106">
        <f t="shared" si="618"/>
        <v>0</v>
      </c>
      <c r="AB364" s="106">
        <f t="shared" si="619"/>
        <v>0</v>
      </c>
      <c r="AC364" s="107">
        <f t="shared" si="620"/>
        <v>0</v>
      </c>
    </row>
    <row r="365" spans="1:29" s="82" customFormat="1" ht="16.5" customHeight="1">
      <c r="A365" s="1267"/>
      <c r="B365" s="97"/>
      <c r="C365" s="98"/>
      <c r="D365" s="98"/>
      <c r="E365" s="102" t="s">
        <v>280</v>
      </c>
      <c r="F365" s="104"/>
      <c r="G365" s="104"/>
      <c r="H365" s="104"/>
      <c r="I365" s="105"/>
      <c r="J365" s="104">
        <f t="shared" si="621"/>
        <v>0</v>
      </c>
      <c r="K365" s="104">
        <f t="shared" si="622"/>
        <v>0</v>
      </c>
      <c r="L365" s="104">
        <f t="shared" si="623"/>
        <v>0</v>
      </c>
      <c r="M365" s="104"/>
      <c r="N365" s="104"/>
      <c r="O365" s="104"/>
      <c r="P365" s="104"/>
      <c r="Q365" s="104">
        <f t="shared" si="601"/>
        <v>0</v>
      </c>
      <c r="R365" s="104">
        <f t="shared" si="626"/>
        <v>0</v>
      </c>
      <c r="S365" s="104"/>
      <c r="T365" s="105"/>
      <c r="U365" s="100">
        <f t="shared" si="593"/>
        <v>0</v>
      </c>
      <c r="V365" s="130"/>
      <c r="W365" s="134">
        <f t="shared" si="594"/>
        <v>0</v>
      </c>
      <c r="X365" s="106"/>
      <c r="Y365" s="106">
        <f t="shared" si="617"/>
        <v>0</v>
      </c>
      <c r="Z365" s="106">
        <f t="shared" si="625"/>
        <v>0</v>
      </c>
      <c r="AA365" s="106">
        <f t="shared" si="618"/>
        <v>0</v>
      </c>
      <c r="AB365" s="106">
        <f t="shared" si="619"/>
        <v>0</v>
      </c>
      <c r="AC365" s="107">
        <f t="shared" si="620"/>
        <v>0</v>
      </c>
    </row>
    <row r="366" spans="1:29" s="82" customFormat="1" ht="16.5" customHeight="1">
      <c r="A366" s="1267"/>
      <c r="B366" s="97"/>
      <c r="C366" s="98"/>
      <c r="D366" s="98"/>
      <c r="E366" s="102" t="s">
        <v>54</v>
      </c>
      <c r="F366" s="104"/>
      <c r="G366" s="104"/>
      <c r="H366" s="104"/>
      <c r="I366" s="105"/>
      <c r="J366" s="104">
        <f t="shared" si="621"/>
        <v>0</v>
      </c>
      <c r="K366" s="104">
        <f t="shared" si="622"/>
        <v>0</v>
      </c>
      <c r="L366" s="104">
        <f t="shared" si="623"/>
        <v>0</v>
      </c>
      <c r="M366" s="104">
        <f t="shared" ref="M366" si="627">F366*60%</f>
        <v>0</v>
      </c>
      <c r="N366" s="104"/>
      <c r="O366" s="104"/>
      <c r="P366" s="104"/>
      <c r="Q366" s="104">
        <f t="shared" si="601"/>
        <v>0</v>
      </c>
      <c r="R366" s="104">
        <f t="shared" si="626"/>
        <v>0</v>
      </c>
      <c r="S366" s="104"/>
      <c r="T366" s="105"/>
      <c r="U366" s="100">
        <f t="shared" si="593"/>
        <v>0</v>
      </c>
      <c r="V366" s="130"/>
      <c r="W366" s="134">
        <f t="shared" si="594"/>
        <v>0</v>
      </c>
      <c r="X366" s="106"/>
      <c r="Y366" s="106">
        <f t="shared" si="617"/>
        <v>0</v>
      </c>
      <c r="Z366" s="106">
        <f t="shared" si="625"/>
        <v>0</v>
      </c>
      <c r="AA366" s="106">
        <f t="shared" si="618"/>
        <v>0</v>
      </c>
      <c r="AB366" s="106">
        <f t="shared" si="619"/>
        <v>0</v>
      </c>
      <c r="AC366" s="107">
        <f t="shared" si="620"/>
        <v>0</v>
      </c>
    </row>
    <row r="367" spans="1:29" s="82" customFormat="1" ht="16.5" customHeight="1">
      <c r="A367" s="1267"/>
      <c r="B367" s="97"/>
      <c r="C367" s="98"/>
      <c r="D367" s="98"/>
      <c r="E367" s="102" t="s">
        <v>55</v>
      </c>
      <c r="F367" s="104"/>
      <c r="G367" s="104"/>
      <c r="H367" s="104"/>
      <c r="I367" s="105"/>
      <c r="J367" s="104">
        <f t="shared" si="621"/>
        <v>0</v>
      </c>
      <c r="K367" s="104">
        <f t="shared" si="622"/>
        <v>0</v>
      </c>
      <c r="L367" s="104">
        <f t="shared" si="623"/>
        <v>0</v>
      </c>
      <c r="M367" s="104"/>
      <c r="N367" s="104"/>
      <c r="O367" s="104"/>
      <c r="P367" s="104"/>
      <c r="Q367" s="104">
        <f t="shared" si="601"/>
        <v>0</v>
      </c>
      <c r="R367" s="104">
        <f t="shared" si="626"/>
        <v>0</v>
      </c>
      <c r="S367" s="104"/>
      <c r="T367" s="105"/>
      <c r="U367" s="100">
        <f t="shared" si="593"/>
        <v>0</v>
      </c>
      <c r="V367" s="130"/>
      <c r="W367" s="134">
        <f t="shared" si="594"/>
        <v>0</v>
      </c>
      <c r="X367" s="106"/>
      <c r="Y367" s="106">
        <f t="shared" si="617"/>
        <v>0</v>
      </c>
      <c r="Z367" s="106">
        <f t="shared" si="625"/>
        <v>0</v>
      </c>
      <c r="AA367" s="106">
        <f t="shared" si="618"/>
        <v>0</v>
      </c>
      <c r="AB367" s="106">
        <f t="shared" si="619"/>
        <v>0</v>
      </c>
      <c r="AC367" s="107">
        <f t="shared" si="620"/>
        <v>0</v>
      </c>
    </row>
    <row r="368" spans="1:29" s="82" customFormat="1" ht="16.5" customHeight="1">
      <c r="A368" s="1267"/>
      <c r="B368" s="97"/>
      <c r="C368" s="98"/>
      <c r="D368" s="98"/>
      <c r="E368" s="102" t="s">
        <v>56</v>
      </c>
      <c r="F368" s="104"/>
      <c r="G368" s="104"/>
      <c r="H368" s="104"/>
      <c r="I368" s="105"/>
      <c r="J368" s="104">
        <f t="shared" si="621"/>
        <v>0</v>
      </c>
      <c r="K368" s="104">
        <f t="shared" si="622"/>
        <v>0</v>
      </c>
      <c r="L368" s="104">
        <f t="shared" si="623"/>
        <v>0</v>
      </c>
      <c r="M368" s="104"/>
      <c r="N368" s="104"/>
      <c r="O368" s="104"/>
      <c r="P368" s="104"/>
      <c r="Q368" s="104">
        <f t="shared" si="601"/>
        <v>0</v>
      </c>
      <c r="R368" s="104">
        <f t="shared" si="626"/>
        <v>0</v>
      </c>
      <c r="S368" s="104"/>
      <c r="T368" s="105"/>
      <c r="U368" s="100">
        <f t="shared" si="593"/>
        <v>0</v>
      </c>
      <c r="V368" s="130"/>
      <c r="W368" s="134">
        <f t="shared" si="594"/>
        <v>0</v>
      </c>
      <c r="X368" s="106"/>
      <c r="Y368" s="106">
        <f t="shared" si="617"/>
        <v>0</v>
      </c>
      <c r="Z368" s="106">
        <f t="shared" si="625"/>
        <v>0</v>
      </c>
      <c r="AA368" s="106">
        <f t="shared" si="618"/>
        <v>0</v>
      </c>
      <c r="AB368" s="106">
        <f t="shared" si="619"/>
        <v>0</v>
      </c>
      <c r="AC368" s="107">
        <f t="shared" si="620"/>
        <v>0</v>
      </c>
    </row>
    <row r="369" spans="1:29" s="82" customFormat="1" ht="16.5" customHeight="1">
      <c r="A369" s="1267"/>
      <c r="B369" s="97"/>
      <c r="C369" s="98"/>
      <c r="D369" s="98"/>
      <c r="E369" s="102" t="s">
        <v>395</v>
      </c>
      <c r="F369" s="104"/>
      <c r="G369" s="104"/>
      <c r="H369" s="104"/>
      <c r="I369" s="105"/>
      <c r="J369" s="104">
        <f t="shared" si="621"/>
        <v>0</v>
      </c>
      <c r="K369" s="104">
        <f t="shared" ref="K369" si="628">J369*40*2</f>
        <v>0</v>
      </c>
      <c r="L369" s="104">
        <f t="shared" si="623"/>
        <v>0</v>
      </c>
      <c r="M369" s="104"/>
      <c r="N369" s="104"/>
      <c r="O369" s="104"/>
      <c r="P369" s="104"/>
      <c r="Q369" s="104">
        <f t="shared" si="601"/>
        <v>0</v>
      </c>
      <c r="R369" s="104">
        <f>Q369*40*2</f>
        <v>0</v>
      </c>
      <c r="S369" s="104"/>
      <c r="T369" s="105"/>
      <c r="U369" s="100">
        <f t="shared" si="593"/>
        <v>0</v>
      </c>
      <c r="V369" s="130"/>
      <c r="W369" s="134">
        <f t="shared" si="594"/>
        <v>0</v>
      </c>
      <c r="X369" s="106"/>
      <c r="Y369" s="106">
        <f t="shared" si="617"/>
        <v>0</v>
      </c>
      <c r="Z369" s="106">
        <f t="shared" si="625"/>
        <v>0</v>
      </c>
      <c r="AA369" s="106">
        <f t="shared" si="618"/>
        <v>0</v>
      </c>
      <c r="AB369" s="106">
        <f t="shared" si="619"/>
        <v>0</v>
      </c>
      <c r="AC369" s="107">
        <f t="shared" si="620"/>
        <v>0</v>
      </c>
    </row>
    <row r="370" spans="1:29" s="82" customFormat="1" ht="16.5" customHeight="1">
      <c r="A370" s="1267">
        <v>29</v>
      </c>
      <c r="B370" s="97" t="s">
        <v>87</v>
      </c>
      <c r="C370" s="98" t="s">
        <v>522</v>
      </c>
      <c r="D370" s="98">
        <v>1</v>
      </c>
      <c r="E370" s="99" t="s">
        <v>86</v>
      </c>
      <c r="F370" s="100">
        <f t="shared" ref="F370" si="629">SUM(F371:F382)</f>
        <v>0</v>
      </c>
      <c r="G370" s="100">
        <f t="shared" ref="G370:N370" si="630">SUM(G371:G382)</f>
        <v>0</v>
      </c>
      <c r="H370" s="100">
        <f t="shared" si="630"/>
        <v>0</v>
      </c>
      <c r="I370" s="100">
        <f t="shared" ref="I370" si="631">SUM(I371:I382)</f>
        <v>0</v>
      </c>
      <c r="J370" s="100">
        <f t="shared" si="630"/>
        <v>0</v>
      </c>
      <c r="K370" s="100">
        <f t="shared" si="630"/>
        <v>0</v>
      </c>
      <c r="L370" s="100">
        <f t="shared" si="630"/>
        <v>0</v>
      </c>
      <c r="M370" s="100">
        <f t="shared" si="630"/>
        <v>0</v>
      </c>
      <c r="N370" s="100">
        <f t="shared" si="630"/>
        <v>0</v>
      </c>
      <c r="O370" s="100">
        <f t="shared" ref="O370" si="632">SUM(O371:O382)</f>
        <v>0</v>
      </c>
      <c r="P370" s="100"/>
      <c r="Q370" s="100"/>
      <c r="R370" s="100">
        <f>SUM(R371:R382)</f>
        <v>0</v>
      </c>
      <c r="S370" s="100">
        <f>SUM(S371:S382)</f>
        <v>0</v>
      </c>
      <c r="T370" s="100"/>
      <c r="U370" s="100">
        <f t="shared" ref="U370" si="633">SUM(U371:U382)</f>
        <v>0</v>
      </c>
      <c r="V370" s="130"/>
      <c r="W370" s="143">
        <f t="shared" ref="W370" si="634">SUM(W371:W382)</f>
        <v>0</v>
      </c>
      <c r="X370" s="100">
        <f t="shared" ref="X370" si="635">SUM(X371:X382)</f>
        <v>0</v>
      </c>
      <c r="Y370" s="100">
        <f t="shared" ref="Y370:AB370" si="636">SUM(Y371:Y382)</f>
        <v>0</v>
      </c>
      <c r="Z370" s="100">
        <f t="shared" si="636"/>
        <v>0</v>
      </c>
      <c r="AA370" s="100">
        <f t="shared" si="636"/>
        <v>0</v>
      </c>
      <c r="AB370" s="100">
        <f t="shared" si="636"/>
        <v>0</v>
      </c>
      <c r="AC370" s="101">
        <f>SUM(AC371:AC382)</f>
        <v>0</v>
      </c>
    </row>
    <row r="371" spans="1:29" s="82" customFormat="1" ht="16.5" customHeight="1">
      <c r="A371" s="1267"/>
      <c r="B371" s="97" t="s">
        <v>474</v>
      </c>
      <c r="C371" s="171">
        <v>8</v>
      </c>
      <c r="D371" s="171"/>
      <c r="E371" s="172" t="s">
        <v>389</v>
      </c>
      <c r="F371" s="173"/>
      <c r="G371" s="104"/>
      <c r="H371" s="103"/>
      <c r="I371" s="105"/>
      <c r="J371" s="104"/>
      <c r="K371" s="104"/>
      <c r="L371" s="104"/>
      <c r="M371" s="104">
        <f t="shared" ref="M371" si="637">F371*60%</f>
        <v>0</v>
      </c>
      <c r="N371" s="104"/>
      <c r="O371" s="104"/>
      <c r="P371" s="104"/>
      <c r="Q371" s="104"/>
      <c r="R371" s="104"/>
      <c r="S371" s="104"/>
      <c r="T371" s="105"/>
      <c r="U371" s="100">
        <f t="shared" ref="U371" si="638">SUM(I371,L371)</f>
        <v>0</v>
      </c>
      <c r="V371" s="130"/>
      <c r="W371" s="134">
        <f t="shared" ref="W371:W372" si="639">ROUNDUP(U371*1/12,-1)</f>
        <v>0</v>
      </c>
      <c r="X371" s="106"/>
      <c r="Y371" s="106">
        <f t="shared" ref="Y371:Y382" si="640">ROUNDUP((U371-L371)*3.06%,-1)</f>
        <v>0</v>
      </c>
      <c r="Z371" s="106">
        <f>ROUNDUP(Y371*6.55%,-1)</f>
        <v>0</v>
      </c>
      <c r="AA371" s="106">
        <f t="shared" ref="AA371:AA382" si="641">ROUND(U371*0.9%,-1)</f>
        <v>0</v>
      </c>
      <c r="AB371" s="106">
        <f t="shared" ref="AB371:AB382" si="642">ROUND(U371*0.8%,-1)</f>
        <v>0</v>
      </c>
      <c r="AC371" s="107">
        <f t="shared" ref="AC371:AC382" si="643">SUM(W371:AB371)</f>
        <v>0</v>
      </c>
    </row>
    <row r="372" spans="1:29" s="82" customFormat="1" ht="16.5" customHeight="1">
      <c r="A372" s="1267"/>
      <c r="B372" s="97"/>
      <c r="C372" s="98"/>
      <c r="D372" s="98"/>
      <c r="E372" s="102" t="s">
        <v>390</v>
      </c>
      <c r="F372" s="104"/>
      <c r="G372" s="104"/>
      <c r="H372" s="104"/>
      <c r="I372" s="105"/>
      <c r="J372" s="104">
        <f t="shared" ref="J372:J382" si="644">ROUND((F371+I371+T371)*1/209*1.5,-1)</f>
        <v>0</v>
      </c>
      <c r="K372" s="104">
        <f t="shared" ref="K372" si="645">J372*40</f>
        <v>0</v>
      </c>
      <c r="L372" s="104">
        <f t="shared" ref="L372:L382" si="646">K372-R372</f>
        <v>0</v>
      </c>
      <c r="M372" s="104"/>
      <c r="N372" s="104"/>
      <c r="O372" s="104"/>
      <c r="P372" s="104"/>
      <c r="Q372" s="104">
        <f t="shared" ref="Q372" si="647">ROUND((F371+T371)*1/209*1.5,-1)</f>
        <v>0</v>
      </c>
      <c r="R372" s="104">
        <f>Q372*40</f>
        <v>0</v>
      </c>
      <c r="S372" s="104"/>
      <c r="T372" s="105"/>
      <c r="U372" s="100">
        <f t="shared" si="593"/>
        <v>0</v>
      </c>
      <c r="V372" s="130"/>
      <c r="W372" s="134">
        <f t="shared" si="639"/>
        <v>0</v>
      </c>
      <c r="X372" s="106"/>
      <c r="Y372" s="106">
        <f t="shared" si="640"/>
        <v>0</v>
      </c>
      <c r="Z372" s="106">
        <f t="shared" ref="Z372:Z382" si="648">ROUNDUP(Y372*6.55%,-1)</f>
        <v>0</v>
      </c>
      <c r="AA372" s="106">
        <f t="shared" si="641"/>
        <v>0</v>
      </c>
      <c r="AB372" s="106">
        <f t="shared" si="642"/>
        <v>0</v>
      </c>
      <c r="AC372" s="107">
        <f t="shared" si="643"/>
        <v>0</v>
      </c>
    </row>
    <row r="373" spans="1:29" s="82" customFormat="1" ht="16.5" customHeight="1">
      <c r="A373" s="1267"/>
      <c r="B373" s="97"/>
      <c r="C373" s="171">
        <v>9</v>
      </c>
      <c r="D373" s="171"/>
      <c r="E373" s="172" t="s">
        <v>391</v>
      </c>
      <c r="F373" s="104"/>
      <c r="G373" s="104"/>
      <c r="H373" s="104"/>
      <c r="I373" s="105"/>
      <c r="J373" s="104">
        <f t="shared" si="644"/>
        <v>0</v>
      </c>
      <c r="K373" s="104">
        <f t="shared" si="622"/>
        <v>0</v>
      </c>
      <c r="L373" s="104">
        <f t="shared" si="646"/>
        <v>0</v>
      </c>
      <c r="M373" s="104"/>
      <c r="N373" s="104"/>
      <c r="O373" s="104"/>
      <c r="P373" s="104"/>
      <c r="Q373" s="104">
        <f t="shared" si="601"/>
        <v>0</v>
      </c>
      <c r="R373" s="104">
        <f t="shared" ref="R373:R381" si="649">Q373*40</f>
        <v>0</v>
      </c>
      <c r="S373" s="104"/>
      <c r="T373" s="105"/>
      <c r="U373" s="100">
        <f t="shared" si="593"/>
        <v>0</v>
      </c>
      <c r="V373" s="130"/>
      <c r="W373" s="134">
        <f t="shared" si="594"/>
        <v>0</v>
      </c>
      <c r="X373" s="106"/>
      <c r="Y373" s="106">
        <f t="shared" si="640"/>
        <v>0</v>
      </c>
      <c r="Z373" s="106">
        <f t="shared" si="648"/>
        <v>0</v>
      </c>
      <c r="AA373" s="106">
        <f t="shared" si="641"/>
        <v>0</v>
      </c>
      <c r="AB373" s="106">
        <f t="shared" si="642"/>
        <v>0</v>
      </c>
      <c r="AC373" s="107">
        <f t="shared" si="643"/>
        <v>0</v>
      </c>
    </row>
    <row r="374" spans="1:29" s="82" customFormat="1" ht="16.5" customHeight="1">
      <c r="A374" s="1267"/>
      <c r="B374" s="97"/>
      <c r="C374" s="98"/>
      <c r="D374" s="98"/>
      <c r="E374" s="102" t="s">
        <v>392</v>
      </c>
      <c r="F374" s="173"/>
      <c r="G374" s="104"/>
      <c r="H374" s="104"/>
      <c r="I374" s="105"/>
      <c r="J374" s="104">
        <f t="shared" si="644"/>
        <v>0</v>
      </c>
      <c r="K374" s="104">
        <f t="shared" si="622"/>
        <v>0</v>
      </c>
      <c r="L374" s="104">
        <f t="shared" si="646"/>
        <v>0</v>
      </c>
      <c r="M374" s="104"/>
      <c r="N374" s="104"/>
      <c r="O374" s="104"/>
      <c r="P374" s="104"/>
      <c r="Q374" s="104">
        <f t="shared" si="601"/>
        <v>0</v>
      </c>
      <c r="R374" s="104">
        <f t="shared" si="649"/>
        <v>0</v>
      </c>
      <c r="S374" s="104"/>
      <c r="T374" s="105"/>
      <c r="U374" s="100">
        <f t="shared" si="593"/>
        <v>0</v>
      </c>
      <c r="V374" s="130"/>
      <c r="W374" s="134">
        <f t="shared" si="594"/>
        <v>0</v>
      </c>
      <c r="X374" s="106"/>
      <c r="Y374" s="106">
        <f t="shared" si="640"/>
        <v>0</v>
      </c>
      <c r="Z374" s="106">
        <f t="shared" si="648"/>
        <v>0</v>
      </c>
      <c r="AA374" s="106">
        <f t="shared" si="641"/>
        <v>0</v>
      </c>
      <c r="AB374" s="106">
        <f t="shared" si="642"/>
        <v>0</v>
      </c>
      <c r="AC374" s="107">
        <f t="shared" si="643"/>
        <v>0</v>
      </c>
    </row>
    <row r="375" spans="1:29" s="82" customFormat="1" ht="16.5" customHeight="1">
      <c r="A375" s="1267"/>
      <c r="B375" s="97"/>
      <c r="C375" s="98"/>
      <c r="D375" s="98"/>
      <c r="E375" s="102" t="s">
        <v>393</v>
      </c>
      <c r="F375" s="104"/>
      <c r="G375" s="104"/>
      <c r="H375" s="104"/>
      <c r="I375" s="105"/>
      <c r="J375" s="104">
        <f t="shared" si="644"/>
        <v>0</v>
      </c>
      <c r="K375" s="104">
        <f t="shared" si="622"/>
        <v>0</v>
      </c>
      <c r="L375" s="104">
        <f t="shared" si="646"/>
        <v>0</v>
      </c>
      <c r="M375" s="104"/>
      <c r="N375" s="104"/>
      <c r="O375" s="104"/>
      <c r="P375" s="104"/>
      <c r="Q375" s="104">
        <f t="shared" si="601"/>
        <v>0</v>
      </c>
      <c r="R375" s="104">
        <f t="shared" si="649"/>
        <v>0</v>
      </c>
      <c r="S375" s="104"/>
      <c r="T375" s="105"/>
      <c r="U375" s="100">
        <f t="shared" si="593"/>
        <v>0</v>
      </c>
      <c r="V375" s="130"/>
      <c r="W375" s="134">
        <f t="shared" si="594"/>
        <v>0</v>
      </c>
      <c r="X375" s="106"/>
      <c r="Y375" s="106">
        <f t="shared" si="640"/>
        <v>0</v>
      </c>
      <c r="Z375" s="106">
        <f t="shared" si="648"/>
        <v>0</v>
      </c>
      <c r="AA375" s="106">
        <f t="shared" si="641"/>
        <v>0</v>
      </c>
      <c r="AB375" s="106">
        <f t="shared" si="642"/>
        <v>0</v>
      </c>
      <c r="AC375" s="107">
        <f t="shared" si="643"/>
        <v>0</v>
      </c>
    </row>
    <row r="376" spans="1:29" s="82" customFormat="1" ht="16.5" customHeight="1">
      <c r="A376" s="1267"/>
      <c r="B376" s="97"/>
      <c r="C376" s="98"/>
      <c r="D376" s="98"/>
      <c r="E376" s="102" t="s">
        <v>394</v>
      </c>
      <c r="F376" s="104"/>
      <c r="G376" s="104"/>
      <c r="H376" s="104"/>
      <c r="I376" s="105"/>
      <c r="J376" s="104">
        <f t="shared" si="644"/>
        <v>0</v>
      </c>
      <c r="K376" s="104">
        <f t="shared" si="622"/>
        <v>0</v>
      </c>
      <c r="L376" s="104">
        <f t="shared" si="646"/>
        <v>0</v>
      </c>
      <c r="M376" s="104"/>
      <c r="N376" s="104"/>
      <c r="O376" s="104"/>
      <c r="P376" s="104"/>
      <c r="Q376" s="104">
        <f t="shared" si="601"/>
        <v>0</v>
      </c>
      <c r="R376" s="104">
        <f t="shared" si="649"/>
        <v>0</v>
      </c>
      <c r="S376" s="104"/>
      <c r="T376" s="105"/>
      <c r="U376" s="100">
        <f t="shared" si="593"/>
        <v>0</v>
      </c>
      <c r="V376" s="130"/>
      <c r="W376" s="134">
        <f t="shared" si="594"/>
        <v>0</v>
      </c>
      <c r="X376" s="106"/>
      <c r="Y376" s="106">
        <f t="shared" si="640"/>
        <v>0</v>
      </c>
      <c r="Z376" s="106">
        <f t="shared" si="648"/>
        <v>0</v>
      </c>
      <c r="AA376" s="106">
        <f t="shared" si="641"/>
        <v>0</v>
      </c>
      <c r="AB376" s="106">
        <f t="shared" si="642"/>
        <v>0</v>
      </c>
      <c r="AC376" s="107">
        <f t="shared" si="643"/>
        <v>0</v>
      </c>
    </row>
    <row r="377" spans="1:29" s="82" customFormat="1" ht="16.5" customHeight="1">
      <c r="A377" s="1267"/>
      <c r="B377" s="97"/>
      <c r="C377" s="98"/>
      <c r="D377" s="98"/>
      <c r="E377" s="102" t="s">
        <v>279</v>
      </c>
      <c r="F377" s="104"/>
      <c r="G377" s="104"/>
      <c r="H377" s="103"/>
      <c r="I377" s="105"/>
      <c r="J377" s="104">
        <f t="shared" si="644"/>
        <v>0</v>
      </c>
      <c r="K377" s="104">
        <f t="shared" si="622"/>
        <v>0</v>
      </c>
      <c r="L377" s="104">
        <f t="shared" si="646"/>
        <v>0</v>
      </c>
      <c r="M377" s="104"/>
      <c r="N377" s="104"/>
      <c r="O377" s="104"/>
      <c r="P377" s="104"/>
      <c r="Q377" s="104">
        <f t="shared" si="601"/>
        <v>0</v>
      </c>
      <c r="R377" s="104">
        <f t="shared" si="649"/>
        <v>0</v>
      </c>
      <c r="S377" s="104"/>
      <c r="T377" s="105"/>
      <c r="U377" s="100">
        <f t="shared" si="593"/>
        <v>0</v>
      </c>
      <c r="V377" s="130"/>
      <c r="W377" s="134">
        <f t="shared" si="594"/>
        <v>0</v>
      </c>
      <c r="X377" s="106"/>
      <c r="Y377" s="106">
        <f t="shared" si="640"/>
        <v>0</v>
      </c>
      <c r="Z377" s="106">
        <f t="shared" si="648"/>
        <v>0</v>
      </c>
      <c r="AA377" s="106">
        <f t="shared" si="641"/>
        <v>0</v>
      </c>
      <c r="AB377" s="106">
        <f t="shared" si="642"/>
        <v>0</v>
      </c>
      <c r="AC377" s="107">
        <f t="shared" si="643"/>
        <v>0</v>
      </c>
    </row>
    <row r="378" spans="1:29" s="82" customFormat="1" ht="16.5" customHeight="1">
      <c r="A378" s="1267"/>
      <c r="B378" s="97"/>
      <c r="C378" s="98"/>
      <c r="D378" s="98"/>
      <c r="E378" s="102" t="s">
        <v>280</v>
      </c>
      <c r="F378" s="104"/>
      <c r="G378" s="104"/>
      <c r="H378" s="104"/>
      <c r="I378" s="105"/>
      <c r="J378" s="104">
        <f t="shared" si="644"/>
        <v>0</v>
      </c>
      <c r="K378" s="104">
        <f t="shared" si="622"/>
        <v>0</v>
      </c>
      <c r="L378" s="104">
        <f t="shared" si="646"/>
        <v>0</v>
      </c>
      <c r="M378" s="104"/>
      <c r="N378" s="104"/>
      <c r="O378" s="104"/>
      <c r="P378" s="104"/>
      <c r="Q378" s="104">
        <f t="shared" si="601"/>
        <v>0</v>
      </c>
      <c r="R378" s="104">
        <f t="shared" si="649"/>
        <v>0</v>
      </c>
      <c r="S378" s="104"/>
      <c r="T378" s="105"/>
      <c r="U378" s="100">
        <f t="shared" si="593"/>
        <v>0</v>
      </c>
      <c r="V378" s="130"/>
      <c r="W378" s="134">
        <f t="shared" si="594"/>
        <v>0</v>
      </c>
      <c r="X378" s="106"/>
      <c r="Y378" s="106">
        <f t="shared" si="640"/>
        <v>0</v>
      </c>
      <c r="Z378" s="106">
        <f t="shared" si="648"/>
        <v>0</v>
      </c>
      <c r="AA378" s="106">
        <f t="shared" si="641"/>
        <v>0</v>
      </c>
      <c r="AB378" s="106">
        <f t="shared" si="642"/>
        <v>0</v>
      </c>
      <c r="AC378" s="107">
        <f t="shared" si="643"/>
        <v>0</v>
      </c>
    </row>
    <row r="379" spans="1:29" s="82" customFormat="1" ht="16.5" customHeight="1">
      <c r="A379" s="1267"/>
      <c r="B379" s="97"/>
      <c r="C379" s="98"/>
      <c r="D379" s="98"/>
      <c r="E379" s="102" t="s">
        <v>54</v>
      </c>
      <c r="F379" s="104"/>
      <c r="G379" s="104"/>
      <c r="H379" s="104"/>
      <c r="I379" s="105"/>
      <c r="J379" s="104">
        <f t="shared" si="644"/>
        <v>0</v>
      </c>
      <c r="K379" s="104">
        <f t="shared" si="622"/>
        <v>0</v>
      </c>
      <c r="L379" s="104">
        <f t="shared" si="646"/>
        <v>0</v>
      </c>
      <c r="M379" s="104">
        <f t="shared" ref="M379" si="650">F379*60%</f>
        <v>0</v>
      </c>
      <c r="N379" s="104"/>
      <c r="O379" s="104"/>
      <c r="P379" s="104"/>
      <c r="Q379" s="104">
        <f t="shared" si="601"/>
        <v>0</v>
      </c>
      <c r="R379" s="104">
        <f t="shared" si="649"/>
        <v>0</v>
      </c>
      <c r="S379" s="104"/>
      <c r="T379" s="105"/>
      <c r="U379" s="100">
        <f t="shared" si="593"/>
        <v>0</v>
      </c>
      <c r="V379" s="130"/>
      <c r="W379" s="134">
        <f t="shared" si="594"/>
        <v>0</v>
      </c>
      <c r="X379" s="106"/>
      <c r="Y379" s="106">
        <f t="shared" si="640"/>
        <v>0</v>
      </c>
      <c r="Z379" s="106">
        <f t="shared" si="648"/>
        <v>0</v>
      </c>
      <c r="AA379" s="106">
        <f t="shared" si="641"/>
        <v>0</v>
      </c>
      <c r="AB379" s="106">
        <f t="shared" si="642"/>
        <v>0</v>
      </c>
      <c r="AC379" s="107">
        <f t="shared" si="643"/>
        <v>0</v>
      </c>
    </row>
    <row r="380" spans="1:29" s="82" customFormat="1" ht="16.5" customHeight="1">
      <c r="A380" s="1267"/>
      <c r="B380" s="97"/>
      <c r="C380" s="98"/>
      <c r="D380" s="98"/>
      <c r="E380" s="102" t="s">
        <v>55</v>
      </c>
      <c r="F380" s="104"/>
      <c r="G380" s="104"/>
      <c r="H380" s="104"/>
      <c r="I380" s="105"/>
      <c r="J380" s="104">
        <f t="shared" si="644"/>
        <v>0</v>
      </c>
      <c r="K380" s="104">
        <f t="shared" si="622"/>
        <v>0</v>
      </c>
      <c r="L380" s="104">
        <f t="shared" si="646"/>
        <v>0</v>
      </c>
      <c r="M380" s="104"/>
      <c r="N380" s="104"/>
      <c r="O380" s="104"/>
      <c r="P380" s="104"/>
      <c r="Q380" s="104">
        <f t="shared" si="601"/>
        <v>0</v>
      </c>
      <c r="R380" s="104">
        <f t="shared" si="649"/>
        <v>0</v>
      </c>
      <c r="S380" s="104"/>
      <c r="T380" s="105"/>
      <c r="U380" s="100">
        <f t="shared" si="593"/>
        <v>0</v>
      </c>
      <c r="V380" s="130"/>
      <c r="W380" s="134">
        <f t="shared" si="594"/>
        <v>0</v>
      </c>
      <c r="X380" s="106"/>
      <c r="Y380" s="106">
        <f t="shared" si="640"/>
        <v>0</v>
      </c>
      <c r="Z380" s="106">
        <f t="shared" si="648"/>
        <v>0</v>
      </c>
      <c r="AA380" s="106">
        <f t="shared" si="641"/>
        <v>0</v>
      </c>
      <c r="AB380" s="106">
        <f t="shared" si="642"/>
        <v>0</v>
      </c>
      <c r="AC380" s="107">
        <f t="shared" si="643"/>
        <v>0</v>
      </c>
    </row>
    <row r="381" spans="1:29" s="82" customFormat="1" ht="16.5" customHeight="1">
      <c r="A381" s="1267"/>
      <c r="B381" s="97"/>
      <c r="C381" s="98"/>
      <c r="D381" s="98"/>
      <c r="E381" s="102" t="s">
        <v>56</v>
      </c>
      <c r="F381" s="104"/>
      <c r="G381" s="104"/>
      <c r="H381" s="104"/>
      <c r="I381" s="105"/>
      <c r="J381" s="104">
        <f t="shared" si="644"/>
        <v>0</v>
      </c>
      <c r="K381" s="104">
        <f t="shared" si="622"/>
        <v>0</v>
      </c>
      <c r="L381" s="104">
        <f t="shared" si="646"/>
        <v>0</v>
      </c>
      <c r="M381" s="104"/>
      <c r="N381" s="104"/>
      <c r="O381" s="104"/>
      <c r="P381" s="104"/>
      <c r="Q381" s="104">
        <f t="shared" si="601"/>
        <v>0</v>
      </c>
      <c r="R381" s="104">
        <f t="shared" si="649"/>
        <v>0</v>
      </c>
      <c r="S381" s="104"/>
      <c r="T381" s="105"/>
      <c r="U381" s="100">
        <f t="shared" si="593"/>
        <v>0</v>
      </c>
      <c r="V381" s="130"/>
      <c r="W381" s="134">
        <f t="shared" si="594"/>
        <v>0</v>
      </c>
      <c r="X381" s="106"/>
      <c r="Y381" s="106">
        <f t="shared" si="640"/>
        <v>0</v>
      </c>
      <c r="Z381" s="106">
        <f t="shared" si="648"/>
        <v>0</v>
      </c>
      <c r="AA381" s="106">
        <f t="shared" si="641"/>
        <v>0</v>
      </c>
      <c r="AB381" s="106">
        <f t="shared" si="642"/>
        <v>0</v>
      </c>
      <c r="AC381" s="107">
        <f t="shared" si="643"/>
        <v>0</v>
      </c>
    </row>
    <row r="382" spans="1:29" s="82" customFormat="1" ht="16.5" customHeight="1">
      <c r="A382" s="1267"/>
      <c r="B382" s="97"/>
      <c r="C382" s="98"/>
      <c r="D382" s="98"/>
      <c r="E382" s="102" t="s">
        <v>395</v>
      </c>
      <c r="F382" s="104"/>
      <c r="G382" s="104"/>
      <c r="H382" s="104"/>
      <c r="I382" s="105"/>
      <c r="J382" s="104">
        <f t="shared" si="644"/>
        <v>0</v>
      </c>
      <c r="K382" s="104">
        <f t="shared" ref="K382" si="651">J382*40*2</f>
        <v>0</v>
      </c>
      <c r="L382" s="104">
        <f t="shared" si="646"/>
        <v>0</v>
      </c>
      <c r="M382" s="104"/>
      <c r="N382" s="104"/>
      <c r="O382" s="104"/>
      <c r="P382" s="104"/>
      <c r="Q382" s="104">
        <f t="shared" si="601"/>
        <v>0</v>
      </c>
      <c r="R382" s="104">
        <f>Q382*40*2</f>
        <v>0</v>
      </c>
      <c r="S382" s="104"/>
      <c r="T382" s="105"/>
      <c r="U382" s="100">
        <f t="shared" si="593"/>
        <v>0</v>
      </c>
      <c r="V382" s="130"/>
      <c r="W382" s="134">
        <f t="shared" si="594"/>
        <v>0</v>
      </c>
      <c r="X382" s="106"/>
      <c r="Y382" s="106">
        <f t="shared" si="640"/>
        <v>0</v>
      </c>
      <c r="Z382" s="106">
        <f t="shared" si="648"/>
        <v>0</v>
      </c>
      <c r="AA382" s="106">
        <f t="shared" si="641"/>
        <v>0</v>
      </c>
      <c r="AB382" s="106">
        <f t="shared" si="642"/>
        <v>0</v>
      </c>
      <c r="AC382" s="107">
        <f t="shared" si="643"/>
        <v>0</v>
      </c>
    </row>
    <row r="383" spans="1:29" s="82" customFormat="1" ht="16.5" customHeight="1">
      <c r="A383" s="1267">
        <v>30</v>
      </c>
      <c r="B383" s="97" t="s">
        <v>87</v>
      </c>
      <c r="C383" s="98" t="s">
        <v>821</v>
      </c>
      <c r="D383" s="98">
        <v>1</v>
      </c>
      <c r="E383" s="99" t="s">
        <v>86</v>
      </c>
      <c r="F383" s="100">
        <f t="shared" ref="F383" si="652">SUM(F384:F395)</f>
        <v>0</v>
      </c>
      <c r="G383" s="100">
        <f t="shared" ref="G383:N383" si="653">SUM(G384:G395)</f>
        <v>0</v>
      </c>
      <c r="H383" s="100">
        <f t="shared" si="653"/>
        <v>0</v>
      </c>
      <c r="I383" s="100">
        <f t="shared" ref="I383" si="654">SUM(I384:I395)</f>
        <v>0</v>
      </c>
      <c r="J383" s="100">
        <f t="shared" si="653"/>
        <v>0</v>
      </c>
      <c r="K383" s="100">
        <f t="shared" si="653"/>
        <v>0</v>
      </c>
      <c r="L383" s="100">
        <f t="shared" si="653"/>
        <v>0</v>
      </c>
      <c r="M383" s="100">
        <f t="shared" si="653"/>
        <v>0</v>
      </c>
      <c r="N383" s="100">
        <f t="shared" si="653"/>
        <v>0</v>
      </c>
      <c r="O383" s="100">
        <f t="shared" ref="O383" si="655">SUM(O384:O395)</f>
        <v>0</v>
      </c>
      <c r="P383" s="100"/>
      <c r="Q383" s="100"/>
      <c r="R383" s="100">
        <f t="shared" ref="R383" si="656">SUM(R384:R395)</f>
        <v>0</v>
      </c>
      <c r="S383" s="100">
        <f>SUM(S384:S395)</f>
        <v>0</v>
      </c>
      <c r="T383" s="100"/>
      <c r="U383" s="100">
        <f t="shared" ref="U383" si="657">SUM(U384:U395)</f>
        <v>0</v>
      </c>
      <c r="V383" s="130"/>
      <c r="W383" s="143">
        <f t="shared" ref="W383" si="658">SUM(W384:W395)</f>
        <v>0</v>
      </c>
      <c r="X383" s="100">
        <f t="shared" ref="X383" si="659">SUM(X384:X395)</f>
        <v>0</v>
      </c>
      <c r="Y383" s="100">
        <f t="shared" ref="Y383:AB383" si="660">SUM(Y384:Y395)</f>
        <v>0</v>
      </c>
      <c r="Z383" s="100">
        <f t="shared" si="660"/>
        <v>0</v>
      </c>
      <c r="AA383" s="100">
        <f t="shared" si="660"/>
        <v>0</v>
      </c>
      <c r="AB383" s="100">
        <f t="shared" si="660"/>
        <v>0</v>
      </c>
      <c r="AC383" s="101">
        <f>SUM(AC384:AC395)</f>
        <v>0</v>
      </c>
    </row>
    <row r="384" spans="1:29" s="82" customFormat="1" ht="16.5" customHeight="1">
      <c r="A384" s="1267"/>
      <c r="B384" s="97" t="s">
        <v>826</v>
      </c>
      <c r="C384" s="171">
        <v>6</v>
      </c>
      <c r="D384" s="171"/>
      <c r="E384" s="172" t="s">
        <v>389</v>
      </c>
      <c r="F384" s="173"/>
      <c r="G384" s="104"/>
      <c r="H384" s="103"/>
      <c r="I384" s="105"/>
      <c r="J384" s="104"/>
      <c r="K384" s="104"/>
      <c r="L384" s="104"/>
      <c r="M384" s="104">
        <f t="shared" ref="M384" si="661">F384*60%</f>
        <v>0</v>
      </c>
      <c r="N384" s="104"/>
      <c r="O384" s="104"/>
      <c r="P384" s="104"/>
      <c r="Q384" s="104"/>
      <c r="R384" s="104"/>
      <c r="S384" s="104"/>
      <c r="T384" s="105"/>
      <c r="U384" s="100">
        <f t="shared" ref="U384" si="662">SUM(I384,L384)</f>
        <v>0</v>
      </c>
      <c r="V384" s="130"/>
      <c r="W384" s="134">
        <f t="shared" ref="W384:W385" si="663">ROUNDUP(U384*1/12,-1)</f>
        <v>0</v>
      </c>
      <c r="X384" s="106"/>
      <c r="Y384" s="106">
        <f t="shared" ref="Y384:Y395" si="664">ROUNDUP((U384-L384)*3.06%,-1)</f>
        <v>0</v>
      </c>
      <c r="Z384" s="106">
        <f t="shared" ref="Z384:Z395" si="665">ROUNDUP(Y384*6.55%,-1)</f>
        <v>0</v>
      </c>
      <c r="AA384" s="106">
        <f t="shared" ref="AA384:AA395" si="666">ROUND(U384*0.9%,-1)</f>
        <v>0</v>
      </c>
      <c r="AB384" s="106">
        <f t="shared" ref="AB384:AB395" si="667">ROUND(U384*0.8%,-1)</f>
        <v>0</v>
      </c>
      <c r="AC384" s="107">
        <f t="shared" ref="AC384:AC395" si="668">SUM(W384:AB384)</f>
        <v>0</v>
      </c>
    </row>
    <row r="385" spans="1:29" s="82" customFormat="1" ht="16.5" customHeight="1">
      <c r="A385" s="1267"/>
      <c r="B385" s="97"/>
      <c r="C385" s="98"/>
      <c r="D385" s="98"/>
      <c r="E385" s="102" t="s">
        <v>390</v>
      </c>
      <c r="F385" s="104"/>
      <c r="G385" s="104"/>
      <c r="H385" s="104"/>
      <c r="I385" s="105"/>
      <c r="J385" s="104">
        <f t="shared" ref="J385:J395" si="669">ROUND((F384+I384+T384)*1/209*1.5,-1)</f>
        <v>0</v>
      </c>
      <c r="K385" s="104">
        <f t="shared" ref="K385" si="670">J385*40</f>
        <v>0</v>
      </c>
      <c r="L385" s="104">
        <f t="shared" ref="L385:L395" si="671">K385-R385</f>
        <v>0</v>
      </c>
      <c r="M385" s="104"/>
      <c r="N385" s="104"/>
      <c r="O385" s="104"/>
      <c r="P385" s="104"/>
      <c r="Q385" s="104">
        <f t="shared" ref="Q385" si="672">ROUND((F384+T384)*1/209*1.5,-1)</f>
        <v>0</v>
      </c>
      <c r="R385" s="104">
        <f>Q385*40</f>
        <v>0</v>
      </c>
      <c r="S385" s="104"/>
      <c r="T385" s="105"/>
      <c r="U385" s="100">
        <f t="shared" si="593"/>
        <v>0</v>
      </c>
      <c r="V385" s="130"/>
      <c r="W385" s="134">
        <f t="shared" si="663"/>
        <v>0</v>
      </c>
      <c r="X385" s="106"/>
      <c r="Y385" s="106">
        <f t="shared" si="664"/>
        <v>0</v>
      </c>
      <c r="Z385" s="106">
        <f t="shared" si="665"/>
        <v>0</v>
      </c>
      <c r="AA385" s="106">
        <f t="shared" si="666"/>
        <v>0</v>
      </c>
      <c r="AB385" s="106">
        <f t="shared" si="667"/>
        <v>0</v>
      </c>
      <c r="AC385" s="107">
        <f t="shared" si="668"/>
        <v>0</v>
      </c>
    </row>
    <row r="386" spans="1:29" s="82" customFormat="1" ht="16.5" customHeight="1">
      <c r="A386" s="1267"/>
      <c r="B386" s="97"/>
      <c r="C386" s="98"/>
      <c r="D386" s="98"/>
      <c r="E386" s="102" t="s">
        <v>391</v>
      </c>
      <c r="F386" s="104"/>
      <c r="G386" s="104"/>
      <c r="H386" s="104"/>
      <c r="I386" s="105"/>
      <c r="J386" s="104">
        <f t="shared" si="669"/>
        <v>0</v>
      </c>
      <c r="K386" s="104">
        <f t="shared" si="622"/>
        <v>0</v>
      </c>
      <c r="L386" s="104">
        <f t="shared" si="671"/>
        <v>0</v>
      </c>
      <c r="M386" s="104"/>
      <c r="N386" s="104"/>
      <c r="O386" s="104"/>
      <c r="P386" s="104"/>
      <c r="Q386" s="104">
        <f t="shared" si="601"/>
        <v>0</v>
      </c>
      <c r="R386" s="104">
        <f t="shared" ref="R386:R394" si="673">Q386*40</f>
        <v>0</v>
      </c>
      <c r="S386" s="104"/>
      <c r="T386" s="105"/>
      <c r="U386" s="100">
        <f t="shared" si="593"/>
        <v>0</v>
      </c>
      <c r="V386" s="130"/>
      <c r="W386" s="134">
        <f t="shared" si="594"/>
        <v>0</v>
      </c>
      <c r="X386" s="106"/>
      <c r="Y386" s="106">
        <f t="shared" si="664"/>
        <v>0</v>
      </c>
      <c r="Z386" s="106">
        <f t="shared" si="665"/>
        <v>0</v>
      </c>
      <c r="AA386" s="106">
        <f t="shared" si="666"/>
        <v>0</v>
      </c>
      <c r="AB386" s="106">
        <f t="shared" si="667"/>
        <v>0</v>
      </c>
      <c r="AC386" s="107">
        <f t="shared" si="668"/>
        <v>0</v>
      </c>
    </row>
    <row r="387" spans="1:29" s="82" customFormat="1" ht="16.5" customHeight="1">
      <c r="A387" s="1267"/>
      <c r="B387" s="97"/>
      <c r="C387" s="171">
        <v>7</v>
      </c>
      <c r="D387" s="171"/>
      <c r="E387" s="172" t="s">
        <v>392</v>
      </c>
      <c r="F387" s="173"/>
      <c r="G387" s="104"/>
      <c r="H387" s="104"/>
      <c r="I387" s="105"/>
      <c r="J387" s="104">
        <f t="shared" si="669"/>
        <v>0</v>
      </c>
      <c r="K387" s="104">
        <f t="shared" si="622"/>
        <v>0</v>
      </c>
      <c r="L387" s="104">
        <f t="shared" si="671"/>
        <v>0</v>
      </c>
      <c r="M387" s="104"/>
      <c r="N387" s="104"/>
      <c r="O387" s="104"/>
      <c r="P387" s="104"/>
      <c r="Q387" s="104">
        <f t="shared" si="601"/>
        <v>0</v>
      </c>
      <c r="R387" s="104">
        <f t="shared" si="673"/>
        <v>0</v>
      </c>
      <c r="S387" s="104"/>
      <c r="T387" s="105"/>
      <c r="U387" s="100">
        <f t="shared" si="593"/>
        <v>0</v>
      </c>
      <c r="V387" s="130"/>
      <c r="W387" s="134">
        <f t="shared" si="594"/>
        <v>0</v>
      </c>
      <c r="X387" s="106"/>
      <c r="Y387" s="106">
        <f t="shared" si="664"/>
        <v>0</v>
      </c>
      <c r="Z387" s="106">
        <f t="shared" si="665"/>
        <v>0</v>
      </c>
      <c r="AA387" s="106">
        <f t="shared" si="666"/>
        <v>0</v>
      </c>
      <c r="AB387" s="106">
        <f t="shared" si="667"/>
        <v>0</v>
      </c>
      <c r="AC387" s="107">
        <f t="shared" si="668"/>
        <v>0</v>
      </c>
    </row>
    <row r="388" spans="1:29" s="82" customFormat="1" ht="16.5" customHeight="1">
      <c r="A388" s="1267"/>
      <c r="B388" s="97"/>
      <c r="C388" s="98"/>
      <c r="D388" s="98"/>
      <c r="E388" s="102" t="s">
        <v>393</v>
      </c>
      <c r="F388" s="104"/>
      <c r="G388" s="104"/>
      <c r="H388" s="104"/>
      <c r="I388" s="105"/>
      <c r="J388" s="104">
        <f t="shared" si="669"/>
        <v>0</v>
      </c>
      <c r="K388" s="104">
        <f t="shared" si="622"/>
        <v>0</v>
      </c>
      <c r="L388" s="104">
        <f t="shared" si="671"/>
        <v>0</v>
      </c>
      <c r="M388" s="104"/>
      <c r="N388" s="104"/>
      <c r="O388" s="104"/>
      <c r="P388" s="104"/>
      <c r="Q388" s="104">
        <f t="shared" si="601"/>
        <v>0</v>
      </c>
      <c r="R388" s="104">
        <f t="shared" si="673"/>
        <v>0</v>
      </c>
      <c r="S388" s="104"/>
      <c r="T388" s="105"/>
      <c r="U388" s="100">
        <f t="shared" si="593"/>
        <v>0</v>
      </c>
      <c r="V388" s="130"/>
      <c r="W388" s="134">
        <f t="shared" si="594"/>
        <v>0</v>
      </c>
      <c r="X388" s="106"/>
      <c r="Y388" s="106">
        <f t="shared" si="664"/>
        <v>0</v>
      </c>
      <c r="Z388" s="106">
        <f t="shared" si="665"/>
        <v>0</v>
      </c>
      <c r="AA388" s="106">
        <f t="shared" si="666"/>
        <v>0</v>
      </c>
      <c r="AB388" s="106">
        <f t="shared" si="667"/>
        <v>0</v>
      </c>
      <c r="AC388" s="107">
        <f t="shared" si="668"/>
        <v>0</v>
      </c>
    </row>
    <row r="389" spans="1:29" s="82" customFormat="1" ht="16.5" customHeight="1">
      <c r="A389" s="1267"/>
      <c r="B389" s="97"/>
      <c r="C389" s="98"/>
      <c r="D389" s="98"/>
      <c r="E389" s="102" t="s">
        <v>394</v>
      </c>
      <c r="F389" s="104"/>
      <c r="G389" s="104"/>
      <c r="H389" s="104"/>
      <c r="I389" s="105"/>
      <c r="J389" s="104">
        <f t="shared" si="669"/>
        <v>0</v>
      </c>
      <c r="K389" s="104">
        <f t="shared" si="622"/>
        <v>0</v>
      </c>
      <c r="L389" s="104">
        <f t="shared" si="671"/>
        <v>0</v>
      </c>
      <c r="M389" s="104"/>
      <c r="N389" s="104"/>
      <c r="O389" s="104"/>
      <c r="P389" s="104"/>
      <c r="Q389" s="104">
        <f t="shared" si="601"/>
        <v>0</v>
      </c>
      <c r="R389" s="104">
        <f t="shared" si="673"/>
        <v>0</v>
      </c>
      <c r="S389" s="104"/>
      <c r="T389" s="105"/>
      <c r="U389" s="100">
        <f t="shared" si="593"/>
        <v>0</v>
      </c>
      <c r="V389" s="130"/>
      <c r="W389" s="134">
        <f t="shared" si="594"/>
        <v>0</v>
      </c>
      <c r="X389" s="106"/>
      <c r="Y389" s="106">
        <f t="shared" si="664"/>
        <v>0</v>
      </c>
      <c r="Z389" s="106">
        <f t="shared" si="665"/>
        <v>0</v>
      </c>
      <c r="AA389" s="106">
        <f t="shared" si="666"/>
        <v>0</v>
      </c>
      <c r="AB389" s="106">
        <f t="shared" si="667"/>
        <v>0</v>
      </c>
      <c r="AC389" s="107">
        <f t="shared" si="668"/>
        <v>0</v>
      </c>
    </row>
    <row r="390" spans="1:29" s="82" customFormat="1" ht="16.5" customHeight="1">
      <c r="A390" s="1267"/>
      <c r="B390" s="97"/>
      <c r="C390" s="98"/>
      <c r="D390" s="98"/>
      <c r="E390" s="102" t="s">
        <v>279</v>
      </c>
      <c r="F390" s="104"/>
      <c r="G390" s="104"/>
      <c r="H390" s="103"/>
      <c r="I390" s="105"/>
      <c r="J390" s="104">
        <f t="shared" si="669"/>
        <v>0</v>
      </c>
      <c r="K390" s="104">
        <f t="shared" si="622"/>
        <v>0</v>
      </c>
      <c r="L390" s="104">
        <f t="shared" si="671"/>
        <v>0</v>
      </c>
      <c r="M390" s="104"/>
      <c r="N390" s="104"/>
      <c r="O390" s="104"/>
      <c r="P390" s="104"/>
      <c r="Q390" s="104">
        <f t="shared" si="601"/>
        <v>0</v>
      </c>
      <c r="R390" s="104">
        <f t="shared" si="673"/>
        <v>0</v>
      </c>
      <c r="S390" s="104"/>
      <c r="T390" s="105"/>
      <c r="U390" s="100">
        <f t="shared" si="593"/>
        <v>0</v>
      </c>
      <c r="V390" s="130"/>
      <c r="W390" s="134">
        <f t="shared" si="594"/>
        <v>0</v>
      </c>
      <c r="X390" s="106"/>
      <c r="Y390" s="106">
        <f t="shared" si="664"/>
        <v>0</v>
      </c>
      <c r="Z390" s="106">
        <f t="shared" si="665"/>
        <v>0</v>
      </c>
      <c r="AA390" s="106">
        <f t="shared" si="666"/>
        <v>0</v>
      </c>
      <c r="AB390" s="106">
        <f t="shared" si="667"/>
        <v>0</v>
      </c>
      <c r="AC390" s="107">
        <f t="shared" si="668"/>
        <v>0</v>
      </c>
    </row>
    <row r="391" spans="1:29" s="82" customFormat="1" ht="16.5" customHeight="1">
      <c r="A391" s="1267"/>
      <c r="B391" s="97"/>
      <c r="C391" s="98"/>
      <c r="D391" s="98"/>
      <c r="E391" s="102" t="s">
        <v>280</v>
      </c>
      <c r="F391" s="104"/>
      <c r="G391" s="104"/>
      <c r="H391" s="104"/>
      <c r="I391" s="105"/>
      <c r="J391" s="104">
        <f t="shared" si="669"/>
        <v>0</v>
      </c>
      <c r="K391" s="104">
        <f t="shared" si="622"/>
        <v>0</v>
      </c>
      <c r="L391" s="104">
        <f t="shared" si="671"/>
        <v>0</v>
      </c>
      <c r="M391" s="104"/>
      <c r="N391" s="104"/>
      <c r="O391" s="104"/>
      <c r="P391" s="104"/>
      <c r="Q391" s="104">
        <f t="shared" si="601"/>
        <v>0</v>
      </c>
      <c r="R391" s="104">
        <f t="shared" si="673"/>
        <v>0</v>
      </c>
      <c r="S391" s="104"/>
      <c r="T391" s="105"/>
      <c r="U391" s="100">
        <f t="shared" si="593"/>
        <v>0</v>
      </c>
      <c r="V391" s="130"/>
      <c r="W391" s="134">
        <f t="shared" si="594"/>
        <v>0</v>
      </c>
      <c r="X391" s="106"/>
      <c r="Y391" s="106">
        <f t="shared" si="664"/>
        <v>0</v>
      </c>
      <c r="Z391" s="106">
        <f t="shared" si="665"/>
        <v>0</v>
      </c>
      <c r="AA391" s="106">
        <f t="shared" si="666"/>
        <v>0</v>
      </c>
      <c r="AB391" s="106">
        <f t="shared" si="667"/>
        <v>0</v>
      </c>
      <c r="AC391" s="107">
        <f t="shared" si="668"/>
        <v>0</v>
      </c>
    </row>
    <row r="392" spans="1:29" s="82" customFormat="1" ht="16.5" customHeight="1">
      <c r="A392" s="1267"/>
      <c r="B392" s="97"/>
      <c r="C392" s="98"/>
      <c r="D392" s="98"/>
      <c r="E392" s="102" t="s">
        <v>54</v>
      </c>
      <c r="F392" s="104"/>
      <c r="G392" s="104"/>
      <c r="H392" s="104"/>
      <c r="I392" s="105"/>
      <c r="J392" s="104">
        <f t="shared" si="669"/>
        <v>0</v>
      </c>
      <c r="K392" s="104">
        <f t="shared" si="622"/>
        <v>0</v>
      </c>
      <c r="L392" s="104">
        <f t="shared" si="671"/>
        <v>0</v>
      </c>
      <c r="M392" s="104">
        <f t="shared" ref="M392" si="674">F392*60%</f>
        <v>0</v>
      </c>
      <c r="N392" s="104"/>
      <c r="O392" s="104"/>
      <c r="P392" s="104"/>
      <c r="Q392" s="104">
        <f t="shared" si="601"/>
        <v>0</v>
      </c>
      <c r="R392" s="104">
        <f t="shared" si="673"/>
        <v>0</v>
      </c>
      <c r="S392" s="104"/>
      <c r="T392" s="105"/>
      <c r="U392" s="100">
        <f t="shared" si="593"/>
        <v>0</v>
      </c>
      <c r="V392" s="130"/>
      <c r="W392" s="134">
        <f t="shared" si="594"/>
        <v>0</v>
      </c>
      <c r="X392" s="106"/>
      <c r="Y392" s="106">
        <f t="shared" si="664"/>
        <v>0</v>
      </c>
      <c r="Z392" s="106">
        <f t="shared" si="665"/>
        <v>0</v>
      </c>
      <c r="AA392" s="106">
        <f t="shared" si="666"/>
        <v>0</v>
      </c>
      <c r="AB392" s="106">
        <f t="shared" si="667"/>
        <v>0</v>
      </c>
      <c r="AC392" s="107">
        <f t="shared" si="668"/>
        <v>0</v>
      </c>
    </row>
    <row r="393" spans="1:29" s="82" customFormat="1" ht="16.5" customHeight="1">
      <c r="A393" s="1267"/>
      <c r="B393" s="97"/>
      <c r="C393" s="98"/>
      <c r="D393" s="98"/>
      <c r="E393" s="102" t="s">
        <v>55</v>
      </c>
      <c r="F393" s="104"/>
      <c r="G393" s="104"/>
      <c r="H393" s="104"/>
      <c r="I393" s="105"/>
      <c r="J393" s="104">
        <f t="shared" si="669"/>
        <v>0</v>
      </c>
      <c r="K393" s="104">
        <f t="shared" si="622"/>
        <v>0</v>
      </c>
      <c r="L393" s="104">
        <f t="shared" si="671"/>
        <v>0</v>
      </c>
      <c r="M393" s="104"/>
      <c r="N393" s="104"/>
      <c r="O393" s="104"/>
      <c r="P393" s="104"/>
      <c r="Q393" s="104">
        <f t="shared" si="601"/>
        <v>0</v>
      </c>
      <c r="R393" s="104">
        <f t="shared" si="673"/>
        <v>0</v>
      </c>
      <c r="S393" s="104"/>
      <c r="T393" s="105"/>
      <c r="U393" s="100">
        <f t="shared" si="593"/>
        <v>0</v>
      </c>
      <c r="V393" s="130"/>
      <c r="W393" s="134">
        <f t="shared" si="594"/>
        <v>0</v>
      </c>
      <c r="X393" s="106"/>
      <c r="Y393" s="106">
        <f t="shared" si="664"/>
        <v>0</v>
      </c>
      <c r="Z393" s="106">
        <f t="shared" si="665"/>
        <v>0</v>
      </c>
      <c r="AA393" s="106">
        <f t="shared" si="666"/>
        <v>0</v>
      </c>
      <c r="AB393" s="106">
        <f t="shared" si="667"/>
        <v>0</v>
      </c>
      <c r="AC393" s="107">
        <f t="shared" si="668"/>
        <v>0</v>
      </c>
    </row>
    <row r="394" spans="1:29" s="82" customFormat="1" ht="16.5" customHeight="1">
      <c r="A394" s="1267"/>
      <c r="B394" s="97"/>
      <c r="C394" s="98"/>
      <c r="D394" s="98"/>
      <c r="E394" s="102" t="s">
        <v>56</v>
      </c>
      <c r="F394" s="104"/>
      <c r="G394" s="104"/>
      <c r="H394" s="104"/>
      <c r="I394" s="105"/>
      <c r="J394" s="104">
        <f t="shared" si="669"/>
        <v>0</v>
      </c>
      <c r="K394" s="104">
        <f t="shared" si="622"/>
        <v>0</v>
      </c>
      <c r="L394" s="104">
        <f t="shared" si="671"/>
        <v>0</v>
      </c>
      <c r="M394" s="104"/>
      <c r="N394" s="104"/>
      <c r="O394" s="104"/>
      <c r="P394" s="104"/>
      <c r="Q394" s="104">
        <f t="shared" si="601"/>
        <v>0</v>
      </c>
      <c r="R394" s="104">
        <f t="shared" si="673"/>
        <v>0</v>
      </c>
      <c r="S394" s="104"/>
      <c r="T394" s="105"/>
      <c r="U394" s="100">
        <f t="shared" si="593"/>
        <v>0</v>
      </c>
      <c r="V394" s="130"/>
      <c r="W394" s="134">
        <f t="shared" si="594"/>
        <v>0</v>
      </c>
      <c r="X394" s="106"/>
      <c r="Y394" s="106">
        <f t="shared" si="664"/>
        <v>0</v>
      </c>
      <c r="Z394" s="106">
        <f t="shared" si="665"/>
        <v>0</v>
      </c>
      <c r="AA394" s="106">
        <f t="shared" si="666"/>
        <v>0</v>
      </c>
      <c r="AB394" s="106">
        <f t="shared" si="667"/>
        <v>0</v>
      </c>
      <c r="AC394" s="107">
        <f t="shared" si="668"/>
        <v>0</v>
      </c>
    </row>
    <row r="395" spans="1:29" s="82" customFormat="1" ht="16.5" customHeight="1">
      <c r="A395" s="1267"/>
      <c r="B395" s="97"/>
      <c r="C395" s="98"/>
      <c r="D395" s="98"/>
      <c r="E395" s="102" t="s">
        <v>395</v>
      </c>
      <c r="F395" s="104"/>
      <c r="G395" s="104"/>
      <c r="H395" s="104"/>
      <c r="I395" s="105"/>
      <c r="J395" s="104">
        <f t="shared" si="669"/>
        <v>0</v>
      </c>
      <c r="K395" s="104">
        <f t="shared" ref="K395" si="675">J395*40*2</f>
        <v>0</v>
      </c>
      <c r="L395" s="104">
        <f t="shared" si="671"/>
        <v>0</v>
      </c>
      <c r="M395" s="104"/>
      <c r="N395" s="104"/>
      <c r="O395" s="104"/>
      <c r="P395" s="104"/>
      <c r="Q395" s="104">
        <f t="shared" si="601"/>
        <v>0</v>
      </c>
      <c r="R395" s="104">
        <f>Q395*40*2</f>
        <v>0</v>
      </c>
      <c r="S395" s="104"/>
      <c r="T395" s="105"/>
      <c r="U395" s="100">
        <f t="shared" si="593"/>
        <v>0</v>
      </c>
      <c r="V395" s="130"/>
      <c r="W395" s="134">
        <f t="shared" si="594"/>
        <v>0</v>
      </c>
      <c r="X395" s="106"/>
      <c r="Y395" s="106">
        <f t="shared" si="664"/>
        <v>0</v>
      </c>
      <c r="Z395" s="106">
        <f t="shared" si="665"/>
        <v>0</v>
      </c>
      <c r="AA395" s="106">
        <f t="shared" si="666"/>
        <v>0</v>
      </c>
      <c r="AB395" s="106">
        <f t="shared" si="667"/>
        <v>0</v>
      </c>
      <c r="AC395" s="107">
        <f t="shared" si="668"/>
        <v>0</v>
      </c>
    </row>
    <row r="396" spans="1:29" s="82" customFormat="1" ht="15.75" customHeight="1">
      <c r="A396" s="1267">
        <v>31</v>
      </c>
      <c r="B396" s="97" t="s">
        <v>87</v>
      </c>
      <c r="C396" s="98" t="s">
        <v>821</v>
      </c>
      <c r="D396" s="98">
        <v>1</v>
      </c>
      <c r="E396" s="99" t="s">
        <v>86</v>
      </c>
      <c r="F396" s="100">
        <f t="shared" ref="F396" si="676">SUM(F397:F408)</f>
        <v>0</v>
      </c>
      <c r="G396" s="100">
        <f t="shared" ref="G396:N396" si="677">SUM(G397:G408)</f>
        <v>0</v>
      </c>
      <c r="H396" s="100">
        <f t="shared" si="677"/>
        <v>0</v>
      </c>
      <c r="I396" s="100">
        <f t="shared" ref="I396" si="678">SUM(I397:I408)</f>
        <v>0</v>
      </c>
      <c r="J396" s="100">
        <f t="shared" si="677"/>
        <v>0</v>
      </c>
      <c r="K396" s="100">
        <f t="shared" si="677"/>
        <v>0</v>
      </c>
      <c r="L396" s="100">
        <f t="shared" si="677"/>
        <v>0</v>
      </c>
      <c r="M396" s="100">
        <f t="shared" si="677"/>
        <v>0</v>
      </c>
      <c r="N396" s="100">
        <f t="shared" si="677"/>
        <v>0</v>
      </c>
      <c r="O396" s="100">
        <f t="shared" ref="O396" si="679">SUM(O397:O408)</f>
        <v>0</v>
      </c>
      <c r="P396" s="100"/>
      <c r="Q396" s="100"/>
      <c r="R396" s="100">
        <f t="shared" ref="R396:R422" si="680">SUM(R397:R408)</f>
        <v>0</v>
      </c>
      <c r="S396" s="100">
        <f>SUM(S397:S408)</f>
        <v>0</v>
      </c>
      <c r="T396" s="100"/>
      <c r="U396" s="100">
        <f t="shared" ref="U396" si="681">SUM(U397:U408)</f>
        <v>0</v>
      </c>
      <c r="V396" s="130"/>
      <c r="W396" s="143">
        <f t="shared" ref="W396" si="682">SUM(W397:W408)</f>
        <v>0</v>
      </c>
      <c r="X396" s="100">
        <f t="shared" ref="X396" si="683">SUM(X397:X408)</f>
        <v>0</v>
      </c>
      <c r="Y396" s="100">
        <f t="shared" ref="Y396:AB396" si="684">SUM(Y397:Y408)</f>
        <v>0</v>
      </c>
      <c r="Z396" s="100">
        <f t="shared" si="684"/>
        <v>0</v>
      </c>
      <c r="AA396" s="100">
        <f t="shared" si="684"/>
        <v>0</v>
      </c>
      <c r="AB396" s="100">
        <f t="shared" si="684"/>
        <v>0</v>
      </c>
      <c r="AC396" s="101">
        <f>SUM(AC397:AC408)</f>
        <v>0</v>
      </c>
    </row>
    <row r="397" spans="1:29" s="82" customFormat="1" ht="15.75" customHeight="1">
      <c r="A397" s="1267"/>
      <c r="B397" s="97" t="s">
        <v>827</v>
      </c>
      <c r="C397" s="171">
        <v>6</v>
      </c>
      <c r="D397" s="171"/>
      <c r="E397" s="172" t="s">
        <v>389</v>
      </c>
      <c r="F397" s="173"/>
      <c r="G397" s="104"/>
      <c r="H397" s="103"/>
      <c r="I397" s="105"/>
      <c r="J397" s="104"/>
      <c r="K397" s="104"/>
      <c r="L397" s="104"/>
      <c r="M397" s="104">
        <f t="shared" ref="M397" si="685">F397*60%</f>
        <v>0</v>
      </c>
      <c r="N397" s="104"/>
      <c r="O397" s="104"/>
      <c r="P397" s="104"/>
      <c r="Q397" s="104"/>
      <c r="R397" s="104"/>
      <c r="S397" s="104"/>
      <c r="T397" s="105"/>
      <c r="U397" s="100">
        <f t="shared" ref="U397" si="686">SUM(I397,L397)</f>
        <v>0</v>
      </c>
      <c r="V397" s="130"/>
      <c r="W397" s="134">
        <f t="shared" ref="W397:W398" si="687">ROUNDUP(U397*1/12,-1)</f>
        <v>0</v>
      </c>
      <c r="X397" s="106"/>
      <c r="Y397" s="106">
        <f t="shared" ref="Y397:Y408" si="688">ROUNDUP((U397-L397)*3.06%,-1)</f>
        <v>0</v>
      </c>
      <c r="Z397" s="106">
        <f>ROUNDUP(Y397*6.55%,-1)</f>
        <v>0</v>
      </c>
      <c r="AA397" s="106">
        <f t="shared" ref="AA397:AA408" si="689">ROUND(U397*0.9%,-1)</f>
        <v>0</v>
      </c>
      <c r="AB397" s="106">
        <f t="shared" ref="AB397:AB408" si="690">ROUND(U397*0.8%,-1)</f>
        <v>0</v>
      </c>
      <c r="AC397" s="107">
        <f t="shared" ref="AC397:AC408" si="691">SUM(W397:AB397)</f>
        <v>0</v>
      </c>
    </row>
    <row r="398" spans="1:29" s="82" customFormat="1" ht="15.75" customHeight="1">
      <c r="A398" s="1267"/>
      <c r="B398" s="97"/>
      <c r="C398" s="98"/>
      <c r="D398" s="98"/>
      <c r="E398" s="102" t="s">
        <v>390</v>
      </c>
      <c r="F398" s="104"/>
      <c r="G398" s="104"/>
      <c r="H398" s="104"/>
      <c r="I398" s="105"/>
      <c r="J398" s="104">
        <f t="shared" ref="J398:J408" si="692">ROUND((F397+I397+T397)*1/209*1.5,-1)</f>
        <v>0</v>
      </c>
      <c r="K398" s="104">
        <f t="shared" ref="K398" si="693">J398*40</f>
        <v>0</v>
      </c>
      <c r="L398" s="104">
        <f t="shared" ref="L398:L408" si="694">K398-R398</f>
        <v>0</v>
      </c>
      <c r="M398" s="104"/>
      <c r="N398" s="104"/>
      <c r="O398" s="104"/>
      <c r="P398" s="104"/>
      <c r="Q398" s="104">
        <f t="shared" ref="Q398" si="695">ROUND((F397+T397)*1/209*1.5,-1)</f>
        <v>0</v>
      </c>
      <c r="R398" s="104">
        <f>Q398*40</f>
        <v>0</v>
      </c>
      <c r="S398" s="104"/>
      <c r="T398" s="105"/>
      <c r="U398" s="100">
        <f t="shared" si="593"/>
        <v>0</v>
      </c>
      <c r="V398" s="130"/>
      <c r="W398" s="134">
        <f t="shared" si="687"/>
        <v>0</v>
      </c>
      <c r="X398" s="106"/>
      <c r="Y398" s="106">
        <f t="shared" si="688"/>
        <v>0</v>
      </c>
      <c r="Z398" s="106">
        <f t="shared" ref="Z398:Z408" si="696">ROUNDUP(Y398*6.55%,-1)</f>
        <v>0</v>
      </c>
      <c r="AA398" s="106">
        <f t="shared" si="689"/>
        <v>0</v>
      </c>
      <c r="AB398" s="106">
        <f t="shared" si="690"/>
        <v>0</v>
      </c>
      <c r="AC398" s="107">
        <f t="shared" si="691"/>
        <v>0</v>
      </c>
    </row>
    <row r="399" spans="1:29" s="82" customFormat="1" ht="15.75" customHeight="1">
      <c r="A399" s="1267"/>
      <c r="B399" s="97"/>
      <c r="C399" s="98"/>
      <c r="D399" s="98"/>
      <c r="E399" s="102" t="s">
        <v>391</v>
      </c>
      <c r="F399" s="104"/>
      <c r="G399" s="104"/>
      <c r="H399" s="104"/>
      <c r="I399" s="105"/>
      <c r="J399" s="104">
        <f t="shared" si="692"/>
        <v>0</v>
      </c>
      <c r="K399" s="104">
        <f t="shared" si="622"/>
        <v>0</v>
      </c>
      <c r="L399" s="104">
        <f t="shared" si="694"/>
        <v>0</v>
      </c>
      <c r="M399" s="104"/>
      <c r="N399" s="104"/>
      <c r="O399" s="104"/>
      <c r="P399" s="104"/>
      <c r="Q399" s="104">
        <f t="shared" si="601"/>
        <v>0</v>
      </c>
      <c r="R399" s="104">
        <f t="shared" ref="R399:R407" si="697">Q399*40</f>
        <v>0</v>
      </c>
      <c r="S399" s="104"/>
      <c r="T399" s="105"/>
      <c r="U399" s="100">
        <f t="shared" si="593"/>
        <v>0</v>
      </c>
      <c r="V399" s="130"/>
      <c r="W399" s="134">
        <f t="shared" si="594"/>
        <v>0</v>
      </c>
      <c r="X399" s="106"/>
      <c r="Y399" s="106">
        <f t="shared" si="688"/>
        <v>0</v>
      </c>
      <c r="Z399" s="106">
        <f t="shared" si="696"/>
        <v>0</v>
      </c>
      <c r="AA399" s="106">
        <f t="shared" si="689"/>
        <v>0</v>
      </c>
      <c r="AB399" s="106">
        <f t="shared" si="690"/>
        <v>0</v>
      </c>
      <c r="AC399" s="107">
        <f t="shared" si="691"/>
        <v>0</v>
      </c>
    </row>
    <row r="400" spans="1:29" s="82" customFormat="1" ht="15.75" customHeight="1">
      <c r="A400" s="1267"/>
      <c r="B400" s="97"/>
      <c r="C400" s="98"/>
      <c r="D400" s="98"/>
      <c r="E400" s="102" t="s">
        <v>392</v>
      </c>
      <c r="F400" s="173"/>
      <c r="G400" s="104"/>
      <c r="H400" s="104"/>
      <c r="I400" s="105"/>
      <c r="J400" s="104">
        <f t="shared" si="692"/>
        <v>0</v>
      </c>
      <c r="K400" s="104">
        <f t="shared" si="622"/>
        <v>0</v>
      </c>
      <c r="L400" s="104">
        <f t="shared" si="694"/>
        <v>0</v>
      </c>
      <c r="M400" s="104"/>
      <c r="N400" s="104"/>
      <c r="O400" s="104"/>
      <c r="P400" s="104"/>
      <c r="Q400" s="104">
        <f t="shared" si="601"/>
        <v>0</v>
      </c>
      <c r="R400" s="104">
        <f t="shared" si="697"/>
        <v>0</v>
      </c>
      <c r="S400" s="104"/>
      <c r="T400" s="105"/>
      <c r="U400" s="100">
        <f t="shared" si="593"/>
        <v>0</v>
      </c>
      <c r="V400" s="130"/>
      <c r="W400" s="134">
        <f t="shared" si="594"/>
        <v>0</v>
      </c>
      <c r="X400" s="106"/>
      <c r="Y400" s="106">
        <f t="shared" si="688"/>
        <v>0</v>
      </c>
      <c r="Z400" s="106">
        <f t="shared" si="696"/>
        <v>0</v>
      </c>
      <c r="AA400" s="106">
        <f t="shared" si="689"/>
        <v>0</v>
      </c>
      <c r="AB400" s="106">
        <f t="shared" si="690"/>
        <v>0</v>
      </c>
      <c r="AC400" s="107">
        <f t="shared" si="691"/>
        <v>0</v>
      </c>
    </row>
    <row r="401" spans="1:29" s="82" customFormat="1" ht="15.75" customHeight="1">
      <c r="A401" s="1267"/>
      <c r="B401" s="97"/>
      <c r="C401" s="98"/>
      <c r="D401" s="98"/>
      <c r="E401" s="102" t="s">
        <v>393</v>
      </c>
      <c r="F401" s="104"/>
      <c r="G401" s="104"/>
      <c r="H401" s="104"/>
      <c r="I401" s="105"/>
      <c r="J401" s="104">
        <f t="shared" si="692"/>
        <v>0</v>
      </c>
      <c r="K401" s="104">
        <f t="shared" si="622"/>
        <v>0</v>
      </c>
      <c r="L401" s="104">
        <f t="shared" si="694"/>
        <v>0</v>
      </c>
      <c r="M401" s="104"/>
      <c r="N401" s="104"/>
      <c r="O401" s="104"/>
      <c r="P401" s="104"/>
      <c r="Q401" s="104">
        <f t="shared" si="601"/>
        <v>0</v>
      </c>
      <c r="R401" s="104">
        <f t="shared" si="697"/>
        <v>0</v>
      </c>
      <c r="S401" s="104"/>
      <c r="T401" s="105"/>
      <c r="U401" s="100">
        <f t="shared" si="593"/>
        <v>0</v>
      </c>
      <c r="V401" s="130"/>
      <c r="W401" s="134">
        <f t="shared" si="594"/>
        <v>0</v>
      </c>
      <c r="X401" s="106"/>
      <c r="Y401" s="106">
        <f t="shared" si="688"/>
        <v>0</v>
      </c>
      <c r="Z401" s="106">
        <f t="shared" si="696"/>
        <v>0</v>
      </c>
      <c r="AA401" s="106">
        <f t="shared" si="689"/>
        <v>0</v>
      </c>
      <c r="AB401" s="106">
        <f t="shared" si="690"/>
        <v>0</v>
      </c>
      <c r="AC401" s="107">
        <f t="shared" si="691"/>
        <v>0</v>
      </c>
    </row>
    <row r="402" spans="1:29" s="82" customFormat="1" ht="15.75" customHeight="1">
      <c r="A402" s="1267"/>
      <c r="B402" s="97"/>
      <c r="C402" s="98"/>
      <c r="D402" s="98"/>
      <c r="E402" s="102" t="s">
        <v>394</v>
      </c>
      <c r="F402" s="104"/>
      <c r="G402" s="104"/>
      <c r="H402" s="104"/>
      <c r="I402" s="105"/>
      <c r="J402" s="104">
        <f t="shared" si="692"/>
        <v>0</v>
      </c>
      <c r="K402" s="104">
        <f t="shared" si="622"/>
        <v>0</v>
      </c>
      <c r="L402" s="104">
        <f t="shared" si="694"/>
        <v>0</v>
      </c>
      <c r="M402" s="104"/>
      <c r="N402" s="104"/>
      <c r="O402" s="104"/>
      <c r="P402" s="104"/>
      <c r="Q402" s="104">
        <f t="shared" si="601"/>
        <v>0</v>
      </c>
      <c r="R402" s="104">
        <f t="shared" si="697"/>
        <v>0</v>
      </c>
      <c r="S402" s="104"/>
      <c r="T402" s="105"/>
      <c r="U402" s="100">
        <f t="shared" si="593"/>
        <v>0</v>
      </c>
      <c r="V402" s="130"/>
      <c r="W402" s="134">
        <f t="shared" si="594"/>
        <v>0</v>
      </c>
      <c r="X402" s="106"/>
      <c r="Y402" s="106">
        <f t="shared" si="688"/>
        <v>0</v>
      </c>
      <c r="Z402" s="106">
        <f t="shared" si="696"/>
        <v>0</v>
      </c>
      <c r="AA402" s="106">
        <f t="shared" si="689"/>
        <v>0</v>
      </c>
      <c r="AB402" s="106">
        <f t="shared" si="690"/>
        <v>0</v>
      </c>
      <c r="AC402" s="107">
        <f t="shared" si="691"/>
        <v>0</v>
      </c>
    </row>
    <row r="403" spans="1:29" s="82" customFormat="1" ht="15.75" customHeight="1">
      <c r="A403" s="1267"/>
      <c r="B403" s="97"/>
      <c r="C403" s="171">
        <v>7</v>
      </c>
      <c r="D403" s="171"/>
      <c r="E403" s="172" t="s">
        <v>279</v>
      </c>
      <c r="F403" s="104"/>
      <c r="G403" s="104"/>
      <c r="H403" s="103"/>
      <c r="I403" s="105"/>
      <c r="J403" s="104">
        <f t="shared" si="692"/>
        <v>0</v>
      </c>
      <c r="K403" s="104">
        <f t="shared" si="622"/>
        <v>0</v>
      </c>
      <c r="L403" s="104">
        <f t="shared" si="694"/>
        <v>0</v>
      </c>
      <c r="M403" s="104"/>
      <c r="N403" s="104"/>
      <c r="O403" s="104"/>
      <c r="P403" s="104"/>
      <c r="Q403" s="104">
        <f t="shared" si="601"/>
        <v>0</v>
      </c>
      <c r="R403" s="104">
        <f t="shared" si="697"/>
        <v>0</v>
      </c>
      <c r="S403" s="104"/>
      <c r="T403" s="105"/>
      <c r="U403" s="100">
        <f t="shared" si="593"/>
        <v>0</v>
      </c>
      <c r="V403" s="130"/>
      <c r="W403" s="134">
        <f t="shared" si="594"/>
        <v>0</v>
      </c>
      <c r="X403" s="106"/>
      <c r="Y403" s="106">
        <f t="shared" si="688"/>
        <v>0</v>
      </c>
      <c r="Z403" s="106">
        <f t="shared" si="696"/>
        <v>0</v>
      </c>
      <c r="AA403" s="106">
        <f t="shared" si="689"/>
        <v>0</v>
      </c>
      <c r="AB403" s="106">
        <f t="shared" si="690"/>
        <v>0</v>
      </c>
      <c r="AC403" s="107">
        <f t="shared" si="691"/>
        <v>0</v>
      </c>
    </row>
    <row r="404" spans="1:29" s="82" customFormat="1" ht="15.75" customHeight="1">
      <c r="A404" s="1267"/>
      <c r="B404" s="97"/>
      <c r="C404" s="98"/>
      <c r="D404" s="98"/>
      <c r="E404" s="102" t="s">
        <v>280</v>
      </c>
      <c r="F404" s="104"/>
      <c r="G404" s="104"/>
      <c r="H404" s="104"/>
      <c r="I404" s="105"/>
      <c r="J404" s="104">
        <f t="shared" si="692"/>
        <v>0</v>
      </c>
      <c r="K404" s="104">
        <f t="shared" si="622"/>
        <v>0</v>
      </c>
      <c r="L404" s="104">
        <f t="shared" si="694"/>
        <v>0</v>
      </c>
      <c r="M404" s="104"/>
      <c r="N404" s="104"/>
      <c r="O404" s="104"/>
      <c r="P404" s="104"/>
      <c r="Q404" s="104">
        <f t="shared" si="601"/>
        <v>0</v>
      </c>
      <c r="R404" s="104">
        <f t="shared" si="697"/>
        <v>0</v>
      </c>
      <c r="S404" s="104"/>
      <c r="T404" s="105"/>
      <c r="U404" s="100">
        <f t="shared" si="593"/>
        <v>0</v>
      </c>
      <c r="V404" s="130"/>
      <c r="W404" s="134">
        <f t="shared" si="594"/>
        <v>0</v>
      </c>
      <c r="X404" s="106"/>
      <c r="Y404" s="106">
        <f t="shared" si="688"/>
        <v>0</v>
      </c>
      <c r="Z404" s="106">
        <f t="shared" si="696"/>
        <v>0</v>
      </c>
      <c r="AA404" s="106">
        <f t="shared" si="689"/>
        <v>0</v>
      </c>
      <c r="AB404" s="106">
        <f t="shared" si="690"/>
        <v>0</v>
      </c>
      <c r="AC404" s="107">
        <f t="shared" si="691"/>
        <v>0</v>
      </c>
    </row>
    <row r="405" spans="1:29" s="82" customFormat="1" ht="15.75" customHeight="1">
      <c r="A405" s="1267"/>
      <c r="B405" s="97"/>
      <c r="C405" s="98"/>
      <c r="D405" s="98"/>
      <c r="E405" s="102" t="s">
        <v>54</v>
      </c>
      <c r="F405" s="104"/>
      <c r="G405" s="104"/>
      <c r="H405" s="104"/>
      <c r="I405" s="105"/>
      <c r="J405" s="104">
        <f t="shared" si="692"/>
        <v>0</v>
      </c>
      <c r="K405" s="104">
        <f t="shared" si="622"/>
        <v>0</v>
      </c>
      <c r="L405" s="104">
        <f t="shared" si="694"/>
        <v>0</v>
      </c>
      <c r="M405" s="104">
        <f t="shared" ref="M405" si="698">F405*60%</f>
        <v>0</v>
      </c>
      <c r="N405" s="104"/>
      <c r="O405" s="104"/>
      <c r="P405" s="104"/>
      <c r="Q405" s="104">
        <f t="shared" si="601"/>
        <v>0</v>
      </c>
      <c r="R405" s="104">
        <f t="shared" si="697"/>
        <v>0</v>
      </c>
      <c r="S405" s="104"/>
      <c r="T405" s="105"/>
      <c r="U405" s="100">
        <f t="shared" si="593"/>
        <v>0</v>
      </c>
      <c r="V405" s="130"/>
      <c r="W405" s="134">
        <f t="shared" si="594"/>
        <v>0</v>
      </c>
      <c r="X405" s="106"/>
      <c r="Y405" s="106">
        <f t="shared" si="688"/>
        <v>0</v>
      </c>
      <c r="Z405" s="106">
        <f t="shared" si="696"/>
        <v>0</v>
      </c>
      <c r="AA405" s="106">
        <f t="shared" si="689"/>
        <v>0</v>
      </c>
      <c r="AB405" s="106">
        <f t="shared" si="690"/>
        <v>0</v>
      </c>
      <c r="AC405" s="107">
        <f t="shared" si="691"/>
        <v>0</v>
      </c>
    </row>
    <row r="406" spans="1:29" s="82" customFormat="1" ht="15.75" customHeight="1">
      <c r="A406" s="1267"/>
      <c r="B406" s="97"/>
      <c r="C406" s="98"/>
      <c r="D406" s="98"/>
      <c r="E406" s="102" t="s">
        <v>55</v>
      </c>
      <c r="F406" s="104"/>
      <c r="G406" s="104"/>
      <c r="H406" s="104"/>
      <c r="I406" s="105"/>
      <c r="J406" s="104">
        <f t="shared" si="692"/>
        <v>0</v>
      </c>
      <c r="K406" s="104">
        <f t="shared" si="622"/>
        <v>0</v>
      </c>
      <c r="L406" s="104">
        <f t="shared" si="694"/>
        <v>0</v>
      </c>
      <c r="M406" s="104"/>
      <c r="N406" s="104"/>
      <c r="O406" s="104"/>
      <c r="P406" s="104"/>
      <c r="Q406" s="104">
        <f t="shared" si="601"/>
        <v>0</v>
      </c>
      <c r="R406" s="104">
        <f t="shared" si="697"/>
        <v>0</v>
      </c>
      <c r="S406" s="104"/>
      <c r="T406" s="105"/>
      <c r="U406" s="100">
        <f t="shared" si="593"/>
        <v>0</v>
      </c>
      <c r="V406" s="130"/>
      <c r="W406" s="134">
        <f t="shared" si="594"/>
        <v>0</v>
      </c>
      <c r="X406" s="106"/>
      <c r="Y406" s="106">
        <f t="shared" si="688"/>
        <v>0</v>
      </c>
      <c r="Z406" s="106">
        <f t="shared" si="696"/>
        <v>0</v>
      </c>
      <c r="AA406" s="106">
        <f t="shared" si="689"/>
        <v>0</v>
      </c>
      <c r="AB406" s="106">
        <f t="shared" si="690"/>
        <v>0</v>
      </c>
      <c r="AC406" s="107">
        <f t="shared" si="691"/>
        <v>0</v>
      </c>
    </row>
    <row r="407" spans="1:29" s="82" customFormat="1" ht="15.75" customHeight="1">
      <c r="A407" s="1267"/>
      <c r="B407" s="97"/>
      <c r="C407" s="98"/>
      <c r="D407" s="98"/>
      <c r="E407" s="102" t="s">
        <v>56</v>
      </c>
      <c r="F407" s="104"/>
      <c r="G407" s="104"/>
      <c r="H407" s="104"/>
      <c r="I407" s="105"/>
      <c r="J407" s="104">
        <f t="shared" si="692"/>
        <v>0</v>
      </c>
      <c r="K407" s="104">
        <f t="shared" si="622"/>
        <v>0</v>
      </c>
      <c r="L407" s="104">
        <f t="shared" si="694"/>
        <v>0</v>
      </c>
      <c r="M407" s="104"/>
      <c r="N407" s="104"/>
      <c r="O407" s="104"/>
      <c r="P407" s="104"/>
      <c r="Q407" s="104">
        <f t="shared" si="601"/>
        <v>0</v>
      </c>
      <c r="R407" s="104">
        <f t="shared" si="697"/>
        <v>0</v>
      </c>
      <c r="S407" s="104"/>
      <c r="T407" s="105"/>
      <c r="U407" s="100">
        <f t="shared" si="593"/>
        <v>0</v>
      </c>
      <c r="V407" s="130"/>
      <c r="W407" s="134">
        <f t="shared" si="594"/>
        <v>0</v>
      </c>
      <c r="X407" s="106"/>
      <c r="Y407" s="106">
        <f t="shared" si="688"/>
        <v>0</v>
      </c>
      <c r="Z407" s="106">
        <f t="shared" si="696"/>
        <v>0</v>
      </c>
      <c r="AA407" s="106">
        <f t="shared" si="689"/>
        <v>0</v>
      </c>
      <c r="AB407" s="106">
        <f t="shared" si="690"/>
        <v>0</v>
      </c>
      <c r="AC407" s="107">
        <f t="shared" si="691"/>
        <v>0</v>
      </c>
    </row>
    <row r="408" spans="1:29" s="82" customFormat="1" ht="16.5" customHeight="1">
      <c r="A408" s="1267"/>
      <c r="B408" s="97"/>
      <c r="C408" s="98"/>
      <c r="D408" s="98"/>
      <c r="E408" s="102" t="s">
        <v>395</v>
      </c>
      <c r="F408" s="104"/>
      <c r="G408" s="104"/>
      <c r="H408" s="104"/>
      <c r="I408" s="105"/>
      <c r="J408" s="104">
        <f t="shared" si="692"/>
        <v>0</v>
      </c>
      <c r="K408" s="104">
        <f t="shared" ref="K408" si="699">J408*40*2</f>
        <v>0</v>
      </c>
      <c r="L408" s="104">
        <f t="shared" si="694"/>
        <v>0</v>
      </c>
      <c r="M408" s="104"/>
      <c r="N408" s="104"/>
      <c r="O408" s="104"/>
      <c r="P408" s="104"/>
      <c r="Q408" s="104">
        <f t="shared" si="601"/>
        <v>0</v>
      </c>
      <c r="R408" s="104">
        <f>Q408*40*2</f>
        <v>0</v>
      </c>
      <c r="S408" s="104"/>
      <c r="T408" s="105"/>
      <c r="U408" s="100">
        <f t="shared" si="593"/>
        <v>0</v>
      </c>
      <c r="V408" s="130"/>
      <c r="W408" s="134">
        <f t="shared" si="594"/>
        <v>0</v>
      </c>
      <c r="X408" s="106"/>
      <c r="Y408" s="106">
        <f t="shared" si="688"/>
        <v>0</v>
      </c>
      <c r="Z408" s="106">
        <f t="shared" si="696"/>
        <v>0</v>
      </c>
      <c r="AA408" s="106">
        <f t="shared" si="689"/>
        <v>0</v>
      </c>
      <c r="AB408" s="106">
        <f t="shared" si="690"/>
        <v>0</v>
      </c>
      <c r="AC408" s="107">
        <f t="shared" si="691"/>
        <v>0</v>
      </c>
    </row>
    <row r="409" spans="1:29" s="82" customFormat="1" ht="16.5" customHeight="1">
      <c r="A409" s="1267">
        <v>32</v>
      </c>
      <c r="B409" s="97" t="s">
        <v>87</v>
      </c>
      <c r="C409" s="98" t="s">
        <v>524</v>
      </c>
      <c r="D409" s="98">
        <v>1</v>
      </c>
      <c r="E409" s="99" t="s">
        <v>86</v>
      </c>
      <c r="F409" s="100">
        <f t="shared" ref="F409" si="700">SUM(F410:F421)</f>
        <v>0</v>
      </c>
      <c r="G409" s="100">
        <f t="shared" ref="G409:N409" si="701">SUM(G410:G421)</f>
        <v>0</v>
      </c>
      <c r="H409" s="100">
        <f t="shared" si="701"/>
        <v>0</v>
      </c>
      <c r="I409" s="100">
        <f t="shared" ref="I409" si="702">SUM(I410:I421)</f>
        <v>0</v>
      </c>
      <c r="J409" s="100">
        <f t="shared" si="701"/>
        <v>0</v>
      </c>
      <c r="K409" s="100">
        <f t="shared" si="701"/>
        <v>0</v>
      </c>
      <c r="L409" s="100">
        <f t="shared" si="701"/>
        <v>0</v>
      </c>
      <c r="M409" s="100">
        <f t="shared" si="701"/>
        <v>0</v>
      </c>
      <c r="N409" s="100">
        <f t="shared" si="701"/>
        <v>0</v>
      </c>
      <c r="O409" s="100">
        <f t="shared" ref="O409" si="703">SUM(O410:O421)</f>
        <v>0</v>
      </c>
      <c r="P409" s="100"/>
      <c r="Q409" s="100"/>
      <c r="R409" s="100">
        <f t="shared" si="680"/>
        <v>0</v>
      </c>
      <c r="S409" s="100">
        <f>SUM(S410:S421)</f>
        <v>0</v>
      </c>
      <c r="T409" s="100"/>
      <c r="U409" s="100">
        <f t="shared" ref="U409" si="704">SUM(U410:U421)</f>
        <v>0</v>
      </c>
      <c r="V409" s="130"/>
      <c r="W409" s="143">
        <f t="shared" ref="W409" si="705">SUM(W410:W421)</f>
        <v>0</v>
      </c>
      <c r="X409" s="100">
        <f t="shared" ref="X409" si="706">SUM(X410:X421)</f>
        <v>0</v>
      </c>
      <c r="Y409" s="100">
        <f t="shared" ref="Y409:AB409" si="707">SUM(Y410:Y421)</f>
        <v>0</v>
      </c>
      <c r="Z409" s="100">
        <f t="shared" si="707"/>
        <v>0</v>
      </c>
      <c r="AA409" s="100">
        <f t="shared" si="707"/>
        <v>0</v>
      </c>
      <c r="AB409" s="100">
        <f t="shared" si="707"/>
        <v>0</v>
      </c>
      <c r="AC409" s="101">
        <f>SUM(AC410:AC421)</f>
        <v>0</v>
      </c>
    </row>
    <row r="410" spans="1:29" s="82" customFormat="1" ht="17.25" customHeight="1">
      <c r="A410" s="1267"/>
      <c r="B410" s="97" t="s">
        <v>828</v>
      </c>
      <c r="C410" s="171">
        <v>5</v>
      </c>
      <c r="D410" s="171"/>
      <c r="E410" s="172" t="s">
        <v>389</v>
      </c>
      <c r="F410" s="173"/>
      <c r="G410" s="104"/>
      <c r="H410" s="103"/>
      <c r="I410" s="105"/>
      <c r="J410" s="104"/>
      <c r="K410" s="104"/>
      <c r="L410" s="104"/>
      <c r="M410" s="104">
        <f t="shared" ref="M410" si="708">F410*60%</f>
        <v>0</v>
      </c>
      <c r="N410" s="104"/>
      <c r="O410" s="104"/>
      <c r="P410" s="104"/>
      <c r="Q410" s="104"/>
      <c r="R410" s="104"/>
      <c r="S410" s="104"/>
      <c r="T410" s="105"/>
      <c r="U410" s="100">
        <f t="shared" ref="U410:U473" si="709">SUM(I410,L410)</f>
        <v>0</v>
      </c>
      <c r="V410" s="130"/>
      <c r="W410" s="134">
        <f t="shared" ref="W410:W473" si="710">ROUNDUP(U410*1/12,-1)</f>
        <v>0</v>
      </c>
      <c r="X410" s="106"/>
      <c r="Y410" s="106">
        <f t="shared" ref="Y410:Y421" si="711">ROUNDUP((U410-L410)*3.06%,-1)</f>
        <v>0</v>
      </c>
      <c r="Z410" s="106">
        <f>ROUNDUP(Y410*6.55%,-1)</f>
        <v>0</v>
      </c>
      <c r="AA410" s="106">
        <f t="shared" ref="AA410:AA421" si="712">ROUND(U410*0.9%,-1)</f>
        <v>0</v>
      </c>
      <c r="AB410" s="106">
        <f t="shared" ref="AB410:AB421" si="713">ROUND(U410*0.8%,-1)</f>
        <v>0</v>
      </c>
      <c r="AC410" s="107">
        <f t="shared" ref="AC410:AC421" si="714">SUM(W410:AB410)</f>
        <v>0</v>
      </c>
    </row>
    <row r="411" spans="1:29" s="82" customFormat="1" ht="16.5" customHeight="1">
      <c r="A411" s="1267"/>
      <c r="B411" s="97"/>
      <c r="C411" s="98"/>
      <c r="D411" s="98"/>
      <c r="E411" s="102" t="s">
        <v>390</v>
      </c>
      <c r="F411" s="104"/>
      <c r="G411" s="104"/>
      <c r="H411" s="104"/>
      <c r="I411" s="105"/>
      <c r="J411" s="104">
        <f t="shared" ref="J411:J421" si="715">ROUND((F410+I410+T410)*1/209*1.5,-1)</f>
        <v>0</v>
      </c>
      <c r="K411" s="104">
        <f t="shared" ref="K411" si="716">J411*40</f>
        <v>0</v>
      </c>
      <c r="L411" s="104">
        <f t="shared" ref="L411:L421" si="717">K411-R411</f>
        <v>0</v>
      </c>
      <c r="M411" s="104"/>
      <c r="N411" s="104"/>
      <c r="O411" s="104"/>
      <c r="P411" s="104"/>
      <c r="Q411" s="104">
        <f t="shared" ref="Q411:Q473" si="718">ROUND((F410+T410)*1/209*1.5,-1)</f>
        <v>0</v>
      </c>
      <c r="R411" s="104">
        <f>Q411*40</f>
        <v>0</v>
      </c>
      <c r="S411" s="104"/>
      <c r="T411" s="105"/>
      <c r="U411" s="100">
        <f t="shared" si="709"/>
        <v>0</v>
      </c>
      <c r="V411" s="130"/>
      <c r="W411" s="134">
        <f t="shared" si="710"/>
        <v>0</v>
      </c>
      <c r="X411" s="106"/>
      <c r="Y411" s="106">
        <f t="shared" si="711"/>
        <v>0</v>
      </c>
      <c r="Z411" s="106">
        <f t="shared" ref="Z411:Z421" si="719">ROUNDUP(Y411*6.55%,-1)</f>
        <v>0</v>
      </c>
      <c r="AA411" s="106">
        <f t="shared" si="712"/>
        <v>0</v>
      </c>
      <c r="AB411" s="106">
        <f t="shared" si="713"/>
        <v>0</v>
      </c>
      <c r="AC411" s="107">
        <f t="shared" si="714"/>
        <v>0</v>
      </c>
    </row>
    <row r="412" spans="1:29" s="82" customFormat="1" ht="16.5" customHeight="1">
      <c r="A412" s="1267"/>
      <c r="B412" s="97"/>
      <c r="C412" s="98"/>
      <c r="D412" s="98"/>
      <c r="E412" s="102" t="s">
        <v>391</v>
      </c>
      <c r="F412" s="104"/>
      <c r="G412" s="104"/>
      <c r="H412" s="104"/>
      <c r="I412" s="105"/>
      <c r="J412" s="104">
        <f t="shared" si="715"/>
        <v>0</v>
      </c>
      <c r="K412" s="104">
        <f t="shared" si="622"/>
        <v>0</v>
      </c>
      <c r="L412" s="104">
        <f t="shared" si="717"/>
        <v>0</v>
      </c>
      <c r="M412" s="104"/>
      <c r="N412" s="104"/>
      <c r="O412" s="104"/>
      <c r="P412" s="104"/>
      <c r="Q412" s="104">
        <f t="shared" si="718"/>
        <v>0</v>
      </c>
      <c r="R412" s="104">
        <f t="shared" ref="R412:R420" si="720">Q412*40</f>
        <v>0</v>
      </c>
      <c r="S412" s="104"/>
      <c r="T412" s="105"/>
      <c r="U412" s="100">
        <f t="shared" si="709"/>
        <v>0</v>
      </c>
      <c r="V412" s="130"/>
      <c r="W412" s="134">
        <f t="shared" si="710"/>
        <v>0</v>
      </c>
      <c r="X412" s="106"/>
      <c r="Y412" s="106">
        <f t="shared" si="711"/>
        <v>0</v>
      </c>
      <c r="Z412" s="106">
        <f t="shared" si="719"/>
        <v>0</v>
      </c>
      <c r="AA412" s="106">
        <f t="shared" si="712"/>
        <v>0</v>
      </c>
      <c r="AB412" s="106">
        <f t="shared" si="713"/>
        <v>0</v>
      </c>
      <c r="AC412" s="107">
        <f t="shared" si="714"/>
        <v>0</v>
      </c>
    </row>
    <row r="413" spans="1:29" s="82" customFormat="1" ht="16.5" customHeight="1">
      <c r="A413" s="1267"/>
      <c r="B413" s="97"/>
      <c r="C413" s="98"/>
      <c r="D413" s="98"/>
      <c r="E413" s="102" t="s">
        <v>392</v>
      </c>
      <c r="F413" s="173"/>
      <c r="G413" s="104"/>
      <c r="H413" s="104"/>
      <c r="I413" s="105"/>
      <c r="J413" s="104">
        <f t="shared" si="715"/>
        <v>0</v>
      </c>
      <c r="K413" s="104">
        <f t="shared" si="622"/>
        <v>0</v>
      </c>
      <c r="L413" s="104">
        <f t="shared" si="717"/>
        <v>0</v>
      </c>
      <c r="M413" s="104"/>
      <c r="N413" s="104"/>
      <c r="O413" s="104"/>
      <c r="P413" s="104"/>
      <c r="Q413" s="104">
        <f t="shared" si="718"/>
        <v>0</v>
      </c>
      <c r="R413" s="104">
        <f t="shared" si="720"/>
        <v>0</v>
      </c>
      <c r="S413" s="104"/>
      <c r="T413" s="105"/>
      <c r="U413" s="100">
        <f t="shared" si="709"/>
        <v>0</v>
      </c>
      <c r="V413" s="130"/>
      <c r="W413" s="134">
        <f t="shared" si="710"/>
        <v>0</v>
      </c>
      <c r="X413" s="106"/>
      <c r="Y413" s="106">
        <f t="shared" si="711"/>
        <v>0</v>
      </c>
      <c r="Z413" s="106">
        <f t="shared" si="719"/>
        <v>0</v>
      </c>
      <c r="AA413" s="106">
        <f t="shared" si="712"/>
        <v>0</v>
      </c>
      <c r="AB413" s="106">
        <f t="shared" si="713"/>
        <v>0</v>
      </c>
      <c r="AC413" s="107">
        <f t="shared" si="714"/>
        <v>0</v>
      </c>
    </row>
    <row r="414" spans="1:29" s="82" customFormat="1" ht="16.5" customHeight="1">
      <c r="A414" s="1267"/>
      <c r="B414" s="97"/>
      <c r="C414" s="98"/>
      <c r="D414" s="98"/>
      <c r="E414" s="102" t="s">
        <v>393</v>
      </c>
      <c r="F414" s="104"/>
      <c r="G414" s="104"/>
      <c r="H414" s="104"/>
      <c r="I414" s="105"/>
      <c r="J414" s="104">
        <f t="shared" si="715"/>
        <v>0</v>
      </c>
      <c r="K414" s="104">
        <f t="shared" si="622"/>
        <v>0</v>
      </c>
      <c r="L414" s="104">
        <f t="shared" si="717"/>
        <v>0</v>
      </c>
      <c r="M414" s="104"/>
      <c r="N414" s="104"/>
      <c r="O414" s="104"/>
      <c r="P414" s="104"/>
      <c r="Q414" s="104">
        <f t="shared" si="718"/>
        <v>0</v>
      </c>
      <c r="R414" s="104">
        <f t="shared" si="720"/>
        <v>0</v>
      </c>
      <c r="S414" s="104"/>
      <c r="T414" s="105"/>
      <c r="U414" s="100">
        <f t="shared" si="709"/>
        <v>0</v>
      </c>
      <c r="V414" s="130"/>
      <c r="W414" s="134">
        <f t="shared" si="710"/>
        <v>0</v>
      </c>
      <c r="X414" s="106"/>
      <c r="Y414" s="106">
        <f t="shared" si="711"/>
        <v>0</v>
      </c>
      <c r="Z414" s="106">
        <f t="shared" si="719"/>
        <v>0</v>
      </c>
      <c r="AA414" s="106">
        <f t="shared" si="712"/>
        <v>0</v>
      </c>
      <c r="AB414" s="106">
        <f t="shared" si="713"/>
        <v>0</v>
      </c>
      <c r="AC414" s="107">
        <f t="shared" si="714"/>
        <v>0</v>
      </c>
    </row>
    <row r="415" spans="1:29" s="82" customFormat="1" ht="16.5" customHeight="1">
      <c r="A415" s="1267"/>
      <c r="B415" s="97"/>
      <c r="C415" s="98"/>
      <c r="D415" s="98"/>
      <c r="E415" s="102" t="s">
        <v>394</v>
      </c>
      <c r="F415" s="104"/>
      <c r="G415" s="104"/>
      <c r="H415" s="104"/>
      <c r="I415" s="105"/>
      <c r="J415" s="104">
        <f t="shared" si="715"/>
        <v>0</v>
      </c>
      <c r="K415" s="104">
        <f t="shared" si="622"/>
        <v>0</v>
      </c>
      <c r="L415" s="104">
        <f t="shared" si="717"/>
        <v>0</v>
      </c>
      <c r="M415" s="104"/>
      <c r="N415" s="104"/>
      <c r="O415" s="104"/>
      <c r="P415" s="104"/>
      <c r="Q415" s="104">
        <f t="shared" si="718"/>
        <v>0</v>
      </c>
      <c r="R415" s="104">
        <f t="shared" si="720"/>
        <v>0</v>
      </c>
      <c r="S415" s="104"/>
      <c r="T415" s="105"/>
      <c r="U415" s="100">
        <f t="shared" si="709"/>
        <v>0</v>
      </c>
      <c r="V415" s="130"/>
      <c r="W415" s="134">
        <f t="shared" si="710"/>
        <v>0</v>
      </c>
      <c r="X415" s="106"/>
      <c r="Y415" s="106">
        <f t="shared" si="711"/>
        <v>0</v>
      </c>
      <c r="Z415" s="106">
        <f t="shared" si="719"/>
        <v>0</v>
      </c>
      <c r="AA415" s="106">
        <f t="shared" si="712"/>
        <v>0</v>
      </c>
      <c r="AB415" s="106">
        <f t="shared" si="713"/>
        <v>0</v>
      </c>
      <c r="AC415" s="107">
        <f t="shared" si="714"/>
        <v>0</v>
      </c>
    </row>
    <row r="416" spans="1:29" s="82" customFormat="1" ht="16.5" customHeight="1">
      <c r="A416" s="1267"/>
      <c r="B416" s="97"/>
      <c r="C416" s="98"/>
      <c r="D416" s="98"/>
      <c r="E416" s="102" t="s">
        <v>279</v>
      </c>
      <c r="F416" s="104"/>
      <c r="G416" s="104"/>
      <c r="H416" s="103"/>
      <c r="I416" s="105"/>
      <c r="J416" s="104">
        <f t="shared" si="715"/>
        <v>0</v>
      </c>
      <c r="K416" s="104">
        <f t="shared" si="622"/>
        <v>0</v>
      </c>
      <c r="L416" s="104">
        <f t="shared" si="717"/>
        <v>0</v>
      </c>
      <c r="M416" s="104"/>
      <c r="N416" s="104"/>
      <c r="O416" s="104"/>
      <c r="P416" s="104"/>
      <c r="Q416" s="104">
        <f t="shared" si="718"/>
        <v>0</v>
      </c>
      <c r="R416" s="104">
        <f t="shared" si="720"/>
        <v>0</v>
      </c>
      <c r="S416" s="104"/>
      <c r="T416" s="105"/>
      <c r="U416" s="100">
        <f t="shared" si="709"/>
        <v>0</v>
      </c>
      <c r="V416" s="130"/>
      <c r="W416" s="134">
        <f t="shared" si="710"/>
        <v>0</v>
      </c>
      <c r="X416" s="106"/>
      <c r="Y416" s="106">
        <f t="shared" si="711"/>
        <v>0</v>
      </c>
      <c r="Z416" s="106">
        <f t="shared" si="719"/>
        <v>0</v>
      </c>
      <c r="AA416" s="106">
        <f t="shared" si="712"/>
        <v>0</v>
      </c>
      <c r="AB416" s="106">
        <f t="shared" si="713"/>
        <v>0</v>
      </c>
      <c r="AC416" s="107">
        <f t="shared" si="714"/>
        <v>0</v>
      </c>
    </row>
    <row r="417" spans="1:29" s="82" customFormat="1" ht="16.5" customHeight="1">
      <c r="A417" s="1267"/>
      <c r="B417" s="97"/>
      <c r="C417" s="171">
        <v>6</v>
      </c>
      <c r="D417" s="98"/>
      <c r="E417" s="172" t="s">
        <v>280</v>
      </c>
      <c r="F417" s="104"/>
      <c r="G417" s="104"/>
      <c r="H417" s="104"/>
      <c r="I417" s="105"/>
      <c r="J417" s="104">
        <f t="shared" si="715"/>
        <v>0</v>
      </c>
      <c r="K417" s="104">
        <f t="shared" si="622"/>
        <v>0</v>
      </c>
      <c r="L417" s="104">
        <f t="shared" si="717"/>
        <v>0</v>
      </c>
      <c r="M417" s="104"/>
      <c r="N417" s="104"/>
      <c r="O417" s="104"/>
      <c r="P417" s="104"/>
      <c r="Q417" s="104">
        <f t="shared" si="718"/>
        <v>0</v>
      </c>
      <c r="R417" s="104">
        <f t="shared" si="720"/>
        <v>0</v>
      </c>
      <c r="S417" s="104"/>
      <c r="T417" s="105"/>
      <c r="U417" s="100">
        <f t="shared" si="709"/>
        <v>0</v>
      </c>
      <c r="V417" s="130"/>
      <c r="W417" s="134">
        <f t="shared" si="710"/>
        <v>0</v>
      </c>
      <c r="X417" s="106"/>
      <c r="Y417" s="106">
        <f t="shared" si="711"/>
        <v>0</v>
      </c>
      <c r="Z417" s="106">
        <f t="shared" si="719"/>
        <v>0</v>
      </c>
      <c r="AA417" s="106">
        <f t="shared" si="712"/>
        <v>0</v>
      </c>
      <c r="AB417" s="106">
        <f t="shared" si="713"/>
        <v>0</v>
      </c>
      <c r="AC417" s="107">
        <f t="shared" si="714"/>
        <v>0</v>
      </c>
    </row>
    <row r="418" spans="1:29" s="82" customFormat="1" ht="16.5" customHeight="1">
      <c r="A418" s="1267"/>
      <c r="B418" s="97"/>
      <c r="C418" s="98"/>
      <c r="D418" s="98"/>
      <c r="E418" s="102" t="s">
        <v>54</v>
      </c>
      <c r="F418" s="104"/>
      <c r="G418" s="104"/>
      <c r="H418" s="104"/>
      <c r="I418" s="105"/>
      <c r="J418" s="104">
        <f t="shared" si="715"/>
        <v>0</v>
      </c>
      <c r="K418" s="104">
        <f t="shared" si="622"/>
        <v>0</v>
      </c>
      <c r="L418" s="104">
        <f t="shared" si="717"/>
        <v>0</v>
      </c>
      <c r="M418" s="104">
        <f t="shared" ref="M418" si="721">F418*60%</f>
        <v>0</v>
      </c>
      <c r="N418" s="104"/>
      <c r="O418" s="104"/>
      <c r="P418" s="104"/>
      <c r="Q418" s="104">
        <f t="shared" si="718"/>
        <v>0</v>
      </c>
      <c r="R418" s="104">
        <f t="shared" si="720"/>
        <v>0</v>
      </c>
      <c r="S418" s="104"/>
      <c r="T418" s="105"/>
      <c r="U418" s="100">
        <f t="shared" si="709"/>
        <v>0</v>
      </c>
      <c r="V418" s="130"/>
      <c r="W418" s="134">
        <f t="shared" si="710"/>
        <v>0</v>
      </c>
      <c r="X418" s="106"/>
      <c r="Y418" s="106">
        <f t="shared" si="711"/>
        <v>0</v>
      </c>
      <c r="Z418" s="106">
        <f t="shared" si="719"/>
        <v>0</v>
      </c>
      <c r="AA418" s="106">
        <f t="shared" si="712"/>
        <v>0</v>
      </c>
      <c r="AB418" s="106">
        <f t="shared" si="713"/>
        <v>0</v>
      </c>
      <c r="AC418" s="107">
        <f t="shared" si="714"/>
        <v>0</v>
      </c>
    </row>
    <row r="419" spans="1:29" s="82" customFormat="1" ht="16.5" customHeight="1">
      <c r="A419" s="1267"/>
      <c r="B419" s="97"/>
      <c r="C419" s="98"/>
      <c r="D419" s="98"/>
      <c r="E419" s="102" t="s">
        <v>55</v>
      </c>
      <c r="F419" s="104"/>
      <c r="G419" s="104"/>
      <c r="H419" s="104"/>
      <c r="I419" s="105"/>
      <c r="J419" s="104">
        <f t="shared" si="715"/>
        <v>0</v>
      </c>
      <c r="K419" s="104">
        <f t="shared" si="622"/>
        <v>0</v>
      </c>
      <c r="L419" s="104">
        <f t="shared" si="717"/>
        <v>0</v>
      </c>
      <c r="M419" s="104"/>
      <c r="N419" s="104"/>
      <c r="O419" s="104"/>
      <c r="P419" s="104"/>
      <c r="Q419" s="104">
        <f t="shared" si="718"/>
        <v>0</v>
      </c>
      <c r="R419" s="104">
        <f t="shared" si="720"/>
        <v>0</v>
      </c>
      <c r="S419" s="104"/>
      <c r="T419" s="105"/>
      <c r="U419" s="100">
        <f t="shared" si="709"/>
        <v>0</v>
      </c>
      <c r="V419" s="130"/>
      <c r="W419" s="134">
        <f t="shared" si="710"/>
        <v>0</v>
      </c>
      <c r="X419" s="106"/>
      <c r="Y419" s="106">
        <f t="shared" si="711"/>
        <v>0</v>
      </c>
      <c r="Z419" s="106">
        <f t="shared" si="719"/>
        <v>0</v>
      </c>
      <c r="AA419" s="106">
        <f t="shared" si="712"/>
        <v>0</v>
      </c>
      <c r="AB419" s="106">
        <f t="shared" si="713"/>
        <v>0</v>
      </c>
      <c r="AC419" s="107">
        <f t="shared" si="714"/>
        <v>0</v>
      </c>
    </row>
    <row r="420" spans="1:29" s="82" customFormat="1" ht="16.5" customHeight="1">
      <c r="A420" s="1267"/>
      <c r="B420" s="97"/>
      <c r="C420" s="98"/>
      <c r="D420" s="98"/>
      <c r="E420" s="102" t="s">
        <v>56</v>
      </c>
      <c r="F420" s="104"/>
      <c r="G420" s="104"/>
      <c r="H420" s="104"/>
      <c r="I420" s="105"/>
      <c r="J420" s="104">
        <f t="shared" si="715"/>
        <v>0</v>
      </c>
      <c r="K420" s="104">
        <f t="shared" si="622"/>
        <v>0</v>
      </c>
      <c r="L420" s="104">
        <f t="shared" si="717"/>
        <v>0</v>
      </c>
      <c r="M420" s="104"/>
      <c r="N420" s="104"/>
      <c r="O420" s="104"/>
      <c r="P420" s="104"/>
      <c r="Q420" s="104">
        <f t="shared" si="718"/>
        <v>0</v>
      </c>
      <c r="R420" s="104">
        <f t="shared" si="720"/>
        <v>0</v>
      </c>
      <c r="S420" s="104"/>
      <c r="T420" s="105"/>
      <c r="U420" s="100">
        <f t="shared" si="709"/>
        <v>0</v>
      </c>
      <c r="V420" s="130"/>
      <c r="W420" s="134">
        <f t="shared" si="710"/>
        <v>0</v>
      </c>
      <c r="X420" s="106"/>
      <c r="Y420" s="106">
        <f t="shared" si="711"/>
        <v>0</v>
      </c>
      <c r="Z420" s="106">
        <f t="shared" si="719"/>
        <v>0</v>
      </c>
      <c r="AA420" s="106">
        <f t="shared" si="712"/>
        <v>0</v>
      </c>
      <c r="AB420" s="106">
        <f t="shared" si="713"/>
        <v>0</v>
      </c>
      <c r="AC420" s="107">
        <f t="shared" si="714"/>
        <v>0</v>
      </c>
    </row>
    <row r="421" spans="1:29" s="82" customFormat="1" ht="16.5" customHeight="1">
      <c r="A421" s="1267"/>
      <c r="B421" s="97"/>
      <c r="C421" s="98"/>
      <c r="D421" s="98"/>
      <c r="E421" s="102" t="s">
        <v>395</v>
      </c>
      <c r="F421" s="104"/>
      <c r="G421" s="104"/>
      <c r="H421" s="104"/>
      <c r="I421" s="105"/>
      <c r="J421" s="104">
        <f t="shared" si="715"/>
        <v>0</v>
      </c>
      <c r="K421" s="104">
        <f t="shared" ref="K421" si="722">J421*40*2</f>
        <v>0</v>
      </c>
      <c r="L421" s="104">
        <f t="shared" si="717"/>
        <v>0</v>
      </c>
      <c r="M421" s="104"/>
      <c r="N421" s="104"/>
      <c r="O421" s="104"/>
      <c r="P421" s="104"/>
      <c r="Q421" s="104">
        <f t="shared" si="718"/>
        <v>0</v>
      </c>
      <c r="R421" s="104">
        <f>Q421*40*2</f>
        <v>0</v>
      </c>
      <c r="S421" s="104"/>
      <c r="T421" s="105"/>
      <c r="U421" s="100">
        <f t="shared" si="709"/>
        <v>0</v>
      </c>
      <c r="V421" s="130"/>
      <c r="W421" s="134">
        <f t="shared" si="710"/>
        <v>0</v>
      </c>
      <c r="X421" s="106"/>
      <c r="Y421" s="106">
        <f t="shared" si="711"/>
        <v>0</v>
      </c>
      <c r="Z421" s="106">
        <f t="shared" si="719"/>
        <v>0</v>
      </c>
      <c r="AA421" s="106">
        <f t="shared" si="712"/>
        <v>0</v>
      </c>
      <c r="AB421" s="106">
        <f t="shared" si="713"/>
        <v>0</v>
      </c>
      <c r="AC421" s="107">
        <f t="shared" si="714"/>
        <v>0</v>
      </c>
    </row>
    <row r="422" spans="1:29" s="82" customFormat="1" ht="16.5" customHeight="1">
      <c r="A422" s="1267">
        <v>33</v>
      </c>
      <c r="B422" s="97" t="s">
        <v>87</v>
      </c>
      <c r="C422" s="98" t="s">
        <v>854</v>
      </c>
      <c r="D422" s="98">
        <v>1</v>
      </c>
      <c r="E422" s="99" t="s">
        <v>86</v>
      </c>
      <c r="F422" s="100">
        <f t="shared" ref="F422" si="723">SUM(F423:F434)</f>
        <v>0</v>
      </c>
      <c r="G422" s="100">
        <f t="shared" ref="G422:N422" si="724">SUM(G423:G434)</f>
        <v>0</v>
      </c>
      <c r="H422" s="100">
        <f t="shared" si="724"/>
        <v>0</v>
      </c>
      <c r="I422" s="100">
        <f t="shared" ref="I422" si="725">SUM(I423:I434)</f>
        <v>0</v>
      </c>
      <c r="J422" s="100">
        <f t="shared" si="724"/>
        <v>0</v>
      </c>
      <c r="K422" s="100">
        <f t="shared" si="724"/>
        <v>0</v>
      </c>
      <c r="L422" s="100">
        <f t="shared" si="724"/>
        <v>0</v>
      </c>
      <c r="M422" s="100">
        <f t="shared" si="724"/>
        <v>0</v>
      </c>
      <c r="N422" s="100">
        <f t="shared" si="724"/>
        <v>0</v>
      </c>
      <c r="O422" s="100">
        <f t="shared" ref="O422" si="726">SUM(O423:O434)</f>
        <v>0</v>
      </c>
      <c r="P422" s="100"/>
      <c r="Q422" s="100"/>
      <c r="R422" s="100">
        <f t="shared" si="680"/>
        <v>0</v>
      </c>
      <c r="S422" s="100">
        <f>SUM(S423:S434)</f>
        <v>0</v>
      </c>
      <c r="T422" s="100"/>
      <c r="U422" s="100">
        <f t="shared" ref="U422" si="727">SUM(U423:U434)</f>
        <v>0</v>
      </c>
      <c r="V422" s="130"/>
      <c r="W422" s="143">
        <f t="shared" ref="W422" si="728">SUM(W423:W434)</f>
        <v>0</v>
      </c>
      <c r="X422" s="100">
        <f t="shared" ref="X422" si="729">SUM(X423:X434)</f>
        <v>0</v>
      </c>
      <c r="Y422" s="100">
        <f t="shared" ref="Y422:AB422" si="730">SUM(Y423:Y434)</f>
        <v>0</v>
      </c>
      <c r="Z422" s="100">
        <f t="shared" si="730"/>
        <v>0</v>
      </c>
      <c r="AA422" s="100">
        <f t="shared" si="730"/>
        <v>0</v>
      </c>
      <c r="AB422" s="100">
        <f t="shared" si="730"/>
        <v>0</v>
      </c>
      <c r="AC422" s="101">
        <f>SUM(AC423:AC434)</f>
        <v>0</v>
      </c>
    </row>
    <row r="423" spans="1:29" s="82" customFormat="1" ht="17.25" customHeight="1">
      <c r="A423" s="1267"/>
      <c r="B423" s="97" t="s">
        <v>829</v>
      </c>
      <c r="C423" s="171">
        <v>4</v>
      </c>
      <c r="D423" s="171"/>
      <c r="E423" s="172" t="s">
        <v>389</v>
      </c>
      <c r="F423" s="173"/>
      <c r="G423" s="104"/>
      <c r="H423" s="103"/>
      <c r="I423" s="105"/>
      <c r="J423" s="104"/>
      <c r="K423" s="104"/>
      <c r="L423" s="104"/>
      <c r="M423" s="104">
        <f t="shared" ref="M423" si="731">F423*60%</f>
        <v>0</v>
      </c>
      <c r="N423" s="104"/>
      <c r="O423" s="104"/>
      <c r="P423" s="104"/>
      <c r="Q423" s="104"/>
      <c r="R423" s="104"/>
      <c r="S423" s="104"/>
      <c r="T423" s="105"/>
      <c r="U423" s="100">
        <f t="shared" ref="U423" si="732">SUM(I423,L423)</f>
        <v>0</v>
      </c>
      <c r="V423" s="130"/>
      <c r="W423" s="134">
        <f t="shared" ref="W423:W424" si="733">ROUNDUP(U423*1/12,-1)</f>
        <v>0</v>
      </c>
      <c r="X423" s="106"/>
      <c r="Y423" s="106">
        <f t="shared" ref="Y423:Y434" si="734">ROUNDUP((U423-L423)*3.06%,-1)</f>
        <v>0</v>
      </c>
      <c r="Z423" s="106">
        <f>ROUNDUP(Y423*6.55%,-1)</f>
        <v>0</v>
      </c>
      <c r="AA423" s="106">
        <f t="shared" ref="AA423:AA434" si="735">ROUND(U423*0.9%,-1)</f>
        <v>0</v>
      </c>
      <c r="AB423" s="106">
        <f t="shared" ref="AB423:AB434" si="736">ROUND(U423*0.8%,-1)</f>
        <v>0</v>
      </c>
      <c r="AC423" s="107">
        <f t="shared" ref="AC423:AC434" si="737">SUM(W423:AB423)</f>
        <v>0</v>
      </c>
    </row>
    <row r="424" spans="1:29" s="82" customFormat="1" ht="16.5" customHeight="1">
      <c r="A424" s="1267"/>
      <c r="B424" s="97"/>
      <c r="C424" s="98"/>
      <c r="D424" s="98"/>
      <c r="E424" s="102" t="s">
        <v>390</v>
      </c>
      <c r="F424" s="104"/>
      <c r="G424" s="104"/>
      <c r="H424" s="104"/>
      <c r="I424" s="105"/>
      <c r="J424" s="104">
        <f t="shared" ref="J424:J434" si="738">ROUND((F423+I423+T423)*1/209*1.5,-1)</f>
        <v>0</v>
      </c>
      <c r="K424" s="104">
        <f t="shared" ref="K424:K433" si="739">J424*40</f>
        <v>0</v>
      </c>
      <c r="L424" s="104">
        <f t="shared" ref="L424:L434" si="740">K424-R424</f>
        <v>0</v>
      </c>
      <c r="M424" s="104"/>
      <c r="N424" s="104"/>
      <c r="O424" s="104"/>
      <c r="P424" s="104"/>
      <c r="Q424" s="104">
        <f t="shared" ref="Q424" si="741">ROUND((F423+T423)*1/209*1.5,-1)</f>
        <v>0</v>
      </c>
      <c r="R424" s="104">
        <f>Q424*40</f>
        <v>0</v>
      </c>
      <c r="S424" s="104"/>
      <c r="T424" s="105"/>
      <c r="U424" s="100">
        <f t="shared" si="709"/>
        <v>0</v>
      </c>
      <c r="V424" s="130"/>
      <c r="W424" s="134">
        <f t="shared" si="733"/>
        <v>0</v>
      </c>
      <c r="X424" s="106"/>
      <c r="Y424" s="106">
        <f t="shared" si="734"/>
        <v>0</v>
      </c>
      <c r="Z424" s="106">
        <f t="shared" ref="Z424:Z434" si="742">ROUNDUP(Y424*6.55%,-1)</f>
        <v>0</v>
      </c>
      <c r="AA424" s="106">
        <f t="shared" si="735"/>
        <v>0</v>
      </c>
      <c r="AB424" s="106">
        <f t="shared" si="736"/>
        <v>0</v>
      </c>
      <c r="AC424" s="107">
        <f t="shared" si="737"/>
        <v>0</v>
      </c>
    </row>
    <row r="425" spans="1:29" s="82" customFormat="1" ht="16.5" customHeight="1">
      <c r="A425" s="1267"/>
      <c r="B425" s="97"/>
      <c r="C425" s="171">
        <v>5</v>
      </c>
      <c r="D425" s="171"/>
      <c r="E425" s="172" t="s">
        <v>391</v>
      </c>
      <c r="F425" s="104"/>
      <c r="G425" s="104"/>
      <c r="H425" s="104"/>
      <c r="I425" s="105"/>
      <c r="J425" s="104">
        <f t="shared" si="738"/>
        <v>0</v>
      </c>
      <c r="K425" s="104">
        <f t="shared" si="739"/>
        <v>0</v>
      </c>
      <c r="L425" s="104">
        <f t="shared" si="740"/>
        <v>0</v>
      </c>
      <c r="M425" s="104"/>
      <c r="N425" s="104"/>
      <c r="O425" s="104"/>
      <c r="P425" s="104"/>
      <c r="Q425" s="104">
        <f t="shared" si="718"/>
        <v>0</v>
      </c>
      <c r="R425" s="104">
        <f t="shared" ref="R425:R433" si="743">Q425*40</f>
        <v>0</v>
      </c>
      <c r="S425" s="104"/>
      <c r="T425" s="105"/>
      <c r="U425" s="100">
        <f t="shared" si="709"/>
        <v>0</v>
      </c>
      <c r="V425" s="130"/>
      <c r="W425" s="134">
        <f t="shared" si="710"/>
        <v>0</v>
      </c>
      <c r="X425" s="106"/>
      <c r="Y425" s="106">
        <f t="shared" si="734"/>
        <v>0</v>
      </c>
      <c r="Z425" s="106">
        <f t="shared" si="742"/>
        <v>0</v>
      </c>
      <c r="AA425" s="106">
        <f t="shared" si="735"/>
        <v>0</v>
      </c>
      <c r="AB425" s="106">
        <f t="shared" si="736"/>
        <v>0</v>
      </c>
      <c r="AC425" s="107">
        <f t="shared" si="737"/>
        <v>0</v>
      </c>
    </row>
    <row r="426" spans="1:29" s="82" customFormat="1" ht="18" customHeight="1">
      <c r="A426" s="1267"/>
      <c r="B426" s="97"/>
      <c r="C426" s="98"/>
      <c r="D426" s="98"/>
      <c r="E426" s="102" t="s">
        <v>392</v>
      </c>
      <c r="F426" s="173"/>
      <c r="G426" s="104"/>
      <c r="H426" s="104"/>
      <c r="I426" s="105"/>
      <c r="J426" s="104">
        <f t="shared" si="738"/>
        <v>0</v>
      </c>
      <c r="K426" s="104">
        <f t="shared" si="739"/>
        <v>0</v>
      </c>
      <c r="L426" s="104">
        <f t="shared" si="740"/>
        <v>0</v>
      </c>
      <c r="M426" s="104"/>
      <c r="N426" s="104"/>
      <c r="O426" s="104"/>
      <c r="P426" s="104"/>
      <c r="Q426" s="104">
        <f t="shared" si="718"/>
        <v>0</v>
      </c>
      <c r="R426" s="104">
        <f t="shared" si="743"/>
        <v>0</v>
      </c>
      <c r="S426" s="104"/>
      <c r="T426" s="105"/>
      <c r="U426" s="100">
        <f t="shared" si="709"/>
        <v>0</v>
      </c>
      <c r="V426" s="130"/>
      <c r="W426" s="134">
        <f t="shared" si="710"/>
        <v>0</v>
      </c>
      <c r="X426" s="106"/>
      <c r="Y426" s="106">
        <f t="shared" si="734"/>
        <v>0</v>
      </c>
      <c r="Z426" s="106">
        <f t="shared" si="742"/>
        <v>0</v>
      </c>
      <c r="AA426" s="106">
        <f t="shared" si="735"/>
        <v>0</v>
      </c>
      <c r="AB426" s="106">
        <f t="shared" si="736"/>
        <v>0</v>
      </c>
      <c r="AC426" s="107">
        <f t="shared" si="737"/>
        <v>0</v>
      </c>
    </row>
    <row r="427" spans="1:29" s="82" customFormat="1" ht="18" customHeight="1">
      <c r="A427" s="1267"/>
      <c r="B427" s="97"/>
      <c r="C427" s="98"/>
      <c r="D427" s="98"/>
      <c r="E427" s="102" t="s">
        <v>393</v>
      </c>
      <c r="F427" s="104"/>
      <c r="G427" s="104"/>
      <c r="H427" s="104"/>
      <c r="I427" s="105"/>
      <c r="J427" s="104">
        <f t="shared" si="738"/>
        <v>0</v>
      </c>
      <c r="K427" s="104">
        <f t="shared" si="739"/>
        <v>0</v>
      </c>
      <c r="L427" s="104">
        <f t="shared" si="740"/>
        <v>0</v>
      </c>
      <c r="M427" s="104"/>
      <c r="N427" s="104"/>
      <c r="O427" s="104"/>
      <c r="P427" s="104"/>
      <c r="Q427" s="104">
        <f t="shared" si="718"/>
        <v>0</v>
      </c>
      <c r="R427" s="104">
        <f t="shared" si="743"/>
        <v>0</v>
      </c>
      <c r="S427" s="104"/>
      <c r="T427" s="105"/>
      <c r="U427" s="100">
        <f t="shared" si="709"/>
        <v>0</v>
      </c>
      <c r="V427" s="130"/>
      <c r="W427" s="134">
        <f t="shared" si="710"/>
        <v>0</v>
      </c>
      <c r="X427" s="106"/>
      <c r="Y427" s="106">
        <f t="shared" si="734"/>
        <v>0</v>
      </c>
      <c r="Z427" s="106">
        <f t="shared" si="742"/>
        <v>0</v>
      </c>
      <c r="AA427" s="106">
        <f t="shared" si="735"/>
        <v>0</v>
      </c>
      <c r="AB427" s="106">
        <f t="shared" si="736"/>
        <v>0</v>
      </c>
      <c r="AC427" s="107">
        <f t="shared" si="737"/>
        <v>0</v>
      </c>
    </row>
    <row r="428" spans="1:29" s="82" customFormat="1" ht="18" customHeight="1">
      <c r="A428" s="1267"/>
      <c r="B428" s="97"/>
      <c r="C428" s="98"/>
      <c r="D428" s="98"/>
      <c r="E428" s="102" t="s">
        <v>394</v>
      </c>
      <c r="F428" s="104"/>
      <c r="G428" s="104"/>
      <c r="H428" s="104"/>
      <c r="I428" s="105"/>
      <c r="J428" s="104">
        <f t="shared" si="738"/>
        <v>0</v>
      </c>
      <c r="K428" s="104">
        <f t="shared" si="739"/>
        <v>0</v>
      </c>
      <c r="L428" s="104">
        <f t="shared" si="740"/>
        <v>0</v>
      </c>
      <c r="M428" s="104"/>
      <c r="N428" s="104"/>
      <c r="O428" s="104"/>
      <c r="P428" s="104"/>
      <c r="Q428" s="104">
        <f t="shared" si="718"/>
        <v>0</v>
      </c>
      <c r="R428" s="104">
        <f t="shared" si="743"/>
        <v>0</v>
      </c>
      <c r="S428" s="104"/>
      <c r="T428" s="105"/>
      <c r="U428" s="100">
        <f t="shared" si="709"/>
        <v>0</v>
      </c>
      <c r="V428" s="130"/>
      <c r="W428" s="134">
        <f t="shared" si="710"/>
        <v>0</v>
      </c>
      <c r="X428" s="106"/>
      <c r="Y428" s="106">
        <f t="shared" si="734"/>
        <v>0</v>
      </c>
      <c r="Z428" s="106">
        <f t="shared" si="742"/>
        <v>0</v>
      </c>
      <c r="AA428" s="106">
        <f t="shared" si="735"/>
        <v>0</v>
      </c>
      <c r="AB428" s="106">
        <f t="shared" si="736"/>
        <v>0</v>
      </c>
      <c r="AC428" s="107">
        <f t="shared" si="737"/>
        <v>0</v>
      </c>
    </row>
    <row r="429" spans="1:29" s="82" customFormat="1" ht="16.5" customHeight="1">
      <c r="A429" s="1267"/>
      <c r="B429" s="97"/>
      <c r="C429" s="98"/>
      <c r="D429" s="98"/>
      <c r="E429" s="102" t="s">
        <v>279</v>
      </c>
      <c r="F429" s="104"/>
      <c r="G429" s="104"/>
      <c r="H429" s="103"/>
      <c r="I429" s="105"/>
      <c r="J429" s="104">
        <f t="shared" si="738"/>
        <v>0</v>
      </c>
      <c r="K429" s="104">
        <f t="shared" si="739"/>
        <v>0</v>
      </c>
      <c r="L429" s="104">
        <f t="shared" si="740"/>
        <v>0</v>
      </c>
      <c r="M429" s="104"/>
      <c r="N429" s="104"/>
      <c r="O429" s="104"/>
      <c r="P429" s="104"/>
      <c r="Q429" s="104">
        <f t="shared" si="718"/>
        <v>0</v>
      </c>
      <c r="R429" s="104">
        <f t="shared" si="743"/>
        <v>0</v>
      </c>
      <c r="S429" s="104"/>
      <c r="T429" s="105"/>
      <c r="U429" s="100">
        <f t="shared" si="709"/>
        <v>0</v>
      </c>
      <c r="V429" s="130"/>
      <c r="W429" s="134">
        <f t="shared" si="710"/>
        <v>0</v>
      </c>
      <c r="X429" s="106"/>
      <c r="Y429" s="106">
        <f t="shared" si="734"/>
        <v>0</v>
      </c>
      <c r="Z429" s="106">
        <f t="shared" si="742"/>
        <v>0</v>
      </c>
      <c r="AA429" s="106">
        <f t="shared" si="735"/>
        <v>0</v>
      </c>
      <c r="AB429" s="106">
        <f t="shared" si="736"/>
        <v>0</v>
      </c>
      <c r="AC429" s="107">
        <f t="shared" si="737"/>
        <v>0</v>
      </c>
    </row>
    <row r="430" spans="1:29" s="82" customFormat="1" ht="17.25" customHeight="1">
      <c r="A430" s="1267"/>
      <c r="B430" s="97"/>
      <c r="C430" s="98"/>
      <c r="D430" s="98"/>
      <c r="E430" s="102" t="s">
        <v>280</v>
      </c>
      <c r="F430" s="104"/>
      <c r="G430" s="104"/>
      <c r="H430" s="104"/>
      <c r="I430" s="105"/>
      <c r="J430" s="104">
        <f t="shared" si="738"/>
        <v>0</v>
      </c>
      <c r="K430" s="104">
        <f t="shared" si="739"/>
        <v>0</v>
      </c>
      <c r="L430" s="104">
        <f t="shared" si="740"/>
        <v>0</v>
      </c>
      <c r="M430" s="104"/>
      <c r="N430" s="104"/>
      <c r="O430" s="104"/>
      <c r="P430" s="104"/>
      <c r="Q430" s="104">
        <f t="shared" si="718"/>
        <v>0</v>
      </c>
      <c r="R430" s="104">
        <f t="shared" si="743"/>
        <v>0</v>
      </c>
      <c r="S430" s="104"/>
      <c r="T430" s="105"/>
      <c r="U430" s="100">
        <f t="shared" si="709"/>
        <v>0</v>
      </c>
      <c r="V430" s="130"/>
      <c r="W430" s="134">
        <f t="shared" si="710"/>
        <v>0</v>
      </c>
      <c r="X430" s="106"/>
      <c r="Y430" s="106">
        <f t="shared" si="734"/>
        <v>0</v>
      </c>
      <c r="Z430" s="106">
        <f t="shared" si="742"/>
        <v>0</v>
      </c>
      <c r="AA430" s="106">
        <f t="shared" si="735"/>
        <v>0</v>
      </c>
      <c r="AB430" s="106">
        <f t="shared" si="736"/>
        <v>0</v>
      </c>
      <c r="AC430" s="107">
        <f t="shared" si="737"/>
        <v>0</v>
      </c>
    </row>
    <row r="431" spans="1:29" s="82" customFormat="1" ht="17.25" customHeight="1">
      <c r="A431" s="1267"/>
      <c r="B431" s="97"/>
      <c r="C431" s="98"/>
      <c r="D431" s="98"/>
      <c r="E431" s="102" t="s">
        <v>54</v>
      </c>
      <c r="F431" s="104"/>
      <c r="G431" s="104"/>
      <c r="H431" s="104"/>
      <c r="I431" s="105"/>
      <c r="J431" s="104">
        <f t="shared" si="738"/>
        <v>0</v>
      </c>
      <c r="K431" s="104">
        <f t="shared" si="739"/>
        <v>0</v>
      </c>
      <c r="L431" s="104">
        <f t="shared" si="740"/>
        <v>0</v>
      </c>
      <c r="M431" s="104">
        <f t="shared" ref="M431" si="744">F431*60%</f>
        <v>0</v>
      </c>
      <c r="N431" s="104"/>
      <c r="O431" s="104"/>
      <c r="P431" s="104"/>
      <c r="Q431" s="104">
        <f t="shared" si="718"/>
        <v>0</v>
      </c>
      <c r="R431" s="104">
        <f t="shared" si="743"/>
        <v>0</v>
      </c>
      <c r="S431" s="104"/>
      <c r="T431" s="105"/>
      <c r="U431" s="100">
        <f t="shared" si="709"/>
        <v>0</v>
      </c>
      <c r="V431" s="130"/>
      <c r="W431" s="134">
        <f t="shared" si="710"/>
        <v>0</v>
      </c>
      <c r="X431" s="106"/>
      <c r="Y431" s="106">
        <f t="shared" si="734"/>
        <v>0</v>
      </c>
      <c r="Z431" s="106">
        <f t="shared" si="742"/>
        <v>0</v>
      </c>
      <c r="AA431" s="106">
        <f t="shared" si="735"/>
        <v>0</v>
      </c>
      <c r="AB431" s="106">
        <f t="shared" si="736"/>
        <v>0</v>
      </c>
      <c r="AC431" s="107">
        <f t="shared" si="737"/>
        <v>0</v>
      </c>
    </row>
    <row r="432" spans="1:29" s="82" customFormat="1" ht="17.25" customHeight="1">
      <c r="A432" s="1267"/>
      <c r="B432" s="97"/>
      <c r="C432" s="98"/>
      <c r="D432" s="98"/>
      <c r="E432" s="102" t="s">
        <v>55</v>
      </c>
      <c r="F432" s="104"/>
      <c r="G432" s="104"/>
      <c r="H432" s="104"/>
      <c r="I432" s="105"/>
      <c r="J432" s="104">
        <f t="shared" si="738"/>
        <v>0</v>
      </c>
      <c r="K432" s="104">
        <f t="shared" si="739"/>
        <v>0</v>
      </c>
      <c r="L432" s="104">
        <f t="shared" si="740"/>
        <v>0</v>
      </c>
      <c r="M432" s="104"/>
      <c r="N432" s="104"/>
      <c r="O432" s="104"/>
      <c r="P432" s="104"/>
      <c r="Q432" s="104">
        <f t="shared" si="718"/>
        <v>0</v>
      </c>
      <c r="R432" s="104">
        <f t="shared" si="743"/>
        <v>0</v>
      </c>
      <c r="S432" s="104"/>
      <c r="T432" s="105"/>
      <c r="U432" s="100">
        <f t="shared" si="709"/>
        <v>0</v>
      </c>
      <c r="V432" s="130"/>
      <c r="W432" s="134">
        <f t="shared" si="710"/>
        <v>0</v>
      </c>
      <c r="X432" s="106"/>
      <c r="Y432" s="106">
        <f t="shared" si="734"/>
        <v>0</v>
      </c>
      <c r="Z432" s="106">
        <f t="shared" si="742"/>
        <v>0</v>
      </c>
      <c r="AA432" s="106">
        <f t="shared" si="735"/>
        <v>0</v>
      </c>
      <c r="AB432" s="106">
        <f t="shared" si="736"/>
        <v>0</v>
      </c>
      <c r="AC432" s="107">
        <f t="shared" si="737"/>
        <v>0</v>
      </c>
    </row>
    <row r="433" spans="1:29" s="82" customFormat="1" ht="16.5" customHeight="1">
      <c r="A433" s="1267"/>
      <c r="B433" s="97"/>
      <c r="C433" s="98"/>
      <c r="D433" s="98"/>
      <c r="E433" s="102" t="s">
        <v>56</v>
      </c>
      <c r="F433" s="104"/>
      <c r="G433" s="104"/>
      <c r="H433" s="104"/>
      <c r="I433" s="105"/>
      <c r="J433" s="104">
        <f t="shared" si="738"/>
        <v>0</v>
      </c>
      <c r="K433" s="104">
        <f t="shared" si="739"/>
        <v>0</v>
      </c>
      <c r="L433" s="104">
        <f t="shared" si="740"/>
        <v>0</v>
      </c>
      <c r="M433" s="104"/>
      <c r="N433" s="104"/>
      <c r="O433" s="104"/>
      <c r="P433" s="104"/>
      <c r="Q433" s="104">
        <f t="shared" si="718"/>
        <v>0</v>
      </c>
      <c r="R433" s="104">
        <f t="shared" si="743"/>
        <v>0</v>
      </c>
      <c r="S433" s="104"/>
      <c r="T433" s="105"/>
      <c r="U433" s="100">
        <f t="shared" si="709"/>
        <v>0</v>
      </c>
      <c r="V433" s="130"/>
      <c r="W433" s="134">
        <f t="shared" si="710"/>
        <v>0</v>
      </c>
      <c r="X433" s="106"/>
      <c r="Y433" s="106">
        <f t="shared" si="734"/>
        <v>0</v>
      </c>
      <c r="Z433" s="106">
        <f t="shared" si="742"/>
        <v>0</v>
      </c>
      <c r="AA433" s="106">
        <f t="shared" si="735"/>
        <v>0</v>
      </c>
      <c r="AB433" s="106">
        <f t="shared" si="736"/>
        <v>0</v>
      </c>
      <c r="AC433" s="107">
        <f t="shared" si="737"/>
        <v>0</v>
      </c>
    </row>
    <row r="434" spans="1:29" s="82" customFormat="1" ht="16.5" customHeight="1">
      <c r="A434" s="1267"/>
      <c r="B434" s="97"/>
      <c r="C434" s="98"/>
      <c r="D434" s="98"/>
      <c r="E434" s="102" t="s">
        <v>395</v>
      </c>
      <c r="F434" s="104"/>
      <c r="G434" s="104"/>
      <c r="H434" s="104"/>
      <c r="I434" s="105"/>
      <c r="J434" s="104">
        <f t="shared" si="738"/>
        <v>0</v>
      </c>
      <c r="K434" s="104">
        <f t="shared" ref="K434" si="745">J434*40*2</f>
        <v>0</v>
      </c>
      <c r="L434" s="104">
        <f t="shared" si="740"/>
        <v>0</v>
      </c>
      <c r="M434" s="104"/>
      <c r="N434" s="104"/>
      <c r="O434" s="104"/>
      <c r="P434" s="104"/>
      <c r="Q434" s="104">
        <f t="shared" si="718"/>
        <v>0</v>
      </c>
      <c r="R434" s="104">
        <f>Q434*40*2</f>
        <v>0</v>
      </c>
      <c r="S434" s="104"/>
      <c r="T434" s="105"/>
      <c r="U434" s="100">
        <f t="shared" si="709"/>
        <v>0</v>
      </c>
      <c r="V434" s="130"/>
      <c r="W434" s="134">
        <f t="shared" si="710"/>
        <v>0</v>
      </c>
      <c r="X434" s="106"/>
      <c r="Y434" s="106">
        <f t="shared" si="734"/>
        <v>0</v>
      </c>
      <c r="Z434" s="106">
        <f t="shared" si="742"/>
        <v>0</v>
      </c>
      <c r="AA434" s="106">
        <f t="shared" si="735"/>
        <v>0</v>
      </c>
      <c r="AB434" s="106">
        <f t="shared" si="736"/>
        <v>0</v>
      </c>
      <c r="AC434" s="107">
        <f t="shared" si="737"/>
        <v>0</v>
      </c>
    </row>
    <row r="435" spans="1:29" s="82" customFormat="1" ht="16.5" customHeight="1">
      <c r="A435" s="1267">
        <v>34</v>
      </c>
      <c r="B435" s="97" t="s">
        <v>87</v>
      </c>
      <c r="C435" s="98" t="s">
        <v>525</v>
      </c>
      <c r="D435" s="98">
        <v>1</v>
      </c>
      <c r="E435" s="99" t="s">
        <v>86</v>
      </c>
      <c r="F435" s="100">
        <f t="shared" ref="F435" si="746">SUM(F436:F447)</f>
        <v>0</v>
      </c>
      <c r="G435" s="100">
        <f t="shared" ref="G435:N435" si="747">SUM(G436:G447)</f>
        <v>0</v>
      </c>
      <c r="H435" s="100">
        <f t="shared" si="747"/>
        <v>0</v>
      </c>
      <c r="I435" s="100">
        <f t="shared" ref="I435" si="748">SUM(I436:I447)</f>
        <v>0</v>
      </c>
      <c r="J435" s="100">
        <f t="shared" si="747"/>
        <v>0</v>
      </c>
      <c r="K435" s="100">
        <f t="shared" si="747"/>
        <v>0</v>
      </c>
      <c r="L435" s="100">
        <f t="shared" si="747"/>
        <v>0</v>
      </c>
      <c r="M435" s="100">
        <f t="shared" si="747"/>
        <v>0</v>
      </c>
      <c r="N435" s="100">
        <f t="shared" si="747"/>
        <v>0</v>
      </c>
      <c r="O435" s="100">
        <f t="shared" ref="O435" si="749">SUM(O436:O447)</f>
        <v>0</v>
      </c>
      <c r="P435" s="100"/>
      <c r="Q435" s="100"/>
      <c r="R435" s="100">
        <f t="shared" ref="R435" si="750">SUM(R436:R447)</f>
        <v>0</v>
      </c>
      <c r="S435" s="100">
        <f>SUM(S436:S447)</f>
        <v>0</v>
      </c>
      <c r="T435" s="100"/>
      <c r="U435" s="100">
        <f t="shared" ref="U435" si="751">SUM(U436:U447)</f>
        <v>0</v>
      </c>
      <c r="V435" s="130"/>
      <c r="W435" s="143">
        <f t="shared" ref="W435" si="752">SUM(W436:W447)</f>
        <v>0</v>
      </c>
      <c r="X435" s="100">
        <f t="shared" ref="X435" si="753">SUM(X436:X447)</f>
        <v>0</v>
      </c>
      <c r="Y435" s="100">
        <f t="shared" ref="Y435:AB435" si="754">SUM(Y436:Y447)</f>
        <v>0</v>
      </c>
      <c r="Z435" s="100">
        <f t="shared" si="754"/>
        <v>0</v>
      </c>
      <c r="AA435" s="100">
        <f t="shared" si="754"/>
        <v>0</v>
      </c>
      <c r="AB435" s="100">
        <f t="shared" si="754"/>
        <v>0</v>
      </c>
      <c r="AC435" s="101">
        <f>SUM(AC436:AC447)</f>
        <v>0</v>
      </c>
    </row>
    <row r="436" spans="1:29" s="82" customFormat="1" ht="17.25" customHeight="1">
      <c r="A436" s="1267"/>
      <c r="B436" s="97" t="s">
        <v>613</v>
      </c>
      <c r="C436" s="171">
        <v>4</v>
      </c>
      <c r="D436" s="171"/>
      <c r="E436" s="172" t="s">
        <v>389</v>
      </c>
      <c r="F436" s="173"/>
      <c r="G436" s="104"/>
      <c r="H436" s="103"/>
      <c r="I436" s="105"/>
      <c r="J436" s="104"/>
      <c r="K436" s="104"/>
      <c r="L436" s="104"/>
      <c r="M436" s="104">
        <f t="shared" ref="M436" si="755">F436*60%</f>
        <v>0</v>
      </c>
      <c r="N436" s="104"/>
      <c r="O436" s="104"/>
      <c r="P436" s="104"/>
      <c r="Q436" s="104"/>
      <c r="R436" s="104"/>
      <c r="S436" s="104"/>
      <c r="T436" s="105"/>
      <c r="U436" s="100">
        <f t="shared" ref="U436" si="756">SUM(I436,L436)</f>
        <v>0</v>
      </c>
      <c r="V436" s="130"/>
      <c r="W436" s="134">
        <f t="shared" ref="W436:W437" si="757">ROUNDUP(U436*1/12,-1)</f>
        <v>0</v>
      </c>
      <c r="X436" s="106"/>
      <c r="Y436" s="106">
        <f t="shared" ref="Y436:Y447" si="758">ROUNDUP((U436-L436)*3.06%,-1)</f>
        <v>0</v>
      </c>
      <c r="Z436" s="106">
        <f>ROUNDUP(Y436*6.55%,-1)</f>
        <v>0</v>
      </c>
      <c r="AA436" s="106">
        <f t="shared" ref="AA436:AA447" si="759">ROUND(U436*0.9%,-1)</f>
        <v>0</v>
      </c>
      <c r="AB436" s="106">
        <f t="shared" ref="AB436:AB447" si="760">ROUND(U436*0.8%,-1)</f>
        <v>0</v>
      </c>
      <c r="AC436" s="107">
        <f t="shared" ref="AC436:AC447" si="761">SUM(W436:AB436)</f>
        <v>0</v>
      </c>
    </row>
    <row r="437" spans="1:29" s="82" customFormat="1" ht="16.5" customHeight="1">
      <c r="A437" s="1267"/>
      <c r="B437" s="97"/>
      <c r="C437" s="98"/>
      <c r="D437" s="98"/>
      <c r="E437" s="102" t="s">
        <v>390</v>
      </c>
      <c r="F437" s="104"/>
      <c r="G437" s="104"/>
      <c r="H437" s="104"/>
      <c r="I437" s="105"/>
      <c r="J437" s="104">
        <f t="shared" ref="J437:J447" si="762">ROUND((F436+I436+T436)*1/209*1.5,-1)</f>
        <v>0</v>
      </c>
      <c r="K437" s="104">
        <f t="shared" ref="K437:K446" si="763">J437*40</f>
        <v>0</v>
      </c>
      <c r="L437" s="104">
        <f t="shared" ref="L437:L447" si="764">K437-R437</f>
        <v>0</v>
      </c>
      <c r="M437" s="104"/>
      <c r="N437" s="104"/>
      <c r="O437" s="104"/>
      <c r="P437" s="104"/>
      <c r="Q437" s="104">
        <f t="shared" ref="Q437" si="765">ROUND((F436+T436)*1/209*1.5,-1)</f>
        <v>0</v>
      </c>
      <c r="R437" s="104">
        <f>Q437*40</f>
        <v>0</v>
      </c>
      <c r="S437" s="104"/>
      <c r="T437" s="105"/>
      <c r="U437" s="100">
        <f t="shared" si="709"/>
        <v>0</v>
      </c>
      <c r="V437" s="130"/>
      <c r="W437" s="134">
        <f t="shared" si="757"/>
        <v>0</v>
      </c>
      <c r="X437" s="106"/>
      <c r="Y437" s="106">
        <f t="shared" si="758"/>
        <v>0</v>
      </c>
      <c r="Z437" s="106">
        <f t="shared" ref="Z437:Z447" si="766">ROUNDUP(Y437*6.55%,-1)</f>
        <v>0</v>
      </c>
      <c r="AA437" s="106">
        <f t="shared" si="759"/>
        <v>0</v>
      </c>
      <c r="AB437" s="106">
        <f t="shared" si="760"/>
        <v>0</v>
      </c>
      <c r="AC437" s="107">
        <f t="shared" si="761"/>
        <v>0</v>
      </c>
    </row>
    <row r="438" spans="1:29" s="82" customFormat="1" ht="16.5" customHeight="1">
      <c r="A438" s="1267"/>
      <c r="B438" s="97"/>
      <c r="C438" s="98"/>
      <c r="D438" s="98"/>
      <c r="E438" s="102" t="s">
        <v>391</v>
      </c>
      <c r="F438" s="104"/>
      <c r="G438" s="104"/>
      <c r="H438" s="104"/>
      <c r="I438" s="105"/>
      <c r="J438" s="104">
        <f t="shared" si="762"/>
        <v>0</v>
      </c>
      <c r="K438" s="104">
        <f t="shared" si="763"/>
        <v>0</v>
      </c>
      <c r="L438" s="104">
        <f t="shared" si="764"/>
        <v>0</v>
      </c>
      <c r="M438" s="104"/>
      <c r="N438" s="104"/>
      <c r="O438" s="104"/>
      <c r="P438" s="104"/>
      <c r="Q438" s="104">
        <f t="shared" si="718"/>
        <v>0</v>
      </c>
      <c r="R438" s="104">
        <f t="shared" ref="R438:R446" si="767">Q438*40</f>
        <v>0</v>
      </c>
      <c r="S438" s="104"/>
      <c r="T438" s="105"/>
      <c r="U438" s="100">
        <f t="shared" si="709"/>
        <v>0</v>
      </c>
      <c r="V438" s="130"/>
      <c r="W438" s="134">
        <f t="shared" si="710"/>
        <v>0</v>
      </c>
      <c r="X438" s="106"/>
      <c r="Y438" s="106">
        <f t="shared" si="758"/>
        <v>0</v>
      </c>
      <c r="Z438" s="106">
        <f t="shared" si="766"/>
        <v>0</v>
      </c>
      <c r="AA438" s="106">
        <f t="shared" si="759"/>
        <v>0</v>
      </c>
      <c r="AB438" s="106">
        <f t="shared" si="760"/>
        <v>0</v>
      </c>
      <c r="AC438" s="107">
        <f t="shared" si="761"/>
        <v>0</v>
      </c>
    </row>
    <row r="439" spans="1:29" s="82" customFormat="1" ht="16.5" customHeight="1">
      <c r="A439" s="1267"/>
      <c r="B439" s="97"/>
      <c r="C439" s="98"/>
      <c r="D439" s="98"/>
      <c r="E439" s="102" t="s">
        <v>392</v>
      </c>
      <c r="F439" s="173"/>
      <c r="G439" s="104"/>
      <c r="H439" s="104"/>
      <c r="I439" s="105"/>
      <c r="J439" s="104">
        <f t="shared" si="762"/>
        <v>0</v>
      </c>
      <c r="K439" s="104">
        <f t="shared" si="763"/>
        <v>0</v>
      </c>
      <c r="L439" s="104">
        <f t="shared" si="764"/>
        <v>0</v>
      </c>
      <c r="M439" s="104"/>
      <c r="N439" s="104"/>
      <c r="O439" s="104"/>
      <c r="P439" s="104"/>
      <c r="Q439" s="104">
        <f t="shared" si="718"/>
        <v>0</v>
      </c>
      <c r="R439" s="104">
        <f t="shared" si="767"/>
        <v>0</v>
      </c>
      <c r="S439" s="104"/>
      <c r="T439" s="105"/>
      <c r="U439" s="100">
        <f t="shared" si="709"/>
        <v>0</v>
      </c>
      <c r="V439" s="130"/>
      <c r="W439" s="134">
        <f t="shared" si="710"/>
        <v>0</v>
      </c>
      <c r="X439" s="106"/>
      <c r="Y439" s="106">
        <f t="shared" si="758"/>
        <v>0</v>
      </c>
      <c r="Z439" s="106">
        <f t="shared" si="766"/>
        <v>0</v>
      </c>
      <c r="AA439" s="106">
        <f t="shared" si="759"/>
        <v>0</v>
      </c>
      <c r="AB439" s="106">
        <f t="shared" si="760"/>
        <v>0</v>
      </c>
      <c r="AC439" s="107">
        <f t="shared" si="761"/>
        <v>0</v>
      </c>
    </row>
    <row r="440" spans="1:29" s="82" customFormat="1" ht="16.5" customHeight="1">
      <c r="A440" s="1267"/>
      <c r="B440" s="97"/>
      <c r="C440" s="98"/>
      <c r="D440" s="98"/>
      <c r="E440" s="102" t="s">
        <v>393</v>
      </c>
      <c r="F440" s="104"/>
      <c r="G440" s="104"/>
      <c r="H440" s="104"/>
      <c r="I440" s="105"/>
      <c r="J440" s="104">
        <f t="shared" si="762"/>
        <v>0</v>
      </c>
      <c r="K440" s="104">
        <f t="shared" si="763"/>
        <v>0</v>
      </c>
      <c r="L440" s="104">
        <f t="shared" si="764"/>
        <v>0</v>
      </c>
      <c r="M440" s="104"/>
      <c r="N440" s="104"/>
      <c r="O440" s="104"/>
      <c r="P440" s="104"/>
      <c r="Q440" s="104">
        <f t="shared" si="718"/>
        <v>0</v>
      </c>
      <c r="R440" s="104">
        <f t="shared" si="767"/>
        <v>0</v>
      </c>
      <c r="S440" s="104"/>
      <c r="T440" s="105"/>
      <c r="U440" s="100">
        <f t="shared" si="709"/>
        <v>0</v>
      </c>
      <c r="V440" s="130"/>
      <c r="W440" s="134">
        <f t="shared" si="710"/>
        <v>0</v>
      </c>
      <c r="X440" s="106"/>
      <c r="Y440" s="106">
        <f t="shared" si="758"/>
        <v>0</v>
      </c>
      <c r="Z440" s="106">
        <f t="shared" si="766"/>
        <v>0</v>
      </c>
      <c r="AA440" s="106">
        <f t="shared" si="759"/>
        <v>0</v>
      </c>
      <c r="AB440" s="106">
        <f t="shared" si="760"/>
        <v>0</v>
      </c>
      <c r="AC440" s="107">
        <f t="shared" si="761"/>
        <v>0</v>
      </c>
    </row>
    <row r="441" spans="1:29" s="82" customFormat="1" ht="16.5" customHeight="1">
      <c r="A441" s="1267"/>
      <c r="B441" s="97"/>
      <c r="C441" s="98"/>
      <c r="D441" s="98"/>
      <c r="E441" s="102" t="s">
        <v>394</v>
      </c>
      <c r="F441" s="104"/>
      <c r="G441" s="104"/>
      <c r="H441" s="104"/>
      <c r="I441" s="105"/>
      <c r="J441" s="104">
        <f t="shared" si="762"/>
        <v>0</v>
      </c>
      <c r="K441" s="104">
        <f t="shared" si="763"/>
        <v>0</v>
      </c>
      <c r="L441" s="104">
        <f t="shared" si="764"/>
        <v>0</v>
      </c>
      <c r="M441" s="104"/>
      <c r="N441" s="104"/>
      <c r="O441" s="104"/>
      <c r="P441" s="104"/>
      <c r="Q441" s="104">
        <f t="shared" si="718"/>
        <v>0</v>
      </c>
      <c r="R441" s="104">
        <f t="shared" si="767"/>
        <v>0</v>
      </c>
      <c r="S441" s="104"/>
      <c r="T441" s="105"/>
      <c r="U441" s="100">
        <f t="shared" si="709"/>
        <v>0</v>
      </c>
      <c r="V441" s="130"/>
      <c r="W441" s="134">
        <f t="shared" si="710"/>
        <v>0</v>
      </c>
      <c r="X441" s="106"/>
      <c r="Y441" s="106">
        <f t="shared" si="758"/>
        <v>0</v>
      </c>
      <c r="Z441" s="106">
        <f t="shared" si="766"/>
        <v>0</v>
      </c>
      <c r="AA441" s="106">
        <f t="shared" si="759"/>
        <v>0</v>
      </c>
      <c r="AB441" s="106">
        <f t="shared" si="760"/>
        <v>0</v>
      </c>
      <c r="AC441" s="107">
        <f t="shared" si="761"/>
        <v>0</v>
      </c>
    </row>
    <row r="442" spans="1:29" s="82" customFormat="1" ht="16.5" customHeight="1">
      <c r="A442" s="1267"/>
      <c r="B442" s="97"/>
      <c r="C442" s="171">
        <v>5</v>
      </c>
      <c r="D442" s="171"/>
      <c r="E442" s="172" t="s">
        <v>279</v>
      </c>
      <c r="F442" s="104"/>
      <c r="G442" s="104"/>
      <c r="H442" s="103"/>
      <c r="I442" s="105"/>
      <c r="J442" s="104">
        <f t="shared" si="762"/>
        <v>0</v>
      </c>
      <c r="K442" s="104">
        <f t="shared" si="763"/>
        <v>0</v>
      </c>
      <c r="L442" s="104">
        <f t="shared" si="764"/>
        <v>0</v>
      </c>
      <c r="M442" s="104"/>
      <c r="N442" s="104"/>
      <c r="O442" s="104"/>
      <c r="P442" s="104"/>
      <c r="Q442" s="104">
        <f t="shared" si="718"/>
        <v>0</v>
      </c>
      <c r="R442" s="104">
        <f t="shared" si="767"/>
        <v>0</v>
      </c>
      <c r="S442" s="104"/>
      <c r="T442" s="105"/>
      <c r="U442" s="100">
        <f t="shared" si="709"/>
        <v>0</v>
      </c>
      <c r="V442" s="130"/>
      <c r="W442" s="134">
        <f t="shared" si="710"/>
        <v>0</v>
      </c>
      <c r="X442" s="106"/>
      <c r="Y442" s="106">
        <f t="shared" si="758"/>
        <v>0</v>
      </c>
      <c r="Z442" s="106">
        <f t="shared" si="766"/>
        <v>0</v>
      </c>
      <c r="AA442" s="106">
        <f t="shared" si="759"/>
        <v>0</v>
      </c>
      <c r="AB442" s="106">
        <f t="shared" si="760"/>
        <v>0</v>
      </c>
      <c r="AC442" s="107">
        <f t="shared" si="761"/>
        <v>0</v>
      </c>
    </row>
    <row r="443" spans="1:29" s="82" customFormat="1" ht="16.5" customHeight="1">
      <c r="A443" s="1267"/>
      <c r="B443" s="97"/>
      <c r="C443" s="98"/>
      <c r="D443" s="98"/>
      <c r="E443" s="102" t="s">
        <v>280</v>
      </c>
      <c r="F443" s="104"/>
      <c r="G443" s="104"/>
      <c r="H443" s="104"/>
      <c r="I443" s="105"/>
      <c r="J443" s="104">
        <f t="shared" si="762"/>
        <v>0</v>
      </c>
      <c r="K443" s="104">
        <f t="shared" si="763"/>
        <v>0</v>
      </c>
      <c r="L443" s="104">
        <f t="shared" si="764"/>
        <v>0</v>
      </c>
      <c r="M443" s="104"/>
      <c r="N443" s="104"/>
      <c r="O443" s="104"/>
      <c r="P443" s="104"/>
      <c r="Q443" s="104">
        <f t="shared" si="718"/>
        <v>0</v>
      </c>
      <c r="R443" s="104">
        <f t="shared" si="767"/>
        <v>0</v>
      </c>
      <c r="S443" s="104"/>
      <c r="T443" s="105"/>
      <c r="U443" s="100">
        <f t="shared" si="709"/>
        <v>0</v>
      </c>
      <c r="V443" s="130"/>
      <c r="W443" s="134">
        <f t="shared" si="710"/>
        <v>0</v>
      </c>
      <c r="X443" s="106"/>
      <c r="Y443" s="106">
        <f t="shared" si="758"/>
        <v>0</v>
      </c>
      <c r="Z443" s="106">
        <f t="shared" si="766"/>
        <v>0</v>
      </c>
      <c r="AA443" s="106">
        <f t="shared" si="759"/>
        <v>0</v>
      </c>
      <c r="AB443" s="106">
        <f t="shared" si="760"/>
        <v>0</v>
      </c>
      <c r="AC443" s="107">
        <f t="shared" si="761"/>
        <v>0</v>
      </c>
    </row>
    <row r="444" spans="1:29" s="82" customFormat="1" ht="16.5" customHeight="1">
      <c r="A444" s="1267"/>
      <c r="B444" s="97"/>
      <c r="C444" s="98"/>
      <c r="D444" s="98"/>
      <c r="E444" s="102" t="s">
        <v>54</v>
      </c>
      <c r="F444" s="104"/>
      <c r="G444" s="104"/>
      <c r="H444" s="104"/>
      <c r="I444" s="105"/>
      <c r="J444" s="104">
        <f t="shared" si="762"/>
        <v>0</v>
      </c>
      <c r="K444" s="104">
        <f t="shared" si="763"/>
        <v>0</v>
      </c>
      <c r="L444" s="104">
        <f t="shared" si="764"/>
        <v>0</v>
      </c>
      <c r="M444" s="104">
        <f t="shared" ref="M444" si="768">F444*60%</f>
        <v>0</v>
      </c>
      <c r="N444" s="104"/>
      <c r="O444" s="104"/>
      <c r="P444" s="104"/>
      <c r="Q444" s="104">
        <f t="shared" si="718"/>
        <v>0</v>
      </c>
      <c r="R444" s="104">
        <f t="shared" si="767"/>
        <v>0</v>
      </c>
      <c r="S444" s="104"/>
      <c r="T444" s="105"/>
      <c r="U444" s="100">
        <f t="shared" si="709"/>
        <v>0</v>
      </c>
      <c r="V444" s="130"/>
      <c r="W444" s="134">
        <f t="shared" si="710"/>
        <v>0</v>
      </c>
      <c r="X444" s="106"/>
      <c r="Y444" s="106">
        <f t="shared" si="758"/>
        <v>0</v>
      </c>
      <c r="Z444" s="106">
        <f t="shared" si="766"/>
        <v>0</v>
      </c>
      <c r="AA444" s="106">
        <f t="shared" si="759"/>
        <v>0</v>
      </c>
      <c r="AB444" s="106">
        <f t="shared" si="760"/>
        <v>0</v>
      </c>
      <c r="AC444" s="107">
        <f t="shared" si="761"/>
        <v>0</v>
      </c>
    </row>
    <row r="445" spans="1:29" s="82" customFormat="1" ht="16.5" customHeight="1">
      <c r="A445" s="1267"/>
      <c r="B445" s="97"/>
      <c r="C445" s="98"/>
      <c r="D445" s="98"/>
      <c r="E445" s="102" t="s">
        <v>55</v>
      </c>
      <c r="F445" s="104"/>
      <c r="G445" s="104"/>
      <c r="H445" s="104"/>
      <c r="I445" s="105"/>
      <c r="J445" s="104">
        <f t="shared" si="762"/>
        <v>0</v>
      </c>
      <c r="K445" s="104">
        <f t="shared" si="763"/>
        <v>0</v>
      </c>
      <c r="L445" s="104">
        <f t="shared" si="764"/>
        <v>0</v>
      </c>
      <c r="M445" s="104"/>
      <c r="N445" s="104"/>
      <c r="O445" s="104"/>
      <c r="P445" s="104"/>
      <c r="Q445" s="104">
        <f t="shared" si="718"/>
        <v>0</v>
      </c>
      <c r="R445" s="104">
        <f t="shared" si="767"/>
        <v>0</v>
      </c>
      <c r="S445" s="104"/>
      <c r="T445" s="105"/>
      <c r="U445" s="100">
        <f t="shared" si="709"/>
        <v>0</v>
      </c>
      <c r="V445" s="130"/>
      <c r="W445" s="134">
        <f t="shared" si="710"/>
        <v>0</v>
      </c>
      <c r="X445" s="106"/>
      <c r="Y445" s="106">
        <f t="shared" si="758"/>
        <v>0</v>
      </c>
      <c r="Z445" s="106">
        <f t="shared" si="766"/>
        <v>0</v>
      </c>
      <c r="AA445" s="106">
        <f t="shared" si="759"/>
        <v>0</v>
      </c>
      <c r="AB445" s="106">
        <f t="shared" si="760"/>
        <v>0</v>
      </c>
      <c r="AC445" s="107">
        <f t="shared" si="761"/>
        <v>0</v>
      </c>
    </row>
    <row r="446" spans="1:29" s="82" customFormat="1" ht="16.5" customHeight="1">
      <c r="A446" s="1267"/>
      <c r="B446" s="97"/>
      <c r="C446" s="98"/>
      <c r="D446" s="98"/>
      <c r="E446" s="102" t="s">
        <v>56</v>
      </c>
      <c r="F446" s="104"/>
      <c r="G446" s="104"/>
      <c r="H446" s="104"/>
      <c r="I446" s="105"/>
      <c r="J446" s="104">
        <f t="shared" si="762"/>
        <v>0</v>
      </c>
      <c r="K446" s="104">
        <f t="shared" si="763"/>
        <v>0</v>
      </c>
      <c r="L446" s="104">
        <f t="shared" si="764"/>
        <v>0</v>
      </c>
      <c r="M446" s="104"/>
      <c r="N446" s="104"/>
      <c r="O446" s="104"/>
      <c r="P446" s="104"/>
      <c r="Q446" s="104">
        <f t="shared" si="718"/>
        <v>0</v>
      </c>
      <c r="R446" s="104">
        <f t="shared" si="767"/>
        <v>0</v>
      </c>
      <c r="S446" s="104"/>
      <c r="T446" s="105"/>
      <c r="U446" s="100">
        <f t="shared" si="709"/>
        <v>0</v>
      </c>
      <c r="V446" s="130"/>
      <c r="W446" s="134">
        <f t="shared" si="710"/>
        <v>0</v>
      </c>
      <c r="X446" s="106"/>
      <c r="Y446" s="106">
        <f t="shared" si="758"/>
        <v>0</v>
      </c>
      <c r="Z446" s="106">
        <f t="shared" si="766"/>
        <v>0</v>
      </c>
      <c r="AA446" s="106">
        <f t="shared" si="759"/>
        <v>0</v>
      </c>
      <c r="AB446" s="106">
        <f t="shared" si="760"/>
        <v>0</v>
      </c>
      <c r="AC446" s="107">
        <f t="shared" si="761"/>
        <v>0</v>
      </c>
    </row>
    <row r="447" spans="1:29" s="82" customFormat="1" ht="16.5" customHeight="1">
      <c r="A447" s="1267"/>
      <c r="B447" s="97"/>
      <c r="C447" s="98"/>
      <c r="D447" s="98"/>
      <c r="E447" s="102" t="s">
        <v>395</v>
      </c>
      <c r="F447" s="104"/>
      <c r="G447" s="104"/>
      <c r="H447" s="104"/>
      <c r="I447" s="105"/>
      <c r="J447" s="104">
        <f t="shared" si="762"/>
        <v>0</v>
      </c>
      <c r="K447" s="104">
        <f t="shared" ref="K447" si="769">J447*40*2</f>
        <v>0</v>
      </c>
      <c r="L447" s="104">
        <f t="shared" si="764"/>
        <v>0</v>
      </c>
      <c r="M447" s="104"/>
      <c r="N447" s="104"/>
      <c r="O447" s="104"/>
      <c r="P447" s="104"/>
      <c r="Q447" s="104">
        <f t="shared" si="718"/>
        <v>0</v>
      </c>
      <c r="R447" s="104">
        <f>Q447*40*2</f>
        <v>0</v>
      </c>
      <c r="S447" s="104"/>
      <c r="T447" s="105"/>
      <c r="U447" s="100">
        <f t="shared" si="709"/>
        <v>0</v>
      </c>
      <c r="V447" s="130"/>
      <c r="W447" s="134">
        <f t="shared" si="710"/>
        <v>0</v>
      </c>
      <c r="X447" s="106"/>
      <c r="Y447" s="106">
        <f t="shared" si="758"/>
        <v>0</v>
      </c>
      <c r="Z447" s="106">
        <f t="shared" si="766"/>
        <v>0</v>
      </c>
      <c r="AA447" s="106">
        <f t="shared" si="759"/>
        <v>0</v>
      </c>
      <c r="AB447" s="106">
        <f t="shared" si="760"/>
        <v>0</v>
      </c>
      <c r="AC447" s="107">
        <f t="shared" si="761"/>
        <v>0</v>
      </c>
    </row>
    <row r="448" spans="1:29" s="82" customFormat="1" ht="17.25" customHeight="1">
      <c r="A448" s="1267">
        <v>35</v>
      </c>
      <c r="B448" s="97" t="s">
        <v>87</v>
      </c>
      <c r="C448" s="98" t="s">
        <v>832</v>
      </c>
      <c r="D448" s="98">
        <v>1</v>
      </c>
      <c r="E448" s="99" t="s">
        <v>86</v>
      </c>
      <c r="F448" s="100">
        <f t="shared" ref="F448" si="770">SUM(F449:F460)</f>
        <v>0</v>
      </c>
      <c r="G448" s="100">
        <f t="shared" ref="G448:N448" si="771">SUM(G449:G460)</f>
        <v>0</v>
      </c>
      <c r="H448" s="100">
        <f t="shared" si="771"/>
        <v>0</v>
      </c>
      <c r="I448" s="100">
        <f t="shared" ref="I448" si="772">SUM(I449:I460)</f>
        <v>0</v>
      </c>
      <c r="J448" s="100">
        <f t="shared" si="771"/>
        <v>0</v>
      </c>
      <c r="K448" s="100">
        <f t="shared" si="771"/>
        <v>0</v>
      </c>
      <c r="L448" s="100">
        <f t="shared" si="771"/>
        <v>0</v>
      </c>
      <c r="M448" s="100">
        <f t="shared" si="771"/>
        <v>0</v>
      </c>
      <c r="N448" s="100">
        <f t="shared" si="771"/>
        <v>0</v>
      </c>
      <c r="O448" s="100">
        <f t="shared" ref="O448" si="773">SUM(O449:O460)</f>
        <v>0</v>
      </c>
      <c r="P448" s="100"/>
      <c r="Q448" s="100"/>
      <c r="R448" s="100">
        <f t="shared" ref="R448" si="774">SUM(R449:R460)</f>
        <v>0</v>
      </c>
      <c r="S448" s="100">
        <f>SUM(S449:S460)</f>
        <v>0</v>
      </c>
      <c r="T448" s="100"/>
      <c r="U448" s="100">
        <f t="shared" ref="U448" si="775">SUM(U449:U460)</f>
        <v>0</v>
      </c>
      <c r="V448" s="130"/>
      <c r="W448" s="143">
        <f t="shared" ref="W448" si="776">SUM(W449:W460)</f>
        <v>0</v>
      </c>
      <c r="X448" s="100">
        <f t="shared" ref="X448" si="777">SUM(X449:X460)</f>
        <v>0</v>
      </c>
      <c r="Y448" s="100">
        <f t="shared" ref="Y448:AB448" si="778">SUM(Y449:Y460)</f>
        <v>0</v>
      </c>
      <c r="Z448" s="100">
        <f t="shared" si="778"/>
        <v>0</v>
      </c>
      <c r="AA448" s="100">
        <f t="shared" si="778"/>
        <v>0</v>
      </c>
      <c r="AB448" s="100">
        <f t="shared" si="778"/>
        <v>0</v>
      </c>
      <c r="AC448" s="101">
        <f>SUM(AC449:AC460)</f>
        <v>0</v>
      </c>
    </row>
    <row r="449" spans="1:29" s="82" customFormat="1" ht="17.25" customHeight="1">
      <c r="A449" s="1267"/>
      <c r="B449" s="97" t="s">
        <v>851</v>
      </c>
      <c r="C449" s="171">
        <v>2</v>
      </c>
      <c r="D449" s="171"/>
      <c r="E449" s="172" t="s">
        <v>389</v>
      </c>
      <c r="F449" s="173"/>
      <c r="G449" s="104"/>
      <c r="H449" s="103"/>
      <c r="I449" s="105"/>
      <c r="J449" s="104"/>
      <c r="K449" s="104"/>
      <c r="L449" s="104"/>
      <c r="M449" s="104">
        <f t="shared" ref="M449" si="779">F449*60%</f>
        <v>0</v>
      </c>
      <c r="N449" s="104"/>
      <c r="O449" s="104"/>
      <c r="P449" s="104"/>
      <c r="Q449" s="104"/>
      <c r="R449" s="104"/>
      <c r="S449" s="104"/>
      <c r="T449" s="105"/>
      <c r="U449" s="100">
        <f t="shared" ref="U449" si="780">SUM(I449,L449)</f>
        <v>0</v>
      </c>
      <c r="V449" s="130"/>
      <c r="W449" s="134">
        <f t="shared" ref="W449:W450" si="781">ROUNDUP(U449*1/12,-1)</f>
        <v>0</v>
      </c>
      <c r="X449" s="106"/>
      <c r="Y449" s="106">
        <f t="shared" ref="Y449:Y473" si="782">ROUNDUP((U449-L449)*3.06%,-1)</f>
        <v>0</v>
      </c>
      <c r="Z449" s="106">
        <f t="shared" ref="Z449:Z460" si="783">ROUNDUP(Y449*6.55%,-1)</f>
        <v>0</v>
      </c>
      <c r="AA449" s="106">
        <f t="shared" ref="AA449:AA460" si="784">ROUND(U449*0.9%,-1)</f>
        <v>0</v>
      </c>
      <c r="AB449" s="106">
        <f t="shared" ref="AB449:AB460" si="785">ROUND(U449*0.8%,-1)</f>
        <v>0</v>
      </c>
      <c r="AC449" s="107">
        <f t="shared" ref="AC449:AC460" si="786">SUM(W449:AB449)</f>
        <v>0</v>
      </c>
    </row>
    <row r="450" spans="1:29" s="82" customFormat="1" ht="17.25" customHeight="1">
      <c r="A450" s="1267"/>
      <c r="B450" s="97"/>
      <c r="C450" s="98"/>
      <c r="D450" s="98"/>
      <c r="E450" s="102" t="s">
        <v>390</v>
      </c>
      <c r="F450" s="104"/>
      <c r="G450" s="104"/>
      <c r="H450" s="104"/>
      <c r="I450" s="105"/>
      <c r="J450" s="104">
        <f t="shared" ref="J450:J460" si="787">ROUND((F449+I449+T449)*1/209*1.5,-1)</f>
        <v>0</v>
      </c>
      <c r="K450" s="104">
        <f t="shared" ref="K450:K485" si="788">J450*40</f>
        <v>0</v>
      </c>
      <c r="L450" s="104">
        <f t="shared" ref="L450:L460" si="789">K450-R450</f>
        <v>0</v>
      </c>
      <c r="M450" s="104"/>
      <c r="N450" s="104"/>
      <c r="O450" s="104"/>
      <c r="P450" s="104"/>
      <c r="Q450" s="104">
        <f t="shared" ref="Q450" si="790">ROUND((F449+T449)*1/209*1.5,-1)</f>
        <v>0</v>
      </c>
      <c r="R450" s="104">
        <f>Q450*40</f>
        <v>0</v>
      </c>
      <c r="S450" s="104"/>
      <c r="T450" s="105"/>
      <c r="U450" s="100">
        <f t="shared" si="709"/>
        <v>0</v>
      </c>
      <c r="V450" s="130"/>
      <c r="W450" s="134">
        <f t="shared" si="781"/>
        <v>0</v>
      </c>
      <c r="X450" s="106"/>
      <c r="Y450" s="106">
        <f t="shared" si="782"/>
        <v>0</v>
      </c>
      <c r="Z450" s="106">
        <f t="shared" si="783"/>
        <v>0</v>
      </c>
      <c r="AA450" s="106">
        <f t="shared" si="784"/>
        <v>0</v>
      </c>
      <c r="AB450" s="106">
        <f t="shared" si="785"/>
        <v>0</v>
      </c>
      <c r="AC450" s="107">
        <f t="shared" si="786"/>
        <v>0</v>
      </c>
    </row>
    <row r="451" spans="1:29" s="82" customFormat="1" ht="17.25" customHeight="1">
      <c r="A451" s="1267"/>
      <c r="B451" s="97"/>
      <c r="C451" s="171">
        <v>3</v>
      </c>
      <c r="D451" s="98"/>
      <c r="E451" s="172" t="s">
        <v>391</v>
      </c>
      <c r="F451" s="104"/>
      <c r="G451" s="104"/>
      <c r="H451" s="104"/>
      <c r="I451" s="105"/>
      <c r="J451" s="104">
        <f t="shared" si="787"/>
        <v>0</v>
      </c>
      <c r="K451" s="104">
        <f t="shared" si="788"/>
        <v>0</v>
      </c>
      <c r="L451" s="104">
        <f t="shared" si="789"/>
        <v>0</v>
      </c>
      <c r="M451" s="104"/>
      <c r="N451" s="104"/>
      <c r="O451" s="104"/>
      <c r="P451" s="104"/>
      <c r="Q451" s="104">
        <f t="shared" si="718"/>
        <v>0</v>
      </c>
      <c r="R451" s="104">
        <f t="shared" ref="R451:R459" si="791">Q451*40</f>
        <v>0</v>
      </c>
      <c r="S451" s="104"/>
      <c r="T451" s="105"/>
      <c r="U451" s="100">
        <f t="shared" si="709"/>
        <v>0</v>
      </c>
      <c r="V451" s="130"/>
      <c r="W451" s="134">
        <f t="shared" si="710"/>
        <v>0</v>
      </c>
      <c r="X451" s="106"/>
      <c r="Y451" s="106">
        <f t="shared" si="782"/>
        <v>0</v>
      </c>
      <c r="Z451" s="106">
        <f t="shared" si="783"/>
        <v>0</v>
      </c>
      <c r="AA451" s="106">
        <f t="shared" si="784"/>
        <v>0</v>
      </c>
      <c r="AB451" s="106">
        <f t="shared" si="785"/>
        <v>0</v>
      </c>
      <c r="AC451" s="107">
        <f t="shared" si="786"/>
        <v>0</v>
      </c>
    </row>
    <row r="452" spans="1:29" s="82" customFormat="1" ht="17.25" customHeight="1">
      <c r="A452" s="1267"/>
      <c r="B452" s="97"/>
      <c r="C452" s="98"/>
      <c r="D452" s="98"/>
      <c r="E452" s="102" t="s">
        <v>392</v>
      </c>
      <c r="F452" s="173"/>
      <c r="G452" s="104"/>
      <c r="H452" s="104"/>
      <c r="I452" s="105"/>
      <c r="J452" s="104">
        <f t="shared" si="787"/>
        <v>0</v>
      </c>
      <c r="K452" s="104">
        <f t="shared" si="788"/>
        <v>0</v>
      </c>
      <c r="L452" s="104">
        <f t="shared" si="789"/>
        <v>0</v>
      </c>
      <c r="M452" s="104"/>
      <c r="N452" s="104"/>
      <c r="O452" s="104"/>
      <c r="P452" s="104"/>
      <c r="Q452" s="104">
        <f t="shared" si="718"/>
        <v>0</v>
      </c>
      <c r="R452" s="104">
        <f t="shared" si="791"/>
        <v>0</v>
      </c>
      <c r="S452" s="104"/>
      <c r="T452" s="105"/>
      <c r="U452" s="100">
        <f t="shared" si="709"/>
        <v>0</v>
      </c>
      <c r="V452" s="130"/>
      <c r="W452" s="134">
        <f t="shared" si="710"/>
        <v>0</v>
      </c>
      <c r="X452" s="106"/>
      <c r="Y452" s="106">
        <f t="shared" si="782"/>
        <v>0</v>
      </c>
      <c r="Z452" s="106">
        <f t="shared" si="783"/>
        <v>0</v>
      </c>
      <c r="AA452" s="106">
        <f t="shared" si="784"/>
        <v>0</v>
      </c>
      <c r="AB452" s="106">
        <f t="shared" si="785"/>
        <v>0</v>
      </c>
      <c r="AC452" s="107">
        <f t="shared" si="786"/>
        <v>0</v>
      </c>
    </row>
    <row r="453" spans="1:29" s="82" customFormat="1" ht="17.25" customHeight="1">
      <c r="A453" s="1267"/>
      <c r="B453" s="97"/>
      <c r="C453" s="98"/>
      <c r="D453" s="98"/>
      <c r="E453" s="102" t="s">
        <v>393</v>
      </c>
      <c r="F453" s="104"/>
      <c r="G453" s="104"/>
      <c r="H453" s="104"/>
      <c r="I453" s="105"/>
      <c r="J453" s="104">
        <f t="shared" si="787"/>
        <v>0</v>
      </c>
      <c r="K453" s="104">
        <f t="shared" si="788"/>
        <v>0</v>
      </c>
      <c r="L453" s="104">
        <f t="shared" si="789"/>
        <v>0</v>
      </c>
      <c r="M453" s="104"/>
      <c r="N453" s="104"/>
      <c r="O453" s="104"/>
      <c r="P453" s="104"/>
      <c r="Q453" s="104">
        <f t="shared" si="718"/>
        <v>0</v>
      </c>
      <c r="R453" s="104">
        <f t="shared" si="791"/>
        <v>0</v>
      </c>
      <c r="S453" s="104"/>
      <c r="T453" s="105"/>
      <c r="U453" s="100">
        <f t="shared" si="709"/>
        <v>0</v>
      </c>
      <c r="V453" s="130"/>
      <c r="W453" s="134">
        <f t="shared" si="710"/>
        <v>0</v>
      </c>
      <c r="X453" s="106"/>
      <c r="Y453" s="106">
        <f t="shared" si="782"/>
        <v>0</v>
      </c>
      <c r="Z453" s="106">
        <f t="shared" si="783"/>
        <v>0</v>
      </c>
      <c r="AA453" s="106">
        <f t="shared" si="784"/>
        <v>0</v>
      </c>
      <c r="AB453" s="106">
        <f t="shared" si="785"/>
        <v>0</v>
      </c>
      <c r="AC453" s="107">
        <f t="shared" si="786"/>
        <v>0</v>
      </c>
    </row>
    <row r="454" spans="1:29" s="82" customFormat="1" ht="17.25" customHeight="1">
      <c r="A454" s="1267"/>
      <c r="B454" s="97"/>
      <c r="C454" s="98"/>
      <c r="D454" s="98"/>
      <c r="E454" s="102" t="s">
        <v>394</v>
      </c>
      <c r="F454" s="104"/>
      <c r="G454" s="104"/>
      <c r="H454" s="104"/>
      <c r="I454" s="105"/>
      <c r="J454" s="104">
        <f t="shared" si="787"/>
        <v>0</v>
      </c>
      <c r="K454" s="104">
        <f t="shared" si="788"/>
        <v>0</v>
      </c>
      <c r="L454" s="104">
        <f t="shared" si="789"/>
        <v>0</v>
      </c>
      <c r="M454" s="104"/>
      <c r="N454" s="104"/>
      <c r="O454" s="104"/>
      <c r="P454" s="104"/>
      <c r="Q454" s="104">
        <f t="shared" si="718"/>
        <v>0</v>
      </c>
      <c r="R454" s="104">
        <f t="shared" si="791"/>
        <v>0</v>
      </c>
      <c r="S454" s="104"/>
      <c r="T454" s="105"/>
      <c r="U454" s="100">
        <f t="shared" si="709"/>
        <v>0</v>
      </c>
      <c r="V454" s="130"/>
      <c r="W454" s="134">
        <f t="shared" si="710"/>
        <v>0</v>
      </c>
      <c r="X454" s="106"/>
      <c r="Y454" s="106">
        <f t="shared" si="782"/>
        <v>0</v>
      </c>
      <c r="Z454" s="106">
        <f t="shared" si="783"/>
        <v>0</v>
      </c>
      <c r="AA454" s="106">
        <f t="shared" si="784"/>
        <v>0</v>
      </c>
      <c r="AB454" s="106">
        <f t="shared" si="785"/>
        <v>0</v>
      </c>
      <c r="AC454" s="107">
        <f t="shared" si="786"/>
        <v>0</v>
      </c>
    </row>
    <row r="455" spans="1:29" s="82" customFormat="1" ht="17.25" customHeight="1">
      <c r="A455" s="1267"/>
      <c r="B455" s="97"/>
      <c r="C455" s="98"/>
      <c r="D455" s="98"/>
      <c r="E455" s="102" t="s">
        <v>279</v>
      </c>
      <c r="F455" s="104"/>
      <c r="G455" s="104"/>
      <c r="H455" s="103"/>
      <c r="I455" s="105"/>
      <c r="J455" s="104">
        <f t="shared" si="787"/>
        <v>0</v>
      </c>
      <c r="K455" s="104">
        <f t="shared" si="788"/>
        <v>0</v>
      </c>
      <c r="L455" s="104">
        <f t="shared" si="789"/>
        <v>0</v>
      </c>
      <c r="M455" s="104"/>
      <c r="N455" s="104"/>
      <c r="O455" s="104"/>
      <c r="P455" s="104"/>
      <c r="Q455" s="104">
        <f t="shared" si="718"/>
        <v>0</v>
      </c>
      <c r="R455" s="104">
        <f t="shared" si="791"/>
        <v>0</v>
      </c>
      <c r="S455" s="104"/>
      <c r="T455" s="105"/>
      <c r="U455" s="100">
        <f t="shared" si="709"/>
        <v>0</v>
      </c>
      <c r="V455" s="130"/>
      <c r="W455" s="134">
        <f t="shared" si="710"/>
        <v>0</v>
      </c>
      <c r="X455" s="106"/>
      <c r="Y455" s="106">
        <f t="shared" si="782"/>
        <v>0</v>
      </c>
      <c r="Z455" s="106">
        <f t="shared" si="783"/>
        <v>0</v>
      </c>
      <c r="AA455" s="106">
        <f t="shared" si="784"/>
        <v>0</v>
      </c>
      <c r="AB455" s="106">
        <f t="shared" si="785"/>
        <v>0</v>
      </c>
      <c r="AC455" s="107">
        <f t="shared" si="786"/>
        <v>0</v>
      </c>
    </row>
    <row r="456" spans="1:29" s="82" customFormat="1" ht="17.25" customHeight="1">
      <c r="A456" s="1267"/>
      <c r="B456" s="97"/>
      <c r="C456" s="98"/>
      <c r="D456" s="98"/>
      <c r="E456" s="102" t="s">
        <v>280</v>
      </c>
      <c r="F456" s="104"/>
      <c r="G456" s="104"/>
      <c r="H456" s="104"/>
      <c r="I456" s="105"/>
      <c r="J456" s="104">
        <f t="shared" si="787"/>
        <v>0</v>
      </c>
      <c r="K456" s="104">
        <f t="shared" si="788"/>
        <v>0</v>
      </c>
      <c r="L456" s="104">
        <f t="shared" si="789"/>
        <v>0</v>
      </c>
      <c r="M456" s="104"/>
      <c r="N456" s="104"/>
      <c r="O456" s="104"/>
      <c r="P456" s="104"/>
      <c r="Q456" s="104">
        <f t="shared" si="718"/>
        <v>0</v>
      </c>
      <c r="R456" s="104">
        <f t="shared" si="791"/>
        <v>0</v>
      </c>
      <c r="S456" s="104"/>
      <c r="T456" s="105"/>
      <c r="U456" s="100">
        <f t="shared" si="709"/>
        <v>0</v>
      </c>
      <c r="V456" s="130"/>
      <c r="W456" s="134">
        <f t="shared" si="710"/>
        <v>0</v>
      </c>
      <c r="X456" s="106"/>
      <c r="Y456" s="106">
        <f t="shared" si="782"/>
        <v>0</v>
      </c>
      <c r="Z456" s="106">
        <f t="shared" si="783"/>
        <v>0</v>
      </c>
      <c r="AA456" s="106">
        <f t="shared" si="784"/>
        <v>0</v>
      </c>
      <c r="AB456" s="106">
        <f t="shared" si="785"/>
        <v>0</v>
      </c>
      <c r="AC456" s="107">
        <f t="shared" si="786"/>
        <v>0</v>
      </c>
    </row>
    <row r="457" spans="1:29" s="82" customFormat="1" ht="17.25" customHeight="1">
      <c r="A457" s="1267"/>
      <c r="B457" s="97"/>
      <c r="C457" s="98"/>
      <c r="D457" s="98"/>
      <c r="E457" s="102" t="s">
        <v>54</v>
      </c>
      <c r="F457" s="104"/>
      <c r="G457" s="104"/>
      <c r="H457" s="104"/>
      <c r="I457" s="105"/>
      <c r="J457" s="104">
        <f t="shared" si="787"/>
        <v>0</v>
      </c>
      <c r="K457" s="104">
        <f t="shared" si="788"/>
        <v>0</v>
      </c>
      <c r="L457" s="104">
        <f t="shared" si="789"/>
        <v>0</v>
      </c>
      <c r="M457" s="104">
        <f t="shared" ref="M457" si="792">F457*60%</f>
        <v>0</v>
      </c>
      <c r="N457" s="104"/>
      <c r="O457" s="104"/>
      <c r="P457" s="104"/>
      <c r="Q457" s="104">
        <f t="shared" si="718"/>
        <v>0</v>
      </c>
      <c r="R457" s="104">
        <f t="shared" si="791"/>
        <v>0</v>
      </c>
      <c r="S457" s="104"/>
      <c r="T457" s="105"/>
      <c r="U457" s="100">
        <f t="shared" si="709"/>
        <v>0</v>
      </c>
      <c r="V457" s="130"/>
      <c r="W457" s="134">
        <f t="shared" si="710"/>
        <v>0</v>
      </c>
      <c r="X457" s="106"/>
      <c r="Y457" s="106">
        <f t="shared" si="782"/>
        <v>0</v>
      </c>
      <c r="Z457" s="106">
        <f t="shared" si="783"/>
        <v>0</v>
      </c>
      <c r="AA457" s="106">
        <f t="shared" si="784"/>
        <v>0</v>
      </c>
      <c r="AB457" s="106">
        <f t="shared" si="785"/>
        <v>0</v>
      </c>
      <c r="AC457" s="107">
        <f t="shared" si="786"/>
        <v>0</v>
      </c>
    </row>
    <row r="458" spans="1:29" s="82" customFormat="1" ht="17.25" customHeight="1">
      <c r="A458" s="1267"/>
      <c r="B458" s="97"/>
      <c r="C458" s="98"/>
      <c r="D458" s="98"/>
      <c r="E458" s="102" t="s">
        <v>55</v>
      </c>
      <c r="F458" s="104"/>
      <c r="G458" s="104"/>
      <c r="H458" s="104"/>
      <c r="I458" s="105"/>
      <c r="J458" s="104">
        <f t="shared" si="787"/>
        <v>0</v>
      </c>
      <c r="K458" s="104">
        <f t="shared" si="788"/>
        <v>0</v>
      </c>
      <c r="L458" s="104">
        <f t="shared" si="789"/>
        <v>0</v>
      </c>
      <c r="M458" s="104"/>
      <c r="N458" s="104"/>
      <c r="O458" s="104"/>
      <c r="P458" s="104"/>
      <c r="Q458" s="104">
        <f t="shared" si="718"/>
        <v>0</v>
      </c>
      <c r="R458" s="104">
        <f t="shared" si="791"/>
        <v>0</v>
      </c>
      <c r="S458" s="104"/>
      <c r="T458" s="105"/>
      <c r="U458" s="100">
        <f t="shared" si="709"/>
        <v>0</v>
      </c>
      <c r="V458" s="130"/>
      <c r="W458" s="134">
        <f t="shared" si="710"/>
        <v>0</v>
      </c>
      <c r="X458" s="106"/>
      <c r="Y458" s="106">
        <f t="shared" si="782"/>
        <v>0</v>
      </c>
      <c r="Z458" s="106">
        <f t="shared" si="783"/>
        <v>0</v>
      </c>
      <c r="AA458" s="106">
        <f t="shared" si="784"/>
        <v>0</v>
      </c>
      <c r="AB458" s="106">
        <f t="shared" si="785"/>
        <v>0</v>
      </c>
      <c r="AC458" s="107">
        <f t="shared" si="786"/>
        <v>0</v>
      </c>
    </row>
    <row r="459" spans="1:29" s="82" customFormat="1" ht="17.25" customHeight="1">
      <c r="A459" s="1267"/>
      <c r="B459" s="97"/>
      <c r="C459" s="98"/>
      <c r="D459" s="98"/>
      <c r="E459" s="102" t="s">
        <v>56</v>
      </c>
      <c r="F459" s="104"/>
      <c r="G459" s="104"/>
      <c r="H459" s="104"/>
      <c r="I459" s="105"/>
      <c r="J459" s="104">
        <f t="shared" si="787"/>
        <v>0</v>
      </c>
      <c r="K459" s="104">
        <f t="shared" si="788"/>
        <v>0</v>
      </c>
      <c r="L459" s="104">
        <f t="shared" si="789"/>
        <v>0</v>
      </c>
      <c r="M459" s="104"/>
      <c r="N459" s="104"/>
      <c r="O459" s="104"/>
      <c r="P459" s="104"/>
      <c r="Q459" s="104">
        <f t="shared" si="718"/>
        <v>0</v>
      </c>
      <c r="R459" s="104">
        <f t="shared" si="791"/>
        <v>0</v>
      </c>
      <c r="S459" s="104"/>
      <c r="T459" s="105"/>
      <c r="U459" s="100">
        <f t="shared" si="709"/>
        <v>0</v>
      </c>
      <c r="V459" s="130"/>
      <c r="W459" s="134">
        <f t="shared" si="710"/>
        <v>0</v>
      </c>
      <c r="X459" s="106"/>
      <c r="Y459" s="106">
        <f t="shared" si="782"/>
        <v>0</v>
      </c>
      <c r="Z459" s="106">
        <f t="shared" si="783"/>
        <v>0</v>
      </c>
      <c r="AA459" s="106">
        <f t="shared" si="784"/>
        <v>0</v>
      </c>
      <c r="AB459" s="106">
        <f t="shared" si="785"/>
        <v>0</v>
      </c>
      <c r="AC459" s="107">
        <f t="shared" si="786"/>
        <v>0</v>
      </c>
    </row>
    <row r="460" spans="1:29" s="82" customFormat="1" ht="17.25" customHeight="1">
      <c r="A460" s="1267"/>
      <c r="B460" s="97"/>
      <c r="C460" s="98"/>
      <c r="D460" s="98"/>
      <c r="E460" s="102" t="s">
        <v>395</v>
      </c>
      <c r="F460" s="104"/>
      <c r="G460" s="104"/>
      <c r="H460" s="104"/>
      <c r="I460" s="105"/>
      <c r="J460" s="104">
        <f t="shared" si="787"/>
        <v>0</v>
      </c>
      <c r="K460" s="104">
        <f t="shared" ref="K460" si="793">J460*40*2</f>
        <v>0</v>
      </c>
      <c r="L460" s="104">
        <f t="shared" si="789"/>
        <v>0</v>
      </c>
      <c r="M460" s="104"/>
      <c r="N460" s="104"/>
      <c r="O460" s="104"/>
      <c r="P460" s="104"/>
      <c r="Q460" s="104">
        <f t="shared" si="718"/>
        <v>0</v>
      </c>
      <c r="R460" s="104">
        <f>Q460*40*2</f>
        <v>0</v>
      </c>
      <c r="S460" s="104"/>
      <c r="T460" s="105"/>
      <c r="U460" s="100">
        <f t="shared" si="709"/>
        <v>0</v>
      </c>
      <c r="V460" s="130"/>
      <c r="W460" s="134">
        <f t="shared" si="710"/>
        <v>0</v>
      </c>
      <c r="X460" s="106"/>
      <c r="Y460" s="106">
        <f t="shared" si="782"/>
        <v>0</v>
      </c>
      <c r="Z460" s="106">
        <f t="shared" si="783"/>
        <v>0</v>
      </c>
      <c r="AA460" s="106">
        <f t="shared" si="784"/>
        <v>0</v>
      </c>
      <c r="AB460" s="106">
        <f t="shared" si="785"/>
        <v>0</v>
      </c>
      <c r="AC460" s="107">
        <f t="shared" si="786"/>
        <v>0</v>
      </c>
    </row>
    <row r="461" spans="1:29" s="82" customFormat="1" ht="15.75" customHeight="1">
      <c r="A461" s="1267">
        <v>36</v>
      </c>
      <c r="B461" s="97" t="s">
        <v>87</v>
      </c>
      <c r="C461" s="98" t="s">
        <v>848</v>
      </c>
      <c r="D461" s="98">
        <v>1</v>
      </c>
      <c r="E461" s="99" t="s">
        <v>86</v>
      </c>
      <c r="F461" s="100">
        <f t="shared" ref="F461" si="794">SUM(F462:F473)</f>
        <v>0</v>
      </c>
      <c r="G461" s="100">
        <f t="shared" ref="G461:N461" si="795">SUM(G462:G473)</f>
        <v>0</v>
      </c>
      <c r="H461" s="100">
        <f t="shared" si="795"/>
        <v>0</v>
      </c>
      <c r="I461" s="100">
        <f t="shared" ref="I461" si="796">SUM(I462:I473)</f>
        <v>0</v>
      </c>
      <c r="J461" s="100">
        <f t="shared" si="795"/>
        <v>0</v>
      </c>
      <c r="K461" s="100">
        <f t="shared" si="795"/>
        <v>0</v>
      </c>
      <c r="L461" s="100">
        <f t="shared" si="795"/>
        <v>0</v>
      </c>
      <c r="M461" s="100">
        <f t="shared" si="795"/>
        <v>0</v>
      </c>
      <c r="N461" s="100">
        <f t="shared" si="795"/>
        <v>0</v>
      </c>
      <c r="O461" s="100">
        <f t="shared" ref="O461" si="797">SUM(O462:O473)</f>
        <v>0</v>
      </c>
      <c r="P461" s="100"/>
      <c r="Q461" s="100"/>
      <c r="R461" s="100">
        <f t="shared" ref="R461:R513" si="798">SUM(R462:R473)</f>
        <v>0</v>
      </c>
      <c r="S461" s="100">
        <f>SUM(S462:S473)</f>
        <v>0</v>
      </c>
      <c r="T461" s="100"/>
      <c r="U461" s="100">
        <f t="shared" ref="U461" si="799">SUM(U462:U473)</f>
        <v>0</v>
      </c>
      <c r="V461" s="130"/>
      <c r="W461" s="143">
        <f t="shared" ref="W461" si="800">SUM(W462:W473)</f>
        <v>0</v>
      </c>
      <c r="X461" s="100">
        <f t="shared" ref="X461" si="801">SUM(X462:X473)</f>
        <v>0</v>
      </c>
      <c r="Y461" s="100">
        <f t="shared" ref="Y461:AB461" si="802">SUM(Y462:Y473)</f>
        <v>0</v>
      </c>
      <c r="Z461" s="100">
        <f t="shared" si="802"/>
        <v>0</v>
      </c>
      <c r="AA461" s="100">
        <f t="shared" si="802"/>
        <v>0</v>
      </c>
      <c r="AB461" s="100">
        <f t="shared" si="802"/>
        <v>0</v>
      </c>
      <c r="AC461" s="101">
        <f>SUM(AC462:AC473)</f>
        <v>0</v>
      </c>
    </row>
    <row r="462" spans="1:29" s="82" customFormat="1" ht="15.75" customHeight="1">
      <c r="A462" s="1267"/>
      <c r="B462" s="97" t="s">
        <v>852</v>
      </c>
      <c r="C462" s="171">
        <v>1</v>
      </c>
      <c r="D462" s="171"/>
      <c r="E462" s="172" t="s">
        <v>389</v>
      </c>
      <c r="F462" s="173"/>
      <c r="G462" s="104"/>
      <c r="H462" s="103"/>
      <c r="I462" s="105"/>
      <c r="J462" s="104"/>
      <c r="K462" s="104"/>
      <c r="L462" s="104"/>
      <c r="M462" s="104">
        <f t="shared" ref="M462" si="803">F462*60%</f>
        <v>0</v>
      </c>
      <c r="N462" s="104"/>
      <c r="O462" s="104"/>
      <c r="P462" s="104"/>
      <c r="Q462" s="104"/>
      <c r="R462" s="104"/>
      <c r="S462" s="104"/>
      <c r="T462" s="105"/>
      <c r="U462" s="100">
        <f t="shared" ref="U462" si="804">SUM(I462,L462)</f>
        <v>0</v>
      </c>
      <c r="V462" s="130"/>
      <c r="W462" s="134">
        <f t="shared" ref="W462:W463" si="805">ROUNDUP(U462*1/12,-1)</f>
        <v>0</v>
      </c>
      <c r="X462" s="106"/>
      <c r="Y462" s="106">
        <f t="shared" ref="Y462" si="806">ROUNDUP((U462-L462)*3.06%,-1)</f>
        <v>0</v>
      </c>
      <c r="Z462" s="106">
        <f>ROUNDUP(Y462*6.55%,-1)</f>
        <v>0</v>
      </c>
      <c r="AA462" s="106">
        <f t="shared" ref="AA462:AA473" si="807">ROUND(U462*0.9%,-1)</f>
        <v>0</v>
      </c>
      <c r="AB462" s="106">
        <f t="shared" ref="AB462:AB473" si="808">ROUND(U462*0.8%,-1)</f>
        <v>0</v>
      </c>
      <c r="AC462" s="107">
        <f t="shared" ref="AC462:AC473" si="809">SUM(W462:AB462)</f>
        <v>0</v>
      </c>
    </row>
    <row r="463" spans="1:29" s="82" customFormat="1" ht="15.75" customHeight="1">
      <c r="A463" s="1267"/>
      <c r="B463" s="97"/>
      <c r="C463" s="98"/>
      <c r="D463" s="98"/>
      <c r="E463" s="102" t="s">
        <v>390</v>
      </c>
      <c r="F463" s="104"/>
      <c r="G463" s="104"/>
      <c r="H463" s="104"/>
      <c r="I463" s="105"/>
      <c r="J463" s="104">
        <f t="shared" ref="J463:J473" si="810">ROUND((F462+I462+T462)*1/209*1.5,-1)</f>
        <v>0</v>
      </c>
      <c r="K463" s="104">
        <f t="shared" ref="K463" si="811">J463*40</f>
        <v>0</v>
      </c>
      <c r="L463" s="104">
        <f t="shared" ref="L463:L473" si="812">K463-R463</f>
        <v>0</v>
      </c>
      <c r="M463" s="104"/>
      <c r="N463" s="104"/>
      <c r="O463" s="104"/>
      <c r="P463" s="104"/>
      <c r="Q463" s="104">
        <f t="shared" ref="Q463" si="813">ROUND((F462+T462)*1/209*1.5,-1)</f>
        <v>0</v>
      </c>
      <c r="R463" s="104">
        <f>Q463*40</f>
        <v>0</v>
      </c>
      <c r="S463" s="104"/>
      <c r="T463" s="105"/>
      <c r="U463" s="100">
        <f t="shared" si="709"/>
        <v>0</v>
      </c>
      <c r="V463" s="130"/>
      <c r="W463" s="134">
        <f t="shared" si="805"/>
        <v>0</v>
      </c>
      <c r="X463" s="106"/>
      <c r="Y463" s="106">
        <f t="shared" si="782"/>
        <v>0</v>
      </c>
      <c r="Z463" s="106">
        <f t="shared" ref="Z463:Z473" si="814">ROUNDUP(Y463*6.55%,-1)</f>
        <v>0</v>
      </c>
      <c r="AA463" s="106">
        <f t="shared" si="807"/>
        <v>0</v>
      </c>
      <c r="AB463" s="106">
        <f t="shared" si="808"/>
        <v>0</v>
      </c>
      <c r="AC463" s="107">
        <f t="shared" si="809"/>
        <v>0</v>
      </c>
    </row>
    <row r="464" spans="1:29" s="82" customFormat="1" ht="15.75" customHeight="1">
      <c r="A464" s="1267"/>
      <c r="B464" s="97"/>
      <c r="C464" s="98"/>
      <c r="D464" s="98"/>
      <c r="E464" s="102" t="s">
        <v>391</v>
      </c>
      <c r="F464" s="104"/>
      <c r="G464" s="104"/>
      <c r="H464" s="104"/>
      <c r="I464" s="105"/>
      <c r="J464" s="104">
        <f t="shared" si="810"/>
        <v>0</v>
      </c>
      <c r="K464" s="104">
        <f t="shared" si="788"/>
        <v>0</v>
      </c>
      <c r="L464" s="104">
        <f t="shared" si="812"/>
        <v>0</v>
      </c>
      <c r="M464" s="104"/>
      <c r="N464" s="104"/>
      <c r="O464" s="104"/>
      <c r="P464" s="104"/>
      <c r="Q464" s="104">
        <f t="shared" si="718"/>
        <v>0</v>
      </c>
      <c r="R464" s="104">
        <f t="shared" ref="R464:R472" si="815">Q464*40</f>
        <v>0</v>
      </c>
      <c r="S464" s="104"/>
      <c r="T464" s="105"/>
      <c r="U464" s="100">
        <f t="shared" si="709"/>
        <v>0</v>
      </c>
      <c r="V464" s="130"/>
      <c r="W464" s="134">
        <f t="shared" si="710"/>
        <v>0</v>
      </c>
      <c r="X464" s="106"/>
      <c r="Y464" s="106">
        <f t="shared" si="782"/>
        <v>0</v>
      </c>
      <c r="Z464" s="106">
        <f t="shared" si="814"/>
        <v>0</v>
      </c>
      <c r="AA464" s="106">
        <f t="shared" si="807"/>
        <v>0</v>
      </c>
      <c r="AB464" s="106">
        <f t="shared" si="808"/>
        <v>0</v>
      </c>
      <c r="AC464" s="107">
        <f t="shared" si="809"/>
        <v>0</v>
      </c>
    </row>
    <row r="465" spans="1:29" s="82" customFormat="1" ht="15.75" customHeight="1">
      <c r="A465" s="1267"/>
      <c r="B465" s="97"/>
      <c r="C465" s="98"/>
      <c r="D465" s="98"/>
      <c r="E465" s="102" t="s">
        <v>392</v>
      </c>
      <c r="F465" s="173"/>
      <c r="G465" s="104"/>
      <c r="H465" s="104"/>
      <c r="I465" s="105"/>
      <c r="J465" s="104">
        <f t="shared" si="810"/>
        <v>0</v>
      </c>
      <c r="K465" s="104">
        <f t="shared" si="788"/>
        <v>0</v>
      </c>
      <c r="L465" s="104">
        <f t="shared" si="812"/>
        <v>0</v>
      </c>
      <c r="M465" s="104"/>
      <c r="N465" s="104"/>
      <c r="O465" s="104"/>
      <c r="P465" s="104"/>
      <c r="Q465" s="104">
        <f t="shared" si="718"/>
        <v>0</v>
      </c>
      <c r="R465" s="104">
        <f t="shared" si="815"/>
        <v>0</v>
      </c>
      <c r="S465" s="104"/>
      <c r="T465" s="105"/>
      <c r="U465" s="100">
        <f t="shared" si="709"/>
        <v>0</v>
      </c>
      <c r="V465" s="130"/>
      <c r="W465" s="134">
        <f t="shared" si="710"/>
        <v>0</v>
      </c>
      <c r="X465" s="106"/>
      <c r="Y465" s="106">
        <f t="shared" si="782"/>
        <v>0</v>
      </c>
      <c r="Z465" s="106">
        <f t="shared" si="814"/>
        <v>0</v>
      </c>
      <c r="AA465" s="106">
        <f t="shared" si="807"/>
        <v>0</v>
      </c>
      <c r="AB465" s="106">
        <f t="shared" si="808"/>
        <v>0</v>
      </c>
      <c r="AC465" s="107">
        <f t="shared" si="809"/>
        <v>0</v>
      </c>
    </row>
    <row r="466" spans="1:29" s="82" customFormat="1" ht="15.75" customHeight="1">
      <c r="A466" s="1267"/>
      <c r="B466" s="97"/>
      <c r="C466" s="171">
        <v>2</v>
      </c>
      <c r="D466" s="171"/>
      <c r="E466" s="172" t="s">
        <v>393</v>
      </c>
      <c r="F466" s="104"/>
      <c r="G466" s="104"/>
      <c r="H466" s="104"/>
      <c r="I466" s="105"/>
      <c r="J466" s="104">
        <f t="shared" si="810"/>
        <v>0</v>
      </c>
      <c r="K466" s="104">
        <f t="shared" si="788"/>
        <v>0</v>
      </c>
      <c r="L466" s="104">
        <f t="shared" si="812"/>
        <v>0</v>
      </c>
      <c r="M466" s="104"/>
      <c r="N466" s="104"/>
      <c r="O466" s="104"/>
      <c r="P466" s="104"/>
      <c r="Q466" s="104">
        <f t="shared" si="718"/>
        <v>0</v>
      </c>
      <c r="R466" s="104">
        <f t="shared" si="815"/>
        <v>0</v>
      </c>
      <c r="S466" s="104"/>
      <c r="T466" s="105"/>
      <c r="U466" s="100">
        <f t="shared" si="709"/>
        <v>0</v>
      </c>
      <c r="V466" s="130"/>
      <c r="W466" s="134">
        <f t="shared" si="710"/>
        <v>0</v>
      </c>
      <c r="X466" s="106"/>
      <c r="Y466" s="106">
        <f t="shared" si="782"/>
        <v>0</v>
      </c>
      <c r="Z466" s="106">
        <f t="shared" si="814"/>
        <v>0</v>
      </c>
      <c r="AA466" s="106">
        <f t="shared" si="807"/>
        <v>0</v>
      </c>
      <c r="AB466" s="106">
        <f t="shared" si="808"/>
        <v>0</v>
      </c>
      <c r="AC466" s="107">
        <f t="shared" si="809"/>
        <v>0</v>
      </c>
    </row>
    <row r="467" spans="1:29" s="82" customFormat="1" ht="15.75" customHeight="1">
      <c r="A467" s="1267"/>
      <c r="B467" s="97"/>
      <c r="C467" s="98"/>
      <c r="D467" s="98"/>
      <c r="E467" s="102" t="s">
        <v>394</v>
      </c>
      <c r="F467" s="104"/>
      <c r="G467" s="104"/>
      <c r="H467" s="104"/>
      <c r="I467" s="105"/>
      <c r="J467" s="104">
        <f t="shared" si="810"/>
        <v>0</v>
      </c>
      <c r="K467" s="104">
        <f t="shared" si="788"/>
        <v>0</v>
      </c>
      <c r="L467" s="104">
        <f t="shared" si="812"/>
        <v>0</v>
      </c>
      <c r="M467" s="104"/>
      <c r="N467" s="104"/>
      <c r="O467" s="104"/>
      <c r="P467" s="104"/>
      <c r="Q467" s="104">
        <f t="shared" si="718"/>
        <v>0</v>
      </c>
      <c r="R467" s="104">
        <f t="shared" si="815"/>
        <v>0</v>
      </c>
      <c r="S467" s="104"/>
      <c r="T467" s="105"/>
      <c r="U467" s="100">
        <f t="shared" si="709"/>
        <v>0</v>
      </c>
      <c r="V467" s="130"/>
      <c r="W467" s="134">
        <f t="shared" si="710"/>
        <v>0</v>
      </c>
      <c r="X467" s="106"/>
      <c r="Y467" s="106">
        <f t="shared" si="782"/>
        <v>0</v>
      </c>
      <c r="Z467" s="106">
        <f t="shared" si="814"/>
        <v>0</v>
      </c>
      <c r="AA467" s="106">
        <f t="shared" si="807"/>
        <v>0</v>
      </c>
      <c r="AB467" s="106">
        <f t="shared" si="808"/>
        <v>0</v>
      </c>
      <c r="AC467" s="107">
        <f t="shared" si="809"/>
        <v>0</v>
      </c>
    </row>
    <row r="468" spans="1:29" s="82" customFormat="1" ht="15.75" customHeight="1">
      <c r="A468" s="1267"/>
      <c r="B468" s="97"/>
      <c r="C468" s="98"/>
      <c r="D468" s="98"/>
      <c r="E468" s="102" t="s">
        <v>279</v>
      </c>
      <c r="F468" s="104"/>
      <c r="G468" s="104"/>
      <c r="H468" s="103"/>
      <c r="I468" s="105"/>
      <c r="J468" s="104">
        <f t="shared" si="810"/>
        <v>0</v>
      </c>
      <c r="K468" s="104">
        <f t="shared" si="788"/>
        <v>0</v>
      </c>
      <c r="L468" s="104">
        <f t="shared" si="812"/>
        <v>0</v>
      </c>
      <c r="M468" s="104"/>
      <c r="N468" s="104"/>
      <c r="O468" s="104"/>
      <c r="P468" s="104"/>
      <c r="Q468" s="104">
        <f t="shared" si="718"/>
        <v>0</v>
      </c>
      <c r="R468" s="104">
        <f t="shared" si="815"/>
        <v>0</v>
      </c>
      <c r="S468" s="104"/>
      <c r="T468" s="105"/>
      <c r="U468" s="100">
        <f t="shared" si="709"/>
        <v>0</v>
      </c>
      <c r="V468" s="130"/>
      <c r="W468" s="134">
        <f t="shared" si="710"/>
        <v>0</v>
      </c>
      <c r="X468" s="106"/>
      <c r="Y468" s="106">
        <f t="shared" si="782"/>
        <v>0</v>
      </c>
      <c r="Z468" s="106">
        <f t="shared" si="814"/>
        <v>0</v>
      </c>
      <c r="AA468" s="106">
        <f t="shared" si="807"/>
        <v>0</v>
      </c>
      <c r="AB468" s="106">
        <f t="shared" si="808"/>
        <v>0</v>
      </c>
      <c r="AC468" s="107">
        <f t="shared" si="809"/>
        <v>0</v>
      </c>
    </row>
    <row r="469" spans="1:29" s="82" customFormat="1" ht="15.75" customHeight="1">
      <c r="A469" s="1267"/>
      <c r="B469" s="97"/>
      <c r="C469" s="98"/>
      <c r="D469" s="98"/>
      <c r="E469" s="102" t="s">
        <v>280</v>
      </c>
      <c r="F469" s="104"/>
      <c r="G469" s="104"/>
      <c r="H469" s="104"/>
      <c r="I469" s="105"/>
      <c r="J469" s="104">
        <f t="shared" si="810"/>
        <v>0</v>
      </c>
      <c r="K469" s="104">
        <f t="shared" si="788"/>
        <v>0</v>
      </c>
      <c r="L469" s="104">
        <f t="shared" si="812"/>
        <v>0</v>
      </c>
      <c r="M469" s="104"/>
      <c r="N469" s="104"/>
      <c r="O469" s="104"/>
      <c r="P469" s="104"/>
      <c r="Q469" s="104">
        <f t="shared" si="718"/>
        <v>0</v>
      </c>
      <c r="R469" s="104">
        <f t="shared" si="815"/>
        <v>0</v>
      </c>
      <c r="S469" s="104"/>
      <c r="T469" s="105"/>
      <c r="U469" s="100">
        <f t="shared" si="709"/>
        <v>0</v>
      </c>
      <c r="V469" s="130"/>
      <c r="W469" s="134">
        <f t="shared" si="710"/>
        <v>0</v>
      </c>
      <c r="X469" s="106"/>
      <c r="Y469" s="106">
        <f t="shared" si="782"/>
        <v>0</v>
      </c>
      <c r="Z469" s="106">
        <f t="shared" si="814"/>
        <v>0</v>
      </c>
      <c r="AA469" s="106">
        <f t="shared" si="807"/>
        <v>0</v>
      </c>
      <c r="AB469" s="106">
        <f t="shared" si="808"/>
        <v>0</v>
      </c>
      <c r="AC469" s="107">
        <f t="shared" si="809"/>
        <v>0</v>
      </c>
    </row>
    <row r="470" spans="1:29" s="82" customFormat="1" ht="15.75" customHeight="1">
      <c r="A470" s="1267"/>
      <c r="B470" s="97"/>
      <c r="C470" s="98"/>
      <c r="D470" s="98"/>
      <c r="E470" s="102" t="s">
        <v>54</v>
      </c>
      <c r="F470" s="104"/>
      <c r="G470" s="104"/>
      <c r="H470" s="104"/>
      <c r="I470" s="105"/>
      <c r="J470" s="104">
        <f t="shared" si="810"/>
        <v>0</v>
      </c>
      <c r="K470" s="104">
        <f t="shared" si="788"/>
        <v>0</v>
      </c>
      <c r="L470" s="104">
        <f t="shared" si="812"/>
        <v>0</v>
      </c>
      <c r="M470" s="104">
        <f t="shared" ref="M470" si="816">F470*60%</f>
        <v>0</v>
      </c>
      <c r="N470" s="104"/>
      <c r="O470" s="104"/>
      <c r="P470" s="104"/>
      <c r="Q470" s="104">
        <f t="shared" si="718"/>
        <v>0</v>
      </c>
      <c r="R470" s="104">
        <f t="shared" si="815"/>
        <v>0</v>
      </c>
      <c r="S470" s="104"/>
      <c r="T470" s="105"/>
      <c r="U470" s="100">
        <f t="shared" si="709"/>
        <v>0</v>
      </c>
      <c r="V470" s="130"/>
      <c r="W470" s="134">
        <f t="shared" si="710"/>
        <v>0</v>
      </c>
      <c r="X470" s="106"/>
      <c r="Y470" s="106">
        <f t="shared" si="782"/>
        <v>0</v>
      </c>
      <c r="Z470" s="106">
        <f t="shared" si="814"/>
        <v>0</v>
      </c>
      <c r="AA470" s="106">
        <f t="shared" si="807"/>
        <v>0</v>
      </c>
      <c r="AB470" s="106">
        <f t="shared" si="808"/>
        <v>0</v>
      </c>
      <c r="AC470" s="107">
        <f t="shared" si="809"/>
        <v>0</v>
      </c>
    </row>
    <row r="471" spans="1:29" s="82" customFormat="1" ht="15.75" customHeight="1">
      <c r="A471" s="1267"/>
      <c r="B471" s="97"/>
      <c r="C471" s="98"/>
      <c r="D471" s="98"/>
      <c r="E471" s="102" t="s">
        <v>55</v>
      </c>
      <c r="F471" s="104"/>
      <c r="G471" s="104"/>
      <c r="H471" s="104"/>
      <c r="I471" s="105"/>
      <c r="J471" s="104">
        <f t="shared" si="810"/>
        <v>0</v>
      </c>
      <c r="K471" s="104">
        <f t="shared" si="788"/>
        <v>0</v>
      </c>
      <c r="L471" s="104">
        <f t="shared" si="812"/>
        <v>0</v>
      </c>
      <c r="M471" s="104"/>
      <c r="N471" s="104"/>
      <c r="O471" s="104"/>
      <c r="P471" s="104"/>
      <c r="Q471" s="104">
        <f t="shared" si="718"/>
        <v>0</v>
      </c>
      <c r="R471" s="104">
        <f t="shared" si="815"/>
        <v>0</v>
      </c>
      <c r="S471" s="104"/>
      <c r="T471" s="105"/>
      <c r="U471" s="100">
        <f t="shared" si="709"/>
        <v>0</v>
      </c>
      <c r="V471" s="130"/>
      <c r="W471" s="134">
        <f t="shared" si="710"/>
        <v>0</v>
      </c>
      <c r="X471" s="106"/>
      <c r="Y471" s="106">
        <f t="shared" si="782"/>
        <v>0</v>
      </c>
      <c r="Z471" s="106">
        <f t="shared" si="814"/>
        <v>0</v>
      </c>
      <c r="AA471" s="106">
        <f t="shared" si="807"/>
        <v>0</v>
      </c>
      <c r="AB471" s="106">
        <f t="shared" si="808"/>
        <v>0</v>
      </c>
      <c r="AC471" s="107">
        <f t="shared" si="809"/>
        <v>0</v>
      </c>
    </row>
    <row r="472" spans="1:29" s="82" customFormat="1" ht="15.75" customHeight="1">
      <c r="A472" s="1267"/>
      <c r="B472" s="97"/>
      <c r="C472" s="98"/>
      <c r="D472" s="98"/>
      <c r="E472" s="102" t="s">
        <v>56</v>
      </c>
      <c r="F472" s="104"/>
      <c r="G472" s="104"/>
      <c r="H472" s="104"/>
      <c r="I472" s="105"/>
      <c r="J472" s="104">
        <f t="shared" si="810"/>
        <v>0</v>
      </c>
      <c r="K472" s="104">
        <f t="shared" si="788"/>
        <v>0</v>
      </c>
      <c r="L472" s="104">
        <f t="shared" si="812"/>
        <v>0</v>
      </c>
      <c r="M472" s="104"/>
      <c r="N472" s="104"/>
      <c r="O472" s="104"/>
      <c r="P472" s="104"/>
      <c r="Q472" s="104">
        <f t="shared" si="718"/>
        <v>0</v>
      </c>
      <c r="R472" s="104">
        <f t="shared" si="815"/>
        <v>0</v>
      </c>
      <c r="S472" s="104"/>
      <c r="T472" s="105"/>
      <c r="U472" s="100">
        <f t="shared" si="709"/>
        <v>0</v>
      </c>
      <c r="V472" s="130"/>
      <c r="W472" s="134">
        <f t="shared" si="710"/>
        <v>0</v>
      </c>
      <c r="X472" s="106"/>
      <c r="Y472" s="106">
        <f t="shared" si="782"/>
        <v>0</v>
      </c>
      <c r="Z472" s="106">
        <f t="shared" si="814"/>
        <v>0</v>
      </c>
      <c r="AA472" s="106">
        <f t="shared" si="807"/>
        <v>0</v>
      </c>
      <c r="AB472" s="106">
        <f t="shared" si="808"/>
        <v>0</v>
      </c>
      <c r="AC472" s="107">
        <f t="shared" si="809"/>
        <v>0</v>
      </c>
    </row>
    <row r="473" spans="1:29" s="82" customFormat="1" ht="16.5" customHeight="1">
      <c r="A473" s="1267"/>
      <c r="B473" s="97"/>
      <c r="C473" s="98"/>
      <c r="D473" s="98"/>
      <c r="E473" s="102" t="s">
        <v>395</v>
      </c>
      <c r="F473" s="104"/>
      <c r="G473" s="104"/>
      <c r="H473" s="104"/>
      <c r="I473" s="105"/>
      <c r="J473" s="104">
        <f t="shared" si="810"/>
        <v>0</v>
      </c>
      <c r="K473" s="104">
        <f t="shared" ref="K473" si="817">J473*40*2</f>
        <v>0</v>
      </c>
      <c r="L473" s="104">
        <f t="shared" si="812"/>
        <v>0</v>
      </c>
      <c r="M473" s="104"/>
      <c r="N473" s="104"/>
      <c r="O473" s="104"/>
      <c r="P473" s="104"/>
      <c r="Q473" s="104">
        <f t="shared" si="718"/>
        <v>0</v>
      </c>
      <c r="R473" s="104">
        <f>Q473*40*2</f>
        <v>0</v>
      </c>
      <c r="S473" s="104"/>
      <c r="T473" s="105"/>
      <c r="U473" s="100">
        <f t="shared" si="709"/>
        <v>0</v>
      </c>
      <c r="V473" s="130"/>
      <c r="W473" s="134">
        <f t="shared" si="710"/>
        <v>0</v>
      </c>
      <c r="X473" s="106"/>
      <c r="Y473" s="106">
        <f t="shared" si="782"/>
        <v>0</v>
      </c>
      <c r="Z473" s="106">
        <f t="shared" si="814"/>
        <v>0</v>
      </c>
      <c r="AA473" s="106">
        <f t="shared" si="807"/>
        <v>0</v>
      </c>
      <c r="AB473" s="106">
        <f t="shared" si="808"/>
        <v>0</v>
      </c>
      <c r="AC473" s="107">
        <f t="shared" si="809"/>
        <v>0</v>
      </c>
    </row>
    <row r="474" spans="1:29" s="82" customFormat="1" ht="17.25" customHeight="1">
      <c r="A474" s="1267">
        <v>35</v>
      </c>
      <c r="B474" s="97" t="s">
        <v>87</v>
      </c>
      <c r="C474" s="98" t="s">
        <v>832</v>
      </c>
      <c r="D474" s="98">
        <v>1</v>
      </c>
      <c r="E474" s="99" t="s">
        <v>86</v>
      </c>
      <c r="F474" s="100">
        <f t="shared" ref="F474" si="818">SUM(F475:F486)</f>
        <v>0</v>
      </c>
      <c r="G474" s="100">
        <f t="shared" ref="G474:N474" si="819">SUM(G475:G486)</f>
        <v>0</v>
      </c>
      <c r="H474" s="100">
        <f t="shared" si="819"/>
        <v>0</v>
      </c>
      <c r="I474" s="100">
        <f t="shared" ref="I474" si="820">SUM(I475:I486)</f>
        <v>0</v>
      </c>
      <c r="J474" s="100">
        <f t="shared" si="819"/>
        <v>0</v>
      </c>
      <c r="K474" s="100">
        <f t="shared" si="819"/>
        <v>0</v>
      </c>
      <c r="L474" s="100">
        <f t="shared" si="819"/>
        <v>0</v>
      </c>
      <c r="M474" s="100">
        <f t="shared" si="819"/>
        <v>0</v>
      </c>
      <c r="N474" s="100">
        <f t="shared" si="819"/>
        <v>0</v>
      </c>
      <c r="O474" s="100">
        <f t="shared" ref="O474" si="821">SUM(O475:O486)</f>
        <v>0</v>
      </c>
      <c r="P474" s="100"/>
      <c r="Q474" s="100"/>
      <c r="R474" s="100">
        <f t="shared" ref="R474" si="822">SUM(R475:R486)</f>
        <v>0</v>
      </c>
      <c r="S474" s="100">
        <f>SUM(S475:S486)</f>
        <v>0</v>
      </c>
      <c r="T474" s="100"/>
      <c r="U474" s="100">
        <f t="shared" ref="U474" si="823">SUM(U475:U486)</f>
        <v>0</v>
      </c>
      <c r="V474" s="130"/>
      <c r="W474" s="143">
        <f t="shared" ref="W474" si="824">SUM(W475:W486)</f>
        <v>0</v>
      </c>
      <c r="X474" s="100">
        <f t="shared" ref="X474" si="825">SUM(X475:X486)</f>
        <v>0</v>
      </c>
      <c r="Y474" s="100">
        <f t="shared" ref="Y474:AB474" si="826">SUM(Y475:Y486)</f>
        <v>0</v>
      </c>
      <c r="Z474" s="100">
        <f t="shared" si="826"/>
        <v>0</v>
      </c>
      <c r="AA474" s="100">
        <f t="shared" si="826"/>
        <v>0</v>
      </c>
      <c r="AB474" s="100">
        <f t="shared" si="826"/>
        <v>0</v>
      </c>
      <c r="AC474" s="101">
        <f>SUM(AC475:AC486)</f>
        <v>0</v>
      </c>
    </row>
    <row r="475" spans="1:29" s="82" customFormat="1" ht="17.25" customHeight="1">
      <c r="A475" s="1267"/>
      <c r="B475" s="97" t="s">
        <v>845</v>
      </c>
      <c r="C475" s="171">
        <v>2</v>
      </c>
      <c r="D475" s="171"/>
      <c r="E475" s="172" t="s">
        <v>389</v>
      </c>
      <c r="F475" s="173"/>
      <c r="G475" s="104"/>
      <c r="H475" s="103"/>
      <c r="I475" s="105"/>
      <c r="J475" s="104"/>
      <c r="K475" s="104"/>
      <c r="L475" s="104"/>
      <c r="M475" s="104">
        <f t="shared" ref="M475" si="827">F475*60%</f>
        <v>0</v>
      </c>
      <c r="N475" s="104"/>
      <c r="O475" s="104"/>
      <c r="P475" s="104"/>
      <c r="Q475" s="104"/>
      <c r="R475" s="104"/>
      <c r="S475" s="104"/>
      <c r="T475" s="105"/>
      <c r="U475" s="100">
        <f t="shared" ref="U475:U538" si="828">SUM(I475,L475)</f>
        <v>0</v>
      </c>
      <c r="V475" s="130"/>
      <c r="W475" s="134">
        <f t="shared" ref="W475:W538" si="829">ROUNDUP(U475*1/12,-1)</f>
        <v>0</v>
      </c>
      <c r="X475" s="106"/>
      <c r="Y475" s="106">
        <f t="shared" ref="Y475:Y486" si="830">ROUNDUP((U475-L475)*3.06%,-1)</f>
        <v>0</v>
      </c>
      <c r="Z475" s="106">
        <f t="shared" ref="Z475:Z486" si="831">ROUNDUP(Y475*6.55%,-1)</f>
        <v>0</v>
      </c>
      <c r="AA475" s="106">
        <f t="shared" ref="AA475:AA486" si="832">ROUND(U475*0.9%,-1)</f>
        <v>0</v>
      </c>
      <c r="AB475" s="106">
        <f t="shared" ref="AB475:AB486" si="833">ROUND(U475*0.8%,-1)</f>
        <v>0</v>
      </c>
      <c r="AC475" s="107">
        <f t="shared" ref="AC475:AC486" si="834">SUM(W475:AB475)</f>
        <v>0</v>
      </c>
    </row>
    <row r="476" spans="1:29" s="82" customFormat="1" ht="17.25" customHeight="1">
      <c r="A476" s="1267"/>
      <c r="B476" s="97"/>
      <c r="C476" s="98"/>
      <c r="D476" s="98"/>
      <c r="E476" s="102" t="s">
        <v>390</v>
      </c>
      <c r="F476" s="104"/>
      <c r="G476" s="104"/>
      <c r="H476" s="104"/>
      <c r="I476" s="105"/>
      <c r="J476" s="104">
        <f t="shared" ref="J476:J486" si="835">ROUND((F475+I475+T475)*1/209*1.5,-1)</f>
        <v>0</v>
      </c>
      <c r="K476" s="104">
        <f t="shared" ref="K476" si="836">J476*40</f>
        <v>0</v>
      </c>
      <c r="L476" s="104">
        <f t="shared" ref="L476:L486" si="837">K476-R476</f>
        <v>0</v>
      </c>
      <c r="M476" s="104"/>
      <c r="N476" s="104"/>
      <c r="O476" s="104"/>
      <c r="P476" s="104"/>
      <c r="Q476" s="104">
        <f t="shared" ref="Q476:Q538" si="838">ROUND((F475+T475)*1/209*1.5,-1)</f>
        <v>0</v>
      </c>
      <c r="R476" s="104">
        <f>Q476*40</f>
        <v>0</v>
      </c>
      <c r="S476" s="104"/>
      <c r="T476" s="105"/>
      <c r="U476" s="100">
        <f t="shared" si="828"/>
        <v>0</v>
      </c>
      <c r="V476" s="130"/>
      <c r="W476" s="134">
        <f t="shared" si="829"/>
        <v>0</v>
      </c>
      <c r="X476" s="106"/>
      <c r="Y476" s="106">
        <f t="shared" si="830"/>
        <v>0</v>
      </c>
      <c r="Z476" s="106">
        <f t="shared" si="831"/>
        <v>0</v>
      </c>
      <c r="AA476" s="106">
        <f t="shared" si="832"/>
        <v>0</v>
      </c>
      <c r="AB476" s="106">
        <f t="shared" si="833"/>
        <v>0</v>
      </c>
      <c r="AC476" s="107">
        <f t="shared" si="834"/>
        <v>0</v>
      </c>
    </row>
    <row r="477" spans="1:29" s="82" customFormat="1" ht="17.25" customHeight="1">
      <c r="A477" s="1267"/>
      <c r="B477" s="97"/>
      <c r="C477" s="98"/>
      <c r="D477" s="98"/>
      <c r="E477" s="102" t="s">
        <v>391</v>
      </c>
      <c r="F477" s="104"/>
      <c r="G477" s="104"/>
      <c r="H477" s="104"/>
      <c r="I477" s="105"/>
      <c r="J477" s="104">
        <f t="shared" si="835"/>
        <v>0</v>
      </c>
      <c r="K477" s="104">
        <f t="shared" si="788"/>
        <v>0</v>
      </c>
      <c r="L477" s="104">
        <f t="shared" si="837"/>
        <v>0</v>
      </c>
      <c r="M477" s="104"/>
      <c r="N477" s="104"/>
      <c r="O477" s="104"/>
      <c r="P477" s="104"/>
      <c r="Q477" s="104">
        <f t="shared" si="838"/>
        <v>0</v>
      </c>
      <c r="R477" s="104">
        <f t="shared" ref="R477:R485" si="839">Q477*40</f>
        <v>0</v>
      </c>
      <c r="S477" s="104"/>
      <c r="T477" s="105"/>
      <c r="U477" s="100">
        <f t="shared" si="828"/>
        <v>0</v>
      </c>
      <c r="V477" s="130"/>
      <c r="W477" s="134">
        <f t="shared" si="829"/>
        <v>0</v>
      </c>
      <c r="X477" s="106"/>
      <c r="Y477" s="106">
        <f t="shared" si="830"/>
        <v>0</v>
      </c>
      <c r="Z477" s="106">
        <f t="shared" si="831"/>
        <v>0</v>
      </c>
      <c r="AA477" s="106">
        <f t="shared" si="832"/>
        <v>0</v>
      </c>
      <c r="AB477" s="106">
        <f t="shared" si="833"/>
        <v>0</v>
      </c>
      <c r="AC477" s="107">
        <f t="shared" si="834"/>
        <v>0</v>
      </c>
    </row>
    <row r="478" spans="1:29" s="82" customFormat="1" ht="17.25" customHeight="1">
      <c r="A478" s="1267"/>
      <c r="B478" s="97"/>
      <c r="C478" s="98"/>
      <c r="D478" s="98"/>
      <c r="E478" s="102" t="s">
        <v>392</v>
      </c>
      <c r="F478" s="173"/>
      <c r="G478" s="104"/>
      <c r="H478" s="104"/>
      <c r="I478" s="105"/>
      <c r="J478" s="104">
        <f t="shared" si="835"/>
        <v>0</v>
      </c>
      <c r="K478" s="104">
        <f t="shared" si="788"/>
        <v>0</v>
      </c>
      <c r="L478" s="104">
        <f t="shared" si="837"/>
        <v>0</v>
      </c>
      <c r="M478" s="104"/>
      <c r="N478" s="104"/>
      <c r="O478" s="104"/>
      <c r="P478" s="104"/>
      <c r="Q478" s="104">
        <f t="shared" si="838"/>
        <v>0</v>
      </c>
      <c r="R478" s="104">
        <f t="shared" si="839"/>
        <v>0</v>
      </c>
      <c r="S478" s="104"/>
      <c r="T478" s="105"/>
      <c r="U478" s="100">
        <f t="shared" si="828"/>
        <v>0</v>
      </c>
      <c r="V478" s="130"/>
      <c r="W478" s="134">
        <f t="shared" si="829"/>
        <v>0</v>
      </c>
      <c r="X478" s="106"/>
      <c r="Y478" s="106">
        <f t="shared" si="830"/>
        <v>0</v>
      </c>
      <c r="Z478" s="106">
        <f t="shared" si="831"/>
        <v>0</v>
      </c>
      <c r="AA478" s="106">
        <f t="shared" si="832"/>
        <v>0</v>
      </c>
      <c r="AB478" s="106">
        <f t="shared" si="833"/>
        <v>0</v>
      </c>
      <c r="AC478" s="107">
        <f t="shared" si="834"/>
        <v>0</v>
      </c>
    </row>
    <row r="479" spans="1:29" s="82" customFormat="1" ht="17.25" customHeight="1">
      <c r="A479" s="1267"/>
      <c r="B479" s="97"/>
      <c r="C479" s="171">
        <v>3</v>
      </c>
      <c r="D479" s="98"/>
      <c r="E479" s="172" t="s">
        <v>393</v>
      </c>
      <c r="F479" s="104"/>
      <c r="G479" s="104"/>
      <c r="H479" s="104"/>
      <c r="I479" s="105"/>
      <c r="J479" s="104">
        <f t="shared" si="835"/>
        <v>0</v>
      </c>
      <c r="K479" s="104">
        <f t="shared" si="788"/>
        <v>0</v>
      </c>
      <c r="L479" s="104">
        <f t="shared" si="837"/>
        <v>0</v>
      </c>
      <c r="M479" s="104"/>
      <c r="N479" s="104"/>
      <c r="O479" s="104"/>
      <c r="P479" s="104"/>
      <c r="Q479" s="104">
        <f t="shared" si="838"/>
        <v>0</v>
      </c>
      <c r="R479" s="104">
        <f t="shared" si="839"/>
        <v>0</v>
      </c>
      <c r="S479" s="104"/>
      <c r="T479" s="105"/>
      <c r="U479" s="100">
        <f t="shared" si="828"/>
        <v>0</v>
      </c>
      <c r="V479" s="130"/>
      <c r="W479" s="134">
        <f t="shared" si="829"/>
        <v>0</v>
      </c>
      <c r="X479" s="106"/>
      <c r="Y479" s="106">
        <f t="shared" si="830"/>
        <v>0</v>
      </c>
      <c r="Z479" s="106">
        <f t="shared" si="831"/>
        <v>0</v>
      </c>
      <c r="AA479" s="106">
        <f t="shared" si="832"/>
        <v>0</v>
      </c>
      <c r="AB479" s="106">
        <f t="shared" si="833"/>
        <v>0</v>
      </c>
      <c r="AC479" s="107">
        <f t="shared" si="834"/>
        <v>0</v>
      </c>
    </row>
    <row r="480" spans="1:29" s="82" customFormat="1" ht="17.25" customHeight="1">
      <c r="A480" s="1267"/>
      <c r="B480" s="97"/>
      <c r="C480" s="98"/>
      <c r="D480" s="98"/>
      <c r="E480" s="102" t="s">
        <v>394</v>
      </c>
      <c r="F480" s="104"/>
      <c r="G480" s="104"/>
      <c r="H480" s="104"/>
      <c r="I480" s="105"/>
      <c r="J480" s="104">
        <f t="shared" si="835"/>
        <v>0</v>
      </c>
      <c r="K480" s="104">
        <f t="shared" si="788"/>
        <v>0</v>
      </c>
      <c r="L480" s="104">
        <f t="shared" si="837"/>
        <v>0</v>
      </c>
      <c r="M480" s="104"/>
      <c r="N480" s="104"/>
      <c r="O480" s="104"/>
      <c r="P480" s="104"/>
      <c r="Q480" s="104">
        <f t="shared" si="838"/>
        <v>0</v>
      </c>
      <c r="R480" s="104">
        <f t="shared" si="839"/>
        <v>0</v>
      </c>
      <c r="S480" s="104"/>
      <c r="T480" s="105"/>
      <c r="U480" s="100">
        <f t="shared" si="828"/>
        <v>0</v>
      </c>
      <c r="V480" s="130"/>
      <c r="W480" s="134">
        <f t="shared" si="829"/>
        <v>0</v>
      </c>
      <c r="X480" s="106"/>
      <c r="Y480" s="106">
        <f t="shared" si="830"/>
        <v>0</v>
      </c>
      <c r="Z480" s="106">
        <f t="shared" si="831"/>
        <v>0</v>
      </c>
      <c r="AA480" s="106">
        <f t="shared" si="832"/>
        <v>0</v>
      </c>
      <c r="AB480" s="106">
        <f t="shared" si="833"/>
        <v>0</v>
      </c>
      <c r="AC480" s="107">
        <f t="shared" si="834"/>
        <v>0</v>
      </c>
    </row>
    <row r="481" spans="1:29" s="82" customFormat="1" ht="17.25" customHeight="1">
      <c r="A481" s="1267"/>
      <c r="B481" s="97"/>
      <c r="C481" s="98"/>
      <c r="D481" s="98"/>
      <c r="E481" s="102" t="s">
        <v>279</v>
      </c>
      <c r="F481" s="104"/>
      <c r="G481" s="104"/>
      <c r="H481" s="103"/>
      <c r="I481" s="105"/>
      <c r="J481" s="104">
        <f t="shared" si="835"/>
        <v>0</v>
      </c>
      <c r="K481" s="104">
        <f t="shared" si="788"/>
        <v>0</v>
      </c>
      <c r="L481" s="104">
        <f t="shared" si="837"/>
        <v>0</v>
      </c>
      <c r="M481" s="104"/>
      <c r="N481" s="104"/>
      <c r="O481" s="104"/>
      <c r="P481" s="104"/>
      <c r="Q481" s="104">
        <f t="shared" si="838"/>
        <v>0</v>
      </c>
      <c r="R481" s="104">
        <f t="shared" si="839"/>
        <v>0</v>
      </c>
      <c r="S481" s="104"/>
      <c r="T481" s="105"/>
      <c r="U481" s="100">
        <f t="shared" si="828"/>
        <v>0</v>
      </c>
      <c r="V481" s="130"/>
      <c r="W481" s="134">
        <f t="shared" si="829"/>
        <v>0</v>
      </c>
      <c r="X481" s="106"/>
      <c r="Y481" s="106">
        <f t="shared" si="830"/>
        <v>0</v>
      </c>
      <c r="Z481" s="106">
        <f t="shared" si="831"/>
        <v>0</v>
      </c>
      <c r="AA481" s="106">
        <f t="shared" si="832"/>
        <v>0</v>
      </c>
      <c r="AB481" s="106">
        <f t="shared" si="833"/>
        <v>0</v>
      </c>
      <c r="AC481" s="107">
        <f t="shared" si="834"/>
        <v>0</v>
      </c>
    </row>
    <row r="482" spans="1:29" s="82" customFormat="1" ht="17.25" customHeight="1">
      <c r="A482" s="1267"/>
      <c r="B482" s="97"/>
      <c r="C482" s="98"/>
      <c r="D482" s="98"/>
      <c r="E482" s="102" t="s">
        <v>280</v>
      </c>
      <c r="F482" s="104"/>
      <c r="G482" s="104"/>
      <c r="H482" s="104"/>
      <c r="I482" s="105"/>
      <c r="J482" s="104">
        <f t="shared" si="835"/>
        <v>0</v>
      </c>
      <c r="K482" s="104">
        <f t="shared" si="788"/>
        <v>0</v>
      </c>
      <c r="L482" s="104">
        <f t="shared" si="837"/>
        <v>0</v>
      </c>
      <c r="M482" s="104"/>
      <c r="N482" s="104"/>
      <c r="O482" s="104"/>
      <c r="P482" s="104"/>
      <c r="Q482" s="104">
        <f t="shared" si="838"/>
        <v>0</v>
      </c>
      <c r="R482" s="104">
        <f t="shared" si="839"/>
        <v>0</v>
      </c>
      <c r="S482" s="104"/>
      <c r="T482" s="105"/>
      <c r="U482" s="100">
        <f t="shared" si="828"/>
        <v>0</v>
      </c>
      <c r="V482" s="130"/>
      <c r="W482" s="134">
        <f t="shared" si="829"/>
        <v>0</v>
      </c>
      <c r="X482" s="106"/>
      <c r="Y482" s="106">
        <f t="shared" si="830"/>
        <v>0</v>
      </c>
      <c r="Z482" s="106">
        <f t="shared" si="831"/>
        <v>0</v>
      </c>
      <c r="AA482" s="106">
        <f t="shared" si="832"/>
        <v>0</v>
      </c>
      <c r="AB482" s="106">
        <f t="shared" si="833"/>
        <v>0</v>
      </c>
      <c r="AC482" s="107">
        <f t="shared" si="834"/>
        <v>0</v>
      </c>
    </row>
    <row r="483" spans="1:29" s="82" customFormat="1" ht="17.25" customHeight="1">
      <c r="A483" s="1267"/>
      <c r="B483" s="97"/>
      <c r="C483" s="98"/>
      <c r="D483" s="98"/>
      <c r="E483" s="102" t="s">
        <v>54</v>
      </c>
      <c r="F483" s="104"/>
      <c r="G483" s="104"/>
      <c r="H483" s="104"/>
      <c r="I483" s="105"/>
      <c r="J483" s="104">
        <f t="shared" si="835"/>
        <v>0</v>
      </c>
      <c r="K483" s="104">
        <f t="shared" si="788"/>
        <v>0</v>
      </c>
      <c r="L483" s="104">
        <f t="shared" si="837"/>
        <v>0</v>
      </c>
      <c r="M483" s="104">
        <f t="shared" ref="M483" si="840">F483*60%</f>
        <v>0</v>
      </c>
      <c r="N483" s="104"/>
      <c r="O483" s="104"/>
      <c r="P483" s="104"/>
      <c r="Q483" s="104">
        <f t="shared" si="838"/>
        <v>0</v>
      </c>
      <c r="R483" s="104">
        <f t="shared" si="839"/>
        <v>0</v>
      </c>
      <c r="S483" s="104"/>
      <c r="T483" s="105"/>
      <c r="U483" s="100">
        <f t="shared" si="828"/>
        <v>0</v>
      </c>
      <c r="V483" s="130"/>
      <c r="W483" s="134">
        <f t="shared" si="829"/>
        <v>0</v>
      </c>
      <c r="X483" s="106"/>
      <c r="Y483" s="106">
        <f t="shared" si="830"/>
        <v>0</v>
      </c>
      <c r="Z483" s="106">
        <f t="shared" si="831"/>
        <v>0</v>
      </c>
      <c r="AA483" s="106">
        <f t="shared" si="832"/>
        <v>0</v>
      </c>
      <c r="AB483" s="106">
        <f t="shared" si="833"/>
        <v>0</v>
      </c>
      <c r="AC483" s="107">
        <f t="shared" si="834"/>
        <v>0</v>
      </c>
    </row>
    <row r="484" spans="1:29" s="82" customFormat="1" ht="17.25" customHeight="1">
      <c r="A484" s="1267"/>
      <c r="B484" s="97"/>
      <c r="C484" s="98"/>
      <c r="D484" s="98"/>
      <c r="E484" s="102" t="s">
        <v>55</v>
      </c>
      <c r="F484" s="104"/>
      <c r="G484" s="104"/>
      <c r="H484" s="104"/>
      <c r="I484" s="105"/>
      <c r="J484" s="104">
        <f t="shared" si="835"/>
        <v>0</v>
      </c>
      <c r="K484" s="104">
        <f t="shared" si="788"/>
        <v>0</v>
      </c>
      <c r="L484" s="104">
        <f t="shared" si="837"/>
        <v>0</v>
      </c>
      <c r="M484" s="104"/>
      <c r="N484" s="104"/>
      <c r="O484" s="104"/>
      <c r="P484" s="104"/>
      <c r="Q484" s="104">
        <f t="shared" si="838"/>
        <v>0</v>
      </c>
      <c r="R484" s="104">
        <f t="shared" si="839"/>
        <v>0</v>
      </c>
      <c r="S484" s="104"/>
      <c r="T484" s="105"/>
      <c r="U484" s="100">
        <f t="shared" si="828"/>
        <v>0</v>
      </c>
      <c r="V484" s="130"/>
      <c r="W484" s="134">
        <f t="shared" si="829"/>
        <v>0</v>
      </c>
      <c r="X484" s="106"/>
      <c r="Y484" s="106">
        <f t="shared" si="830"/>
        <v>0</v>
      </c>
      <c r="Z484" s="106">
        <f t="shared" si="831"/>
        <v>0</v>
      </c>
      <c r="AA484" s="106">
        <f t="shared" si="832"/>
        <v>0</v>
      </c>
      <c r="AB484" s="106">
        <f t="shared" si="833"/>
        <v>0</v>
      </c>
      <c r="AC484" s="107">
        <f t="shared" si="834"/>
        <v>0</v>
      </c>
    </row>
    <row r="485" spans="1:29" s="82" customFormat="1" ht="17.25" customHeight="1">
      <c r="A485" s="1267"/>
      <c r="B485" s="97"/>
      <c r="C485" s="98"/>
      <c r="D485" s="98"/>
      <c r="E485" s="102" t="s">
        <v>56</v>
      </c>
      <c r="F485" s="104"/>
      <c r="G485" s="104"/>
      <c r="H485" s="104"/>
      <c r="I485" s="105"/>
      <c r="J485" s="104">
        <f t="shared" si="835"/>
        <v>0</v>
      </c>
      <c r="K485" s="104">
        <f t="shared" si="788"/>
        <v>0</v>
      </c>
      <c r="L485" s="104">
        <f t="shared" si="837"/>
        <v>0</v>
      </c>
      <c r="M485" s="104"/>
      <c r="N485" s="104"/>
      <c r="O485" s="104"/>
      <c r="P485" s="104"/>
      <c r="Q485" s="104">
        <f t="shared" si="838"/>
        <v>0</v>
      </c>
      <c r="R485" s="104">
        <f t="shared" si="839"/>
        <v>0</v>
      </c>
      <c r="S485" s="104"/>
      <c r="T485" s="105"/>
      <c r="U485" s="100">
        <f t="shared" si="828"/>
        <v>0</v>
      </c>
      <c r="V485" s="130"/>
      <c r="W485" s="134">
        <f t="shared" si="829"/>
        <v>0</v>
      </c>
      <c r="X485" s="106"/>
      <c r="Y485" s="106">
        <f t="shared" si="830"/>
        <v>0</v>
      </c>
      <c r="Z485" s="106">
        <f t="shared" si="831"/>
        <v>0</v>
      </c>
      <c r="AA485" s="106">
        <f t="shared" si="832"/>
        <v>0</v>
      </c>
      <c r="AB485" s="106">
        <f t="shared" si="833"/>
        <v>0</v>
      </c>
      <c r="AC485" s="107">
        <f t="shared" si="834"/>
        <v>0</v>
      </c>
    </row>
    <row r="486" spans="1:29" s="82" customFormat="1" ht="17.25" customHeight="1">
      <c r="A486" s="1267"/>
      <c r="B486" s="97"/>
      <c r="C486" s="98"/>
      <c r="D486" s="98"/>
      <c r="E486" s="102" t="s">
        <v>395</v>
      </c>
      <c r="F486" s="104"/>
      <c r="G486" s="104"/>
      <c r="H486" s="104"/>
      <c r="I486" s="105"/>
      <c r="J486" s="104">
        <f t="shared" si="835"/>
        <v>0</v>
      </c>
      <c r="K486" s="104">
        <f t="shared" ref="K486" si="841">J486*40*2</f>
        <v>0</v>
      </c>
      <c r="L486" s="104">
        <f t="shared" si="837"/>
        <v>0</v>
      </c>
      <c r="M486" s="104"/>
      <c r="N486" s="104"/>
      <c r="O486" s="104"/>
      <c r="P486" s="104"/>
      <c r="Q486" s="104">
        <f t="shared" si="838"/>
        <v>0</v>
      </c>
      <c r="R486" s="104">
        <f>Q486*40*2</f>
        <v>0</v>
      </c>
      <c r="S486" s="104"/>
      <c r="T486" s="105"/>
      <c r="U486" s="100">
        <f t="shared" si="828"/>
        <v>0</v>
      </c>
      <c r="V486" s="130"/>
      <c r="W486" s="134">
        <f t="shared" si="829"/>
        <v>0</v>
      </c>
      <c r="X486" s="106"/>
      <c r="Y486" s="106">
        <f t="shared" si="830"/>
        <v>0</v>
      </c>
      <c r="Z486" s="106">
        <f t="shared" si="831"/>
        <v>0</v>
      </c>
      <c r="AA486" s="106">
        <f t="shared" si="832"/>
        <v>0</v>
      </c>
      <c r="AB486" s="106">
        <f t="shared" si="833"/>
        <v>0</v>
      </c>
      <c r="AC486" s="107">
        <f t="shared" si="834"/>
        <v>0</v>
      </c>
    </row>
    <row r="487" spans="1:29" s="82" customFormat="1" ht="15.75" customHeight="1">
      <c r="A487" s="1267">
        <v>36</v>
      </c>
      <c r="B487" s="97" t="s">
        <v>87</v>
      </c>
      <c r="C487" s="98">
        <v>1</v>
      </c>
      <c r="D487" s="98">
        <v>1</v>
      </c>
      <c r="E487" s="99" t="s">
        <v>86</v>
      </c>
      <c r="F487" s="100">
        <f t="shared" ref="F487" si="842">SUM(F488:F499)</f>
        <v>0</v>
      </c>
      <c r="G487" s="100">
        <f t="shared" ref="G487:N487" si="843">SUM(G488:G499)</f>
        <v>0</v>
      </c>
      <c r="H487" s="100">
        <f t="shared" si="843"/>
        <v>0</v>
      </c>
      <c r="I487" s="100">
        <f t="shared" ref="I487" si="844">SUM(I488:I499)</f>
        <v>0</v>
      </c>
      <c r="J487" s="100">
        <f t="shared" si="843"/>
        <v>0</v>
      </c>
      <c r="K487" s="100">
        <f t="shared" si="843"/>
        <v>0</v>
      </c>
      <c r="L487" s="100">
        <f t="shared" si="843"/>
        <v>0</v>
      </c>
      <c r="M487" s="100">
        <f t="shared" si="843"/>
        <v>0</v>
      </c>
      <c r="N487" s="100">
        <f t="shared" si="843"/>
        <v>0</v>
      </c>
      <c r="O487" s="100">
        <f t="shared" ref="O487" si="845">SUM(O488:O499)</f>
        <v>0</v>
      </c>
      <c r="P487" s="100"/>
      <c r="Q487" s="100"/>
      <c r="R487" s="100">
        <f t="shared" si="798"/>
        <v>0</v>
      </c>
      <c r="S487" s="100">
        <f>SUM(S488:S499)</f>
        <v>0</v>
      </c>
      <c r="T487" s="100"/>
      <c r="U487" s="100">
        <f t="shared" ref="U487" si="846">SUM(U488:U499)</f>
        <v>0</v>
      </c>
      <c r="V487" s="130"/>
      <c r="W487" s="143">
        <f t="shared" ref="W487" si="847">SUM(W488:W499)</f>
        <v>0</v>
      </c>
      <c r="X487" s="100">
        <f t="shared" ref="X487" si="848">SUM(X488:X499)</f>
        <v>0</v>
      </c>
      <c r="Y487" s="100">
        <f t="shared" ref="Y487:AB487" si="849">SUM(Y488:Y499)</f>
        <v>0</v>
      </c>
      <c r="Z487" s="100">
        <f t="shared" si="849"/>
        <v>0</v>
      </c>
      <c r="AA487" s="100">
        <f t="shared" si="849"/>
        <v>0</v>
      </c>
      <c r="AB487" s="100">
        <f t="shared" si="849"/>
        <v>0</v>
      </c>
      <c r="AC487" s="101">
        <f>SUM(AC488:AC499)</f>
        <v>0</v>
      </c>
    </row>
    <row r="488" spans="1:29" s="82" customFormat="1" ht="15.75" customHeight="1">
      <c r="A488" s="1267"/>
      <c r="B488" s="97" t="s">
        <v>846</v>
      </c>
      <c r="C488" s="171">
        <v>1</v>
      </c>
      <c r="D488" s="171"/>
      <c r="E488" s="172" t="s">
        <v>389</v>
      </c>
      <c r="F488" s="173"/>
      <c r="G488" s="104"/>
      <c r="H488" s="103"/>
      <c r="I488" s="105"/>
      <c r="J488" s="104"/>
      <c r="K488" s="104"/>
      <c r="L488" s="104"/>
      <c r="M488" s="104">
        <f t="shared" ref="M488" si="850">F488*60%</f>
        <v>0</v>
      </c>
      <c r="N488" s="104"/>
      <c r="O488" s="104"/>
      <c r="P488" s="104"/>
      <c r="Q488" s="104"/>
      <c r="R488" s="104"/>
      <c r="S488" s="104"/>
      <c r="T488" s="105"/>
      <c r="U488" s="100">
        <f t="shared" ref="U488" si="851">SUM(I488,L488)</f>
        <v>0</v>
      </c>
      <c r="V488" s="130"/>
      <c r="W488" s="134">
        <f t="shared" ref="W488:W489" si="852">ROUNDUP(U488*1/12,-1)</f>
        <v>0</v>
      </c>
      <c r="X488" s="106"/>
      <c r="Y488" s="106">
        <f t="shared" ref="Y488:Y499" si="853">ROUNDUP((U488-L488)*3.06%,-1)</f>
        <v>0</v>
      </c>
      <c r="Z488" s="106">
        <f>ROUNDUP(Y488*6.55%,-1)</f>
        <v>0</v>
      </c>
      <c r="AA488" s="106">
        <f t="shared" ref="AA488:AA499" si="854">ROUND(U488*0.9%,-1)</f>
        <v>0</v>
      </c>
      <c r="AB488" s="106">
        <f t="shared" ref="AB488:AB499" si="855">ROUND(U488*0.8%,-1)</f>
        <v>0</v>
      </c>
      <c r="AC488" s="107">
        <f t="shared" ref="AC488:AC499" si="856">SUM(W488:AB488)</f>
        <v>0</v>
      </c>
    </row>
    <row r="489" spans="1:29" s="82" customFormat="1" ht="15.75" customHeight="1">
      <c r="A489" s="1267"/>
      <c r="B489" s="97"/>
      <c r="C489" s="98"/>
      <c r="D489" s="98"/>
      <c r="E489" s="102" t="s">
        <v>390</v>
      </c>
      <c r="F489" s="104"/>
      <c r="G489" s="104"/>
      <c r="H489" s="104"/>
      <c r="I489" s="105"/>
      <c r="J489" s="104">
        <f t="shared" ref="J489:J499" si="857">ROUND((F488+I488+T488)*1/209*1.5,-1)</f>
        <v>0</v>
      </c>
      <c r="K489" s="104">
        <f t="shared" ref="K489:K498" si="858">J489*40</f>
        <v>0</v>
      </c>
      <c r="L489" s="104">
        <f t="shared" ref="L489:L499" si="859">K489-R489</f>
        <v>0</v>
      </c>
      <c r="M489" s="104"/>
      <c r="N489" s="104"/>
      <c r="O489" s="104"/>
      <c r="P489" s="104"/>
      <c r="Q489" s="104">
        <f t="shared" ref="Q489" si="860">ROUND((F488+T488)*1/209*1.5,-1)</f>
        <v>0</v>
      </c>
      <c r="R489" s="104">
        <f>Q489*40</f>
        <v>0</v>
      </c>
      <c r="S489" s="104"/>
      <c r="T489" s="105"/>
      <c r="U489" s="100">
        <f t="shared" si="828"/>
        <v>0</v>
      </c>
      <c r="V489" s="130"/>
      <c r="W489" s="134">
        <f t="shared" si="852"/>
        <v>0</v>
      </c>
      <c r="X489" s="106"/>
      <c r="Y489" s="106">
        <f t="shared" si="853"/>
        <v>0</v>
      </c>
      <c r="Z489" s="106">
        <f t="shared" ref="Z489:Z499" si="861">ROUNDUP(Y489*6.55%,-1)</f>
        <v>0</v>
      </c>
      <c r="AA489" s="106">
        <f t="shared" si="854"/>
        <v>0</v>
      </c>
      <c r="AB489" s="106">
        <f t="shared" si="855"/>
        <v>0</v>
      </c>
      <c r="AC489" s="107">
        <f t="shared" si="856"/>
        <v>0</v>
      </c>
    </row>
    <row r="490" spans="1:29" s="82" customFormat="1" ht="15.75" customHeight="1">
      <c r="A490" s="1267"/>
      <c r="B490" s="97"/>
      <c r="C490" s="98"/>
      <c r="D490" s="98"/>
      <c r="E490" s="102" t="s">
        <v>391</v>
      </c>
      <c r="F490" s="104"/>
      <c r="G490" s="104"/>
      <c r="H490" s="104"/>
      <c r="I490" s="105"/>
      <c r="J490" s="104">
        <f t="shared" si="857"/>
        <v>0</v>
      </c>
      <c r="K490" s="104">
        <f t="shared" si="858"/>
        <v>0</v>
      </c>
      <c r="L490" s="104">
        <f t="shared" si="859"/>
        <v>0</v>
      </c>
      <c r="M490" s="104"/>
      <c r="N490" s="104"/>
      <c r="O490" s="104"/>
      <c r="P490" s="104"/>
      <c r="Q490" s="104">
        <f t="shared" si="838"/>
        <v>0</v>
      </c>
      <c r="R490" s="104">
        <f t="shared" ref="R490:R498" si="862">Q490*40</f>
        <v>0</v>
      </c>
      <c r="S490" s="104"/>
      <c r="T490" s="105"/>
      <c r="U490" s="100">
        <f t="shared" si="828"/>
        <v>0</v>
      </c>
      <c r="V490" s="130"/>
      <c r="W490" s="134">
        <f t="shared" si="829"/>
        <v>0</v>
      </c>
      <c r="X490" s="106"/>
      <c r="Y490" s="106">
        <f t="shared" si="853"/>
        <v>0</v>
      </c>
      <c r="Z490" s="106">
        <f t="shared" si="861"/>
        <v>0</v>
      </c>
      <c r="AA490" s="106">
        <f t="shared" si="854"/>
        <v>0</v>
      </c>
      <c r="AB490" s="106">
        <f t="shared" si="855"/>
        <v>0</v>
      </c>
      <c r="AC490" s="107">
        <f t="shared" si="856"/>
        <v>0</v>
      </c>
    </row>
    <row r="491" spans="1:29" s="82" customFormat="1" ht="15.75" customHeight="1">
      <c r="A491" s="1267"/>
      <c r="B491" s="97"/>
      <c r="C491" s="98"/>
      <c r="D491" s="98"/>
      <c r="E491" s="102" t="s">
        <v>392</v>
      </c>
      <c r="F491" s="173"/>
      <c r="G491" s="104"/>
      <c r="H491" s="104"/>
      <c r="I491" s="105"/>
      <c r="J491" s="104">
        <f t="shared" si="857"/>
        <v>0</v>
      </c>
      <c r="K491" s="104">
        <f t="shared" si="858"/>
        <v>0</v>
      </c>
      <c r="L491" s="104">
        <f t="shared" si="859"/>
        <v>0</v>
      </c>
      <c r="M491" s="104"/>
      <c r="N491" s="104"/>
      <c r="O491" s="104"/>
      <c r="P491" s="104"/>
      <c r="Q491" s="104">
        <f t="shared" si="838"/>
        <v>0</v>
      </c>
      <c r="R491" s="104">
        <f t="shared" si="862"/>
        <v>0</v>
      </c>
      <c r="S491" s="104"/>
      <c r="T491" s="105"/>
      <c r="U491" s="100">
        <f t="shared" si="828"/>
        <v>0</v>
      </c>
      <c r="V491" s="130"/>
      <c r="W491" s="134">
        <f t="shared" si="829"/>
        <v>0</v>
      </c>
      <c r="X491" s="106"/>
      <c r="Y491" s="106">
        <f t="shared" si="853"/>
        <v>0</v>
      </c>
      <c r="Z491" s="106">
        <f t="shared" si="861"/>
        <v>0</v>
      </c>
      <c r="AA491" s="106">
        <f t="shared" si="854"/>
        <v>0</v>
      </c>
      <c r="AB491" s="106">
        <f t="shared" si="855"/>
        <v>0</v>
      </c>
      <c r="AC491" s="107">
        <f t="shared" si="856"/>
        <v>0</v>
      </c>
    </row>
    <row r="492" spans="1:29" s="82" customFormat="1" ht="15.75" customHeight="1">
      <c r="A492" s="1267"/>
      <c r="B492" s="97"/>
      <c r="C492" s="98"/>
      <c r="D492" s="98"/>
      <c r="E492" s="102" t="s">
        <v>393</v>
      </c>
      <c r="F492" s="104"/>
      <c r="G492" s="104"/>
      <c r="H492" s="104"/>
      <c r="I492" s="105"/>
      <c r="J492" s="104">
        <f t="shared" si="857"/>
        <v>0</v>
      </c>
      <c r="K492" s="104">
        <f t="shared" si="858"/>
        <v>0</v>
      </c>
      <c r="L492" s="104">
        <f t="shared" si="859"/>
        <v>0</v>
      </c>
      <c r="M492" s="104"/>
      <c r="N492" s="104"/>
      <c r="O492" s="104"/>
      <c r="P492" s="104"/>
      <c r="Q492" s="104">
        <f t="shared" si="838"/>
        <v>0</v>
      </c>
      <c r="R492" s="104">
        <f t="shared" si="862"/>
        <v>0</v>
      </c>
      <c r="S492" s="104"/>
      <c r="T492" s="105"/>
      <c r="U492" s="100">
        <f t="shared" si="828"/>
        <v>0</v>
      </c>
      <c r="V492" s="130"/>
      <c r="W492" s="134">
        <f t="shared" si="829"/>
        <v>0</v>
      </c>
      <c r="X492" s="106"/>
      <c r="Y492" s="106">
        <f t="shared" si="853"/>
        <v>0</v>
      </c>
      <c r="Z492" s="106">
        <f t="shared" si="861"/>
        <v>0</v>
      </c>
      <c r="AA492" s="106">
        <f t="shared" si="854"/>
        <v>0</v>
      </c>
      <c r="AB492" s="106">
        <f t="shared" si="855"/>
        <v>0</v>
      </c>
      <c r="AC492" s="107">
        <f t="shared" si="856"/>
        <v>0</v>
      </c>
    </row>
    <row r="493" spans="1:29" s="82" customFormat="1" ht="15.75" customHeight="1">
      <c r="A493" s="1267"/>
      <c r="B493" s="97"/>
      <c r="C493" s="98"/>
      <c r="D493" s="98"/>
      <c r="E493" s="102" t="s">
        <v>394</v>
      </c>
      <c r="F493" s="104"/>
      <c r="G493" s="104"/>
      <c r="H493" s="104"/>
      <c r="I493" s="105"/>
      <c r="J493" s="104">
        <f t="shared" si="857"/>
        <v>0</v>
      </c>
      <c r="K493" s="104">
        <f t="shared" si="858"/>
        <v>0</v>
      </c>
      <c r="L493" s="104">
        <f t="shared" si="859"/>
        <v>0</v>
      </c>
      <c r="M493" s="104"/>
      <c r="N493" s="104"/>
      <c r="O493" s="104"/>
      <c r="P493" s="104"/>
      <c r="Q493" s="104">
        <f t="shared" si="838"/>
        <v>0</v>
      </c>
      <c r="R493" s="104">
        <f t="shared" si="862"/>
        <v>0</v>
      </c>
      <c r="S493" s="104"/>
      <c r="T493" s="105"/>
      <c r="U493" s="100">
        <f t="shared" si="828"/>
        <v>0</v>
      </c>
      <c r="V493" s="130"/>
      <c r="W493" s="134">
        <f t="shared" si="829"/>
        <v>0</v>
      </c>
      <c r="X493" s="106"/>
      <c r="Y493" s="106">
        <f t="shared" si="853"/>
        <v>0</v>
      </c>
      <c r="Z493" s="106">
        <f t="shared" si="861"/>
        <v>0</v>
      </c>
      <c r="AA493" s="106">
        <f t="shared" si="854"/>
        <v>0</v>
      </c>
      <c r="AB493" s="106">
        <f t="shared" si="855"/>
        <v>0</v>
      </c>
      <c r="AC493" s="107">
        <f t="shared" si="856"/>
        <v>0</v>
      </c>
    </row>
    <row r="494" spans="1:29" s="82" customFormat="1" ht="15.75" customHeight="1">
      <c r="A494" s="1267"/>
      <c r="B494" s="97"/>
      <c r="C494" s="98"/>
      <c r="D494" s="98"/>
      <c r="E494" s="102" t="s">
        <v>279</v>
      </c>
      <c r="F494" s="104"/>
      <c r="G494" s="104"/>
      <c r="H494" s="103"/>
      <c r="I494" s="105"/>
      <c r="J494" s="104">
        <f t="shared" si="857"/>
        <v>0</v>
      </c>
      <c r="K494" s="104">
        <f t="shared" si="858"/>
        <v>0</v>
      </c>
      <c r="L494" s="104">
        <f t="shared" si="859"/>
        <v>0</v>
      </c>
      <c r="M494" s="104"/>
      <c r="N494" s="104"/>
      <c r="O494" s="104"/>
      <c r="P494" s="104"/>
      <c r="Q494" s="104">
        <f t="shared" si="838"/>
        <v>0</v>
      </c>
      <c r="R494" s="104">
        <f t="shared" si="862"/>
        <v>0</v>
      </c>
      <c r="S494" s="104"/>
      <c r="T494" s="105"/>
      <c r="U494" s="100">
        <f t="shared" si="828"/>
        <v>0</v>
      </c>
      <c r="V494" s="130"/>
      <c r="W494" s="134">
        <f t="shared" si="829"/>
        <v>0</v>
      </c>
      <c r="X494" s="106"/>
      <c r="Y494" s="106">
        <f t="shared" si="853"/>
        <v>0</v>
      </c>
      <c r="Z494" s="106">
        <f t="shared" si="861"/>
        <v>0</v>
      </c>
      <c r="AA494" s="106">
        <f t="shared" si="854"/>
        <v>0</v>
      </c>
      <c r="AB494" s="106">
        <f t="shared" si="855"/>
        <v>0</v>
      </c>
      <c r="AC494" s="107">
        <f t="shared" si="856"/>
        <v>0</v>
      </c>
    </row>
    <row r="495" spans="1:29" s="82" customFormat="1" ht="15.75" customHeight="1">
      <c r="A495" s="1267"/>
      <c r="B495" s="97"/>
      <c r="C495" s="98"/>
      <c r="D495" s="98"/>
      <c r="E495" s="102" t="s">
        <v>280</v>
      </c>
      <c r="F495" s="104"/>
      <c r="G495" s="104"/>
      <c r="H495" s="104"/>
      <c r="I495" s="105"/>
      <c r="J495" s="104">
        <f t="shared" si="857"/>
        <v>0</v>
      </c>
      <c r="K495" s="104">
        <f t="shared" si="858"/>
        <v>0</v>
      </c>
      <c r="L495" s="104">
        <f t="shared" si="859"/>
        <v>0</v>
      </c>
      <c r="M495" s="104"/>
      <c r="N495" s="104"/>
      <c r="O495" s="104"/>
      <c r="P495" s="104"/>
      <c r="Q495" s="104">
        <f t="shared" si="838"/>
        <v>0</v>
      </c>
      <c r="R495" s="104">
        <f t="shared" si="862"/>
        <v>0</v>
      </c>
      <c r="S495" s="104"/>
      <c r="T495" s="105"/>
      <c r="U495" s="100">
        <f t="shared" si="828"/>
        <v>0</v>
      </c>
      <c r="V495" s="130"/>
      <c r="W495" s="134">
        <f t="shared" si="829"/>
        <v>0</v>
      </c>
      <c r="X495" s="106"/>
      <c r="Y495" s="106">
        <f t="shared" si="853"/>
        <v>0</v>
      </c>
      <c r="Z495" s="106">
        <f t="shared" si="861"/>
        <v>0</v>
      </c>
      <c r="AA495" s="106">
        <f t="shared" si="854"/>
        <v>0</v>
      </c>
      <c r="AB495" s="106">
        <f t="shared" si="855"/>
        <v>0</v>
      </c>
      <c r="AC495" s="107">
        <f t="shared" si="856"/>
        <v>0</v>
      </c>
    </row>
    <row r="496" spans="1:29" s="82" customFormat="1" ht="15.75" customHeight="1">
      <c r="A496" s="1267"/>
      <c r="B496" s="97"/>
      <c r="C496" s="98"/>
      <c r="D496" s="98"/>
      <c r="E496" s="102" t="s">
        <v>54</v>
      </c>
      <c r="F496" s="104"/>
      <c r="G496" s="104"/>
      <c r="H496" s="104"/>
      <c r="I496" s="105"/>
      <c r="J496" s="104">
        <f t="shared" si="857"/>
        <v>0</v>
      </c>
      <c r="K496" s="104">
        <f t="shared" si="858"/>
        <v>0</v>
      </c>
      <c r="L496" s="104">
        <f t="shared" si="859"/>
        <v>0</v>
      </c>
      <c r="M496" s="104">
        <f t="shared" ref="M496" si="863">F496*60%</f>
        <v>0</v>
      </c>
      <c r="N496" s="104"/>
      <c r="O496" s="104"/>
      <c r="P496" s="104"/>
      <c r="Q496" s="104">
        <f t="shared" si="838"/>
        <v>0</v>
      </c>
      <c r="R496" s="104">
        <f t="shared" si="862"/>
        <v>0</v>
      </c>
      <c r="S496" s="104"/>
      <c r="T496" s="105"/>
      <c r="U496" s="100">
        <f t="shared" si="828"/>
        <v>0</v>
      </c>
      <c r="V496" s="130"/>
      <c r="W496" s="134">
        <f t="shared" si="829"/>
        <v>0</v>
      </c>
      <c r="X496" s="106"/>
      <c r="Y496" s="106">
        <f t="shared" si="853"/>
        <v>0</v>
      </c>
      <c r="Z496" s="106">
        <f t="shared" si="861"/>
        <v>0</v>
      </c>
      <c r="AA496" s="106">
        <f t="shared" si="854"/>
        <v>0</v>
      </c>
      <c r="AB496" s="106">
        <f t="shared" si="855"/>
        <v>0</v>
      </c>
      <c r="AC496" s="107">
        <f t="shared" si="856"/>
        <v>0</v>
      </c>
    </row>
    <row r="497" spans="1:29" s="82" customFormat="1" ht="15.75" customHeight="1">
      <c r="A497" s="1267"/>
      <c r="B497" s="97"/>
      <c r="C497" s="98"/>
      <c r="D497" s="98"/>
      <c r="E497" s="102" t="s">
        <v>55</v>
      </c>
      <c r="F497" s="104"/>
      <c r="G497" s="104"/>
      <c r="H497" s="104"/>
      <c r="I497" s="105"/>
      <c r="J497" s="104">
        <f t="shared" si="857"/>
        <v>0</v>
      </c>
      <c r="K497" s="104">
        <f t="shared" si="858"/>
        <v>0</v>
      </c>
      <c r="L497" s="104">
        <f t="shared" si="859"/>
        <v>0</v>
      </c>
      <c r="M497" s="104"/>
      <c r="N497" s="104"/>
      <c r="O497" s="104"/>
      <c r="P497" s="104"/>
      <c r="Q497" s="104">
        <f t="shared" si="838"/>
        <v>0</v>
      </c>
      <c r="R497" s="104">
        <f t="shared" si="862"/>
        <v>0</v>
      </c>
      <c r="S497" s="104"/>
      <c r="T497" s="105"/>
      <c r="U497" s="100">
        <f t="shared" si="828"/>
        <v>0</v>
      </c>
      <c r="V497" s="130"/>
      <c r="W497" s="134">
        <f t="shared" si="829"/>
        <v>0</v>
      </c>
      <c r="X497" s="106"/>
      <c r="Y497" s="106">
        <f t="shared" si="853"/>
        <v>0</v>
      </c>
      <c r="Z497" s="106">
        <f t="shared" si="861"/>
        <v>0</v>
      </c>
      <c r="AA497" s="106">
        <f t="shared" si="854"/>
        <v>0</v>
      </c>
      <c r="AB497" s="106">
        <f t="shared" si="855"/>
        <v>0</v>
      </c>
      <c r="AC497" s="107">
        <f t="shared" si="856"/>
        <v>0</v>
      </c>
    </row>
    <row r="498" spans="1:29" s="82" customFormat="1" ht="15.75" customHeight="1">
      <c r="A498" s="1267"/>
      <c r="B498" s="97"/>
      <c r="C498" s="98"/>
      <c r="D498" s="98"/>
      <c r="E498" s="102" t="s">
        <v>56</v>
      </c>
      <c r="F498" s="104"/>
      <c r="G498" s="104"/>
      <c r="H498" s="104"/>
      <c r="I498" s="105"/>
      <c r="J498" s="104">
        <f t="shared" si="857"/>
        <v>0</v>
      </c>
      <c r="K498" s="104">
        <f t="shared" si="858"/>
        <v>0</v>
      </c>
      <c r="L498" s="104">
        <f t="shared" si="859"/>
        <v>0</v>
      </c>
      <c r="M498" s="104"/>
      <c r="N498" s="104"/>
      <c r="O498" s="104"/>
      <c r="P498" s="104"/>
      <c r="Q498" s="104">
        <f t="shared" si="838"/>
        <v>0</v>
      </c>
      <c r="R498" s="104">
        <f t="shared" si="862"/>
        <v>0</v>
      </c>
      <c r="S498" s="104"/>
      <c r="T498" s="105"/>
      <c r="U498" s="100">
        <f t="shared" si="828"/>
        <v>0</v>
      </c>
      <c r="V498" s="130"/>
      <c r="W498" s="134">
        <f t="shared" si="829"/>
        <v>0</v>
      </c>
      <c r="X498" s="106"/>
      <c r="Y498" s="106">
        <f t="shared" si="853"/>
        <v>0</v>
      </c>
      <c r="Z498" s="106">
        <f t="shared" si="861"/>
        <v>0</v>
      </c>
      <c r="AA498" s="106">
        <f t="shared" si="854"/>
        <v>0</v>
      </c>
      <c r="AB498" s="106">
        <f t="shared" si="855"/>
        <v>0</v>
      </c>
      <c r="AC498" s="107">
        <f t="shared" si="856"/>
        <v>0</v>
      </c>
    </row>
    <row r="499" spans="1:29" s="82" customFormat="1" ht="16.5" customHeight="1">
      <c r="A499" s="1267"/>
      <c r="B499" s="97"/>
      <c r="C499" s="98"/>
      <c r="D499" s="98"/>
      <c r="E499" s="102" t="s">
        <v>395</v>
      </c>
      <c r="F499" s="104"/>
      <c r="G499" s="104"/>
      <c r="H499" s="104"/>
      <c r="I499" s="105"/>
      <c r="J499" s="104">
        <f t="shared" si="857"/>
        <v>0</v>
      </c>
      <c r="K499" s="104">
        <f t="shared" ref="K499" si="864">J499*40*2</f>
        <v>0</v>
      </c>
      <c r="L499" s="104">
        <f t="shared" si="859"/>
        <v>0</v>
      </c>
      <c r="M499" s="104"/>
      <c r="N499" s="104"/>
      <c r="O499" s="104"/>
      <c r="P499" s="104"/>
      <c r="Q499" s="104">
        <f t="shared" si="838"/>
        <v>0</v>
      </c>
      <c r="R499" s="104">
        <f>Q499*40*2</f>
        <v>0</v>
      </c>
      <c r="S499" s="104"/>
      <c r="T499" s="105"/>
      <c r="U499" s="100">
        <f t="shared" si="828"/>
        <v>0</v>
      </c>
      <c r="V499" s="130"/>
      <c r="W499" s="134">
        <f t="shared" si="829"/>
        <v>0</v>
      </c>
      <c r="X499" s="106"/>
      <c r="Y499" s="106">
        <f t="shared" si="853"/>
        <v>0</v>
      </c>
      <c r="Z499" s="106">
        <f t="shared" si="861"/>
        <v>0</v>
      </c>
      <c r="AA499" s="106">
        <f t="shared" si="854"/>
        <v>0</v>
      </c>
      <c r="AB499" s="106">
        <f t="shared" si="855"/>
        <v>0</v>
      </c>
      <c r="AC499" s="107">
        <f t="shared" si="856"/>
        <v>0</v>
      </c>
    </row>
    <row r="500" spans="1:29" s="82" customFormat="1" ht="16.5" customHeight="1">
      <c r="A500" s="1267">
        <v>37</v>
      </c>
      <c r="B500" s="97" t="s">
        <v>87</v>
      </c>
      <c r="C500" s="98" t="s">
        <v>848</v>
      </c>
      <c r="D500" s="98">
        <v>1</v>
      </c>
      <c r="E500" s="99" t="s">
        <v>86</v>
      </c>
      <c r="F500" s="100">
        <f t="shared" ref="F500" si="865">SUM(F501:F512)</f>
        <v>0</v>
      </c>
      <c r="G500" s="100">
        <f t="shared" ref="G500:N500" si="866">SUM(G501:G512)</f>
        <v>0</v>
      </c>
      <c r="H500" s="100">
        <f t="shared" si="866"/>
        <v>0</v>
      </c>
      <c r="I500" s="100">
        <f t="shared" ref="I500" si="867">SUM(I501:I512)</f>
        <v>0</v>
      </c>
      <c r="J500" s="100">
        <f t="shared" si="866"/>
        <v>0</v>
      </c>
      <c r="K500" s="100">
        <f t="shared" si="866"/>
        <v>0</v>
      </c>
      <c r="L500" s="100">
        <f t="shared" si="866"/>
        <v>0</v>
      </c>
      <c r="M500" s="100">
        <f t="shared" si="866"/>
        <v>0</v>
      </c>
      <c r="N500" s="100">
        <f t="shared" si="866"/>
        <v>0</v>
      </c>
      <c r="O500" s="100">
        <f t="shared" ref="O500" si="868">SUM(O501:O512)</f>
        <v>0</v>
      </c>
      <c r="P500" s="100"/>
      <c r="Q500" s="100"/>
      <c r="R500" s="100">
        <f t="shared" si="798"/>
        <v>0</v>
      </c>
      <c r="S500" s="100">
        <f>SUM(S501:S512)</f>
        <v>0</v>
      </c>
      <c r="T500" s="100"/>
      <c r="U500" s="100">
        <f t="shared" ref="U500" si="869">SUM(U501:U512)</f>
        <v>0</v>
      </c>
      <c r="V500" s="130"/>
      <c r="W500" s="143">
        <f t="shared" ref="W500" si="870">SUM(W501:W512)</f>
        <v>0</v>
      </c>
      <c r="X500" s="100">
        <f t="shared" ref="X500" si="871">SUM(X501:X512)</f>
        <v>0</v>
      </c>
      <c r="Y500" s="100">
        <f t="shared" ref="Y500:AB500" si="872">SUM(Y501:Y512)</f>
        <v>0</v>
      </c>
      <c r="Z500" s="100">
        <f t="shared" si="872"/>
        <v>0</v>
      </c>
      <c r="AA500" s="100">
        <f t="shared" si="872"/>
        <v>0</v>
      </c>
      <c r="AB500" s="100">
        <f t="shared" si="872"/>
        <v>0</v>
      </c>
      <c r="AC500" s="101">
        <f>SUM(AC501:AC512)</f>
        <v>0</v>
      </c>
    </row>
    <row r="501" spans="1:29" s="82" customFormat="1" ht="17.25" customHeight="1">
      <c r="A501" s="1267"/>
      <c r="B501" s="97" t="s">
        <v>847</v>
      </c>
      <c r="C501" s="171">
        <v>1</v>
      </c>
      <c r="D501" s="171"/>
      <c r="E501" s="172" t="s">
        <v>389</v>
      </c>
      <c r="F501" s="173"/>
      <c r="G501" s="104"/>
      <c r="H501" s="103"/>
      <c r="I501" s="105"/>
      <c r="J501" s="104"/>
      <c r="K501" s="104"/>
      <c r="L501" s="104"/>
      <c r="M501" s="104">
        <f t="shared" ref="M501" si="873">F501*60%</f>
        <v>0</v>
      </c>
      <c r="N501" s="104"/>
      <c r="O501" s="104"/>
      <c r="P501" s="104"/>
      <c r="Q501" s="104"/>
      <c r="R501" s="104"/>
      <c r="S501" s="104"/>
      <c r="T501" s="105"/>
      <c r="U501" s="100">
        <f t="shared" ref="U501" si="874">SUM(I501,L501)</f>
        <v>0</v>
      </c>
      <c r="V501" s="130"/>
      <c r="W501" s="134">
        <f t="shared" ref="W501:W502" si="875">ROUNDUP(U501*1/12,-1)</f>
        <v>0</v>
      </c>
      <c r="X501" s="106"/>
      <c r="Y501" s="106">
        <f t="shared" ref="Y501:Y512" si="876">ROUNDUP((U501-L501)*3.06%,-1)</f>
        <v>0</v>
      </c>
      <c r="Z501" s="106">
        <f>ROUNDUP(Y501*6.55%,-1)</f>
        <v>0</v>
      </c>
      <c r="AA501" s="106">
        <f t="shared" ref="AA501:AA512" si="877">ROUND(U501*0.9%,-1)</f>
        <v>0</v>
      </c>
      <c r="AB501" s="106">
        <f t="shared" ref="AB501:AB512" si="878">ROUND(U501*0.8%,-1)</f>
        <v>0</v>
      </c>
      <c r="AC501" s="107">
        <f t="shared" ref="AC501:AC512" si="879">SUM(W501:AB501)</f>
        <v>0</v>
      </c>
    </row>
    <row r="502" spans="1:29" s="82" customFormat="1" ht="16.5" customHeight="1">
      <c r="A502" s="1267"/>
      <c r="B502" s="97"/>
      <c r="C502" s="98"/>
      <c r="D502" s="98"/>
      <c r="E502" s="102" t="s">
        <v>390</v>
      </c>
      <c r="F502" s="104"/>
      <c r="G502" s="104"/>
      <c r="H502" s="104"/>
      <c r="I502" s="105"/>
      <c r="J502" s="104">
        <f t="shared" ref="J502:J512" si="880">ROUND((F501+I501+T501)*1/209*1.5,-1)</f>
        <v>0</v>
      </c>
      <c r="K502" s="104">
        <f t="shared" ref="K502:K511" si="881">J502*40</f>
        <v>0</v>
      </c>
      <c r="L502" s="104">
        <f t="shared" ref="L502:L512" si="882">K502-R502</f>
        <v>0</v>
      </c>
      <c r="M502" s="104"/>
      <c r="N502" s="104"/>
      <c r="O502" s="104"/>
      <c r="P502" s="104"/>
      <c r="Q502" s="104">
        <f t="shared" ref="Q502" si="883">ROUND((F501+T501)*1/209*1.5,-1)</f>
        <v>0</v>
      </c>
      <c r="R502" s="104">
        <f>Q502*40</f>
        <v>0</v>
      </c>
      <c r="S502" s="104"/>
      <c r="T502" s="105"/>
      <c r="U502" s="100">
        <f t="shared" si="828"/>
        <v>0</v>
      </c>
      <c r="V502" s="130"/>
      <c r="W502" s="134">
        <f t="shared" si="875"/>
        <v>0</v>
      </c>
      <c r="X502" s="106"/>
      <c r="Y502" s="106">
        <f t="shared" si="876"/>
        <v>0</v>
      </c>
      <c r="Z502" s="106">
        <f t="shared" ref="Z502:Z512" si="884">ROUNDUP(Y502*6.55%,-1)</f>
        <v>0</v>
      </c>
      <c r="AA502" s="106">
        <f t="shared" si="877"/>
        <v>0</v>
      </c>
      <c r="AB502" s="106">
        <f t="shared" si="878"/>
        <v>0</v>
      </c>
      <c r="AC502" s="107">
        <f t="shared" si="879"/>
        <v>0</v>
      </c>
    </row>
    <row r="503" spans="1:29" s="82" customFormat="1" ht="16.5" customHeight="1">
      <c r="A503" s="1267"/>
      <c r="B503" s="97"/>
      <c r="C503" s="98"/>
      <c r="D503" s="98"/>
      <c r="E503" s="102" t="s">
        <v>391</v>
      </c>
      <c r="F503" s="104"/>
      <c r="G503" s="104"/>
      <c r="H503" s="104"/>
      <c r="I503" s="105"/>
      <c r="J503" s="104">
        <f t="shared" si="880"/>
        <v>0</v>
      </c>
      <c r="K503" s="104">
        <f t="shared" si="881"/>
        <v>0</v>
      </c>
      <c r="L503" s="104">
        <f t="shared" si="882"/>
        <v>0</v>
      </c>
      <c r="M503" s="104"/>
      <c r="N503" s="104"/>
      <c r="O503" s="104"/>
      <c r="P503" s="104"/>
      <c r="Q503" s="104">
        <f t="shared" si="838"/>
        <v>0</v>
      </c>
      <c r="R503" s="104">
        <f t="shared" ref="R503:R511" si="885">Q503*40</f>
        <v>0</v>
      </c>
      <c r="S503" s="104"/>
      <c r="T503" s="105"/>
      <c r="U503" s="100">
        <f t="shared" si="828"/>
        <v>0</v>
      </c>
      <c r="V503" s="130"/>
      <c r="W503" s="134">
        <f t="shared" si="829"/>
        <v>0</v>
      </c>
      <c r="X503" s="106"/>
      <c r="Y503" s="106">
        <f t="shared" si="876"/>
        <v>0</v>
      </c>
      <c r="Z503" s="106">
        <f t="shared" si="884"/>
        <v>0</v>
      </c>
      <c r="AA503" s="106">
        <f t="shared" si="877"/>
        <v>0</v>
      </c>
      <c r="AB503" s="106">
        <f t="shared" si="878"/>
        <v>0</v>
      </c>
      <c r="AC503" s="107">
        <f t="shared" si="879"/>
        <v>0</v>
      </c>
    </row>
    <row r="504" spans="1:29" s="82" customFormat="1" ht="16.5" customHeight="1">
      <c r="A504" s="1267"/>
      <c r="B504" s="97"/>
      <c r="C504" s="98"/>
      <c r="D504" s="98"/>
      <c r="E504" s="102" t="s">
        <v>392</v>
      </c>
      <c r="F504" s="173"/>
      <c r="G504" s="104"/>
      <c r="H504" s="104"/>
      <c r="I504" s="105"/>
      <c r="J504" s="104">
        <f t="shared" si="880"/>
        <v>0</v>
      </c>
      <c r="K504" s="104">
        <f t="shared" si="881"/>
        <v>0</v>
      </c>
      <c r="L504" s="104">
        <f t="shared" si="882"/>
        <v>0</v>
      </c>
      <c r="M504" s="104"/>
      <c r="N504" s="104"/>
      <c r="O504" s="104"/>
      <c r="P504" s="104"/>
      <c r="Q504" s="104">
        <f t="shared" si="838"/>
        <v>0</v>
      </c>
      <c r="R504" s="104">
        <f t="shared" si="885"/>
        <v>0</v>
      </c>
      <c r="S504" s="104"/>
      <c r="T504" s="105"/>
      <c r="U504" s="100">
        <f t="shared" si="828"/>
        <v>0</v>
      </c>
      <c r="V504" s="130"/>
      <c r="W504" s="134">
        <f t="shared" si="829"/>
        <v>0</v>
      </c>
      <c r="X504" s="106"/>
      <c r="Y504" s="106">
        <f t="shared" si="876"/>
        <v>0</v>
      </c>
      <c r="Z504" s="106">
        <f t="shared" si="884"/>
        <v>0</v>
      </c>
      <c r="AA504" s="106">
        <f t="shared" si="877"/>
        <v>0</v>
      </c>
      <c r="AB504" s="106">
        <f t="shared" si="878"/>
        <v>0</v>
      </c>
      <c r="AC504" s="107">
        <f t="shared" si="879"/>
        <v>0</v>
      </c>
    </row>
    <row r="505" spans="1:29" s="82" customFormat="1" ht="16.5" customHeight="1">
      <c r="A505" s="1267"/>
      <c r="B505" s="97"/>
      <c r="C505" s="98"/>
      <c r="D505" s="98"/>
      <c r="E505" s="102" t="s">
        <v>393</v>
      </c>
      <c r="F505" s="104"/>
      <c r="G505" s="104"/>
      <c r="H505" s="104"/>
      <c r="I505" s="105"/>
      <c r="J505" s="104">
        <f t="shared" si="880"/>
        <v>0</v>
      </c>
      <c r="K505" s="104">
        <f t="shared" si="881"/>
        <v>0</v>
      </c>
      <c r="L505" s="104">
        <f t="shared" si="882"/>
        <v>0</v>
      </c>
      <c r="M505" s="104"/>
      <c r="N505" s="104"/>
      <c r="O505" s="104"/>
      <c r="P505" s="104"/>
      <c r="Q505" s="104">
        <f t="shared" si="838"/>
        <v>0</v>
      </c>
      <c r="R505" s="104">
        <f t="shared" si="885"/>
        <v>0</v>
      </c>
      <c r="S505" s="104"/>
      <c r="T505" s="105"/>
      <c r="U505" s="100">
        <f t="shared" si="828"/>
        <v>0</v>
      </c>
      <c r="V505" s="130"/>
      <c r="W505" s="134">
        <f t="shared" si="829"/>
        <v>0</v>
      </c>
      <c r="X505" s="106"/>
      <c r="Y505" s="106">
        <f t="shared" si="876"/>
        <v>0</v>
      </c>
      <c r="Z505" s="106">
        <f t="shared" si="884"/>
        <v>0</v>
      </c>
      <c r="AA505" s="106">
        <f t="shared" si="877"/>
        <v>0</v>
      </c>
      <c r="AB505" s="106">
        <f t="shared" si="878"/>
        <v>0</v>
      </c>
      <c r="AC505" s="107">
        <f t="shared" si="879"/>
        <v>0</v>
      </c>
    </row>
    <row r="506" spans="1:29" s="82" customFormat="1" ht="16.5" customHeight="1">
      <c r="A506" s="1267"/>
      <c r="B506" s="97"/>
      <c r="C506" s="98"/>
      <c r="D506" s="98"/>
      <c r="E506" s="102" t="s">
        <v>394</v>
      </c>
      <c r="F506" s="104"/>
      <c r="G506" s="104"/>
      <c r="H506" s="104"/>
      <c r="I506" s="105"/>
      <c r="J506" s="104">
        <f t="shared" si="880"/>
        <v>0</v>
      </c>
      <c r="K506" s="104">
        <f t="shared" si="881"/>
        <v>0</v>
      </c>
      <c r="L506" s="104">
        <f t="shared" si="882"/>
        <v>0</v>
      </c>
      <c r="M506" s="104"/>
      <c r="N506" s="104"/>
      <c r="O506" s="104"/>
      <c r="P506" s="104"/>
      <c r="Q506" s="104">
        <f t="shared" si="838"/>
        <v>0</v>
      </c>
      <c r="R506" s="104">
        <f t="shared" si="885"/>
        <v>0</v>
      </c>
      <c r="S506" s="104"/>
      <c r="T506" s="105"/>
      <c r="U506" s="100">
        <f t="shared" si="828"/>
        <v>0</v>
      </c>
      <c r="V506" s="130"/>
      <c r="W506" s="134">
        <f t="shared" si="829"/>
        <v>0</v>
      </c>
      <c r="X506" s="106"/>
      <c r="Y506" s="106">
        <f t="shared" si="876"/>
        <v>0</v>
      </c>
      <c r="Z506" s="106">
        <f t="shared" si="884"/>
        <v>0</v>
      </c>
      <c r="AA506" s="106">
        <f t="shared" si="877"/>
        <v>0</v>
      </c>
      <c r="AB506" s="106">
        <f t="shared" si="878"/>
        <v>0</v>
      </c>
      <c r="AC506" s="107">
        <f t="shared" si="879"/>
        <v>0</v>
      </c>
    </row>
    <row r="507" spans="1:29" s="82" customFormat="1" ht="16.5" customHeight="1">
      <c r="A507" s="1267"/>
      <c r="B507" s="97"/>
      <c r="C507" s="98"/>
      <c r="D507" s="98"/>
      <c r="E507" s="102" t="s">
        <v>279</v>
      </c>
      <c r="F507" s="104"/>
      <c r="G507" s="104"/>
      <c r="H507" s="103"/>
      <c r="I507" s="105"/>
      <c r="J507" s="104">
        <f t="shared" si="880"/>
        <v>0</v>
      </c>
      <c r="K507" s="104">
        <f t="shared" si="881"/>
        <v>0</v>
      </c>
      <c r="L507" s="104">
        <f t="shared" si="882"/>
        <v>0</v>
      </c>
      <c r="M507" s="104"/>
      <c r="N507" s="104"/>
      <c r="O507" s="104"/>
      <c r="P507" s="104"/>
      <c r="Q507" s="104">
        <f t="shared" si="838"/>
        <v>0</v>
      </c>
      <c r="R507" s="104">
        <f t="shared" si="885"/>
        <v>0</v>
      </c>
      <c r="S507" s="104"/>
      <c r="T507" s="105"/>
      <c r="U507" s="100">
        <f t="shared" si="828"/>
        <v>0</v>
      </c>
      <c r="V507" s="130"/>
      <c r="W507" s="134">
        <f t="shared" si="829"/>
        <v>0</v>
      </c>
      <c r="X507" s="106"/>
      <c r="Y507" s="106">
        <f t="shared" si="876"/>
        <v>0</v>
      </c>
      <c r="Z507" s="106">
        <f t="shared" si="884"/>
        <v>0</v>
      </c>
      <c r="AA507" s="106">
        <f t="shared" si="877"/>
        <v>0</v>
      </c>
      <c r="AB507" s="106">
        <f t="shared" si="878"/>
        <v>0</v>
      </c>
      <c r="AC507" s="107">
        <f t="shared" si="879"/>
        <v>0</v>
      </c>
    </row>
    <row r="508" spans="1:29" s="82" customFormat="1" ht="16.5" customHeight="1">
      <c r="A508" s="1267"/>
      <c r="B508" s="97"/>
      <c r="C508" s="98"/>
      <c r="D508" s="98"/>
      <c r="E508" s="102" t="s">
        <v>280</v>
      </c>
      <c r="F508" s="104"/>
      <c r="G508" s="104"/>
      <c r="H508" s="104"/>
      <c r="I508" s="105"/>
      <c r="J508" s="104">
        <f t="shared" si="880"/>
        <v>0</v>
      </c>
      <c r="K508" s="104">
        <f t="shared" si="881"/>
        <v>0</v>
      </c>
      <c r="L508" s="104">
        <f t="shared" si="882"/>
        <v>0</v>
      </c>
      <c r="M508" s="104"/>
      <c r="N508" s="104"/>
      <c r="O508" s="104"/>
      <c r="P508" s="104"/>
      <c r="Q508" s="104">
        <f t="shared" si="838"/>
        <v>0</v>
      </c>
      <c r="R508" s="104">
        <f t="shared" si="885"/>
        <v>0</v>
      </c>
      <c r="S508" s="104"/>
      <c r="T508" s="105"/>
      <c r="U508" s="100">
        <f t="shared" si="828"/>
        <v>0</v>
      </c>
      <c r="V508" s="130"/>
      <c r="W508" s="134">
        <f t="shared" si="829"/>
        <v>0</v>
      </c>
      <c r="X508" s="106"/>
      <c r="Y508" s="106">
        <f t="shared" si="876"/>
        <v>0</v>
      </c>
      <c r="Z508" s="106">
        <f t="shared" si="884"/>
        <v>0</v>
      </c>
      <c r="AA508" s="106">
        <f t="shared" si="877"/>
        <v>0</v>
      </c>
      <c r="AB508" s="106">
        <f t="shared" si="878"/>
        <v>0</v>
      </c>
      <c r="AC508" s="107">
        <f t="shared" si="879"/>
        <v>0</v>
      </c>
    </row>
    <row r="509" spans="1:29" s="82" customFormat="1" ht="16.5" customHeight="1">
      <c r="A509" s="1267"/>
      <c r="B509" s="97"/>
      <c r="C509" s="98">
        <v>6</v>
      </c>
      <c r="D509" s="98"/>
      <c r="E509" s="102" t="s">
        <v>54</v>
      </c>
      <c r="F509" s="104"/>
      <c r="G509" s="104"/>
      <c r="H509" s="104"/>
      <c r="I509" s="105"/>
      <c r="J509" s="104">
        <f t="shared" si="880"/>
        <v>0</v>
      </c>
      <c r="K509" s="104">
        <f t="shared" si="881"/>
        <v>0</v>
      </c>
      <c r="L509" s="104">
        <f t="shared" si="882"/>
        <v>0</v>
      </c>
      <c r="M509" s="104">
        <f t="shared" ref="M509" si="886">F509*60%</f>
        <v>0</v>
      </c>
      <c r="N509" s="104"/>
      <c r="O509" s="104"/>
      <c r="P509" s="104"/>
      <c r="Q509" s="104">
        <f t="shared" si="838"/>
        <v>0</v>
      </c>
      <c r="R509" s="104">
        <f t="shared" si="885"/>
        <v>0</v>
      </c>
      <c r="S509" s="104"/>
      <c r="T509" s="105"/>
      <c r="U509" s="100">
        <f t="shared" si="828"/>
        <v>0</v>
      </c>
      <c r="V509" s="130"/>
      <c r="W509" s="134">
        <f t="shared" si="829"/>
        <v>0</v>
      </c>
      <c r="X509" s="106"/>
      <c r="Y509" s="106">
        <f t="shared" si="876"/>
        <v>0</v>
      </c>
      <c r="Z509" s="106">
        <f t="shared" si="884"/>
        <v>0</v>
      </c>
      <c r="AA509" s="106">
        <f t="shared" si="877"/>
        <v>0</v>
      </c>
      <c r="AB509" s="106">
        <f t="shared" si="878"/>
        <v>0</v>
      </c>
      <c r="AC509" s="107">
        <f t="shared" si="879"/>
        <v>0</v>
      </c>
    </row>
    <row r="510" spans="1:29" s="82" customFormat="1" ht="16.5" customHeight="1">
      <c r="A510" s="1267"/>
      <c r="B510" s="97"/>
      <c r="C510" s="171">
        <v>2</v>
      </c>
      <c r="D510" s="171"/>
      <c r="E510" s="172" t="s">
        <v>55</v>
      </c>
      <c r="F510" s="104"/>
      <c r="G510" s="104"/>
      <c r="H510" s="104"/>
      <c r="I510" s="105"/>
      <c r="J510" s="104">
        <f t="shared" si="880"/>
        <v>0</v>
      </c>
      <c r="K510" s="104">
        <f t="shared" si="881"/>
        <v>0</v>
      </c>
      <c r="L510" s="104">
        <f t="shared" si="882"/>
        <v>0</v>
      </c>
      <c r="M510" s="104"/>
      <c r="N510" s="104"/>
      <c r="O510" s="104"/>
      <c r="P510" s="104"/>
      <c r="Q510" s="104">
        <f t="shared" si="838"/>
        <v>0</v>
      </c>
      <c r="R510" s="104">
        <f t="shared" si="885"/>
        <v>0</v>
      </c>
      <c r="S510" s="104"/>
      <c r="T510" s="105"/>
      <c r="U510" s="100">
        <f t="shared" si="828"/>
        <v>0</v>
      </c>
      <c r="V510" s="130"/>
      <c r="W510" s="134">
        <f t="shared" si="829"/>
        <v>0</v>
      </c>
      <c r="X510" s="106"/>
      <c r="Y510" s="106">
        <f>ROUNDUP((U510-L510)*3.06%,-1)</f>
        <v>0</v>
      </c>
      <c r="Z510" s="106">
        <f t="shared" si="884"/>
        <v>0</v>
      </c>
      <c r="AA510" s="106">
        <f t="shared" si="877"/>
        <v>0</v>
      </c>
      <c r="AB510" s="106">
        <f t="shared" si="878"/>
        <v>0</v>
      </c>
      <c r="AC510" s="107">
        <f t="shared" si="879"/>
        <v>0</v>
      </c>
    </row>
    <row r="511" spans="1:29" s="82" customFormat="1" ht="16.5" customHeight="1">
      <c r="A511" s="1267"/>
      <c r="B511" s="97"/>
      <c r="C511" s="98"/>
      <c r="D511" s="98"/>
      <c r="E511" s="102" t="s">
        <v>56</v>
      </c>
      <c r="F511" s="104"/>
      <c r="G511" s="104"/>
      <c r="H511" s="104"/>
      <c r="I511" s="105"/>
      <c r="J511" s="104">
        <f t="shared" si="880"/>
        <v>0</v>
      </c>
      <c r="K511" s="104">
        <f t="shared" si="881"/>
        <v>0</v>
      </c>
      <c r="L511" s="104">
        <f t="shared" si="882"/>
        <v>0</v>
      </c>
      <c r="M511" s="104"/>
      <c r="N511" s="104"/>
      <c r="O511" s="104"/>
      <c r="P511" s="104"/>
      <c r="Q511" s="104">
        <f t="shared" si="838"/>
        <v>0</v>
      </c>
      <c r="R511" s="104">
        <f t="shared" si="885"/>
        <v>0</v>
      </c>
      <c r="S511" s="104"/>
      <c r="T511" s="105"/>
      <c r="U511" s="100">
        <f t="shared" si="828"/>
        <v>0</v>
      </c>
      <c r="V511" s="130"/>
      <c r="W511" s="134">
        <f t="shared" si="829"/>
        <v>0</v>
      </c>
      <c r="X511" s="106"/>
      <c r="Y511" s="106">
        <f t="shared" si="876"/>
        <v>0</v>
      </c>
      <c r="Z511" s="106">
        <f t="shared" si="884"/>
        <v>0</v>
      </c>
      <c r="AA511" s="106">
        <f t="shared" si="877"/>
        <v>0</v>
      </c>
      <c r="AB511" s="106">
        <f t="shared" si="878"/>
        <v>0</v>
      </c>
      <c r="AC511" s="107">
        <f t="shared" si="879"/>
        <v>0</v>
      </c>
    </row>
    <row r="512" spans="1:29" s="82" customFormat="1" ht="16.5" customHeight="1">
      <c r="A512" s="1267"/>
      <c r="B512" s="97"/>
      <c r="C512" s="98"/>
      <c r="D512" s="98"/>
      <c r="E512" s="102" t="s">
        <v>395</v>
      </c>
      <c r="F512" s="104"/>
      <c r="G512" s="104"/>
      <c r="H512" s="104"/>
      <c r="I512" s="105"/>
      <c r="J512" s="104">
        <f t="shared" si="880"/>
        <v>0</v>
      </c>
      <c r="K512" s="104">
        <f t="shared" ref="K512" si="887">J512*40*2</f>
        <v>0</v>
      </c>
      <c r="L512" s="104">
        <f t="shared" si="882"/>
        <v>0</v>
      </c>
      <c r="M512" s="104"/>
      <c r="N512" s="104"/>
      <c r="O512" s="104"/>
      <c r="P512" s="104"/>
      <c r="Q512" s="104">
        <f t="shared" si="838"/>
        <v>0</v>
      </c>
      <c r="R512" s="104">
        <f>Q512*40*2</f>
        <v>0</v>
      </c>
      <c r="S512" s="104"/>
      <c r="T512" s="105"/>
      <c r="U512" s="100">
        <f t="shared" si="828"/>
        <v>0</v>
      </c>
      <c r="V512" s="130"/>
      <c r="W512" s="134">
        <f t="shared" si="829"/>
        <v>0</v>
      </c>
      <c r="X512" s="106"/>
      <c r="Y512" s="106">
        <f t="shared" si="876"/>
        <v>0</v>
      </c>
      <c r="Z512" s="106">
        <f t="shared" si="884"/>
        <v>0</v>
      </c>
      <c r="AA512" s="106">
        <f t="shared" si="877"/>
        <v>0</v>
      </c>
      <c r="AB512" s="106">
        <f t="shared" si="878"/>
        <v>0</v>
      </c>
      <c r="AC512" s="107">
        <f t="shared" si="879"/>
        <v>0</v>
      </c>
    </row>
    <row r="513" spans="1:29" s="82" customFormat="1" ht="16.5" customHeight="1">
      <c r="A513" s="1267">
        <v>38</v>
      </c>
      <c r="B513" s="97" t="s">
        <v>87</v>
      </c>
      <c r="C513" s="98">
        <v>1</v>
      </c>
      <c r="D513" s="98">
        <v>1</v>
      </c>
      <c r="E513" s="99" t="s">
        <v>86</v>
      </c>
      <c r="F513" s="100">
        <f t="shared" ref="F513" si="888">SUM(F514:F525)</f>
        <v>0</v>
      </c>
      <c r="G513" s="100">
        <f t="shared" ref="G513:N513" si="889">SUM(G514:G525)</f>
        <v>0</v>
      </c>
      <c r="H513" s="100">
        <f t="shared" si="889"/>
        <v>0</v>
      </c>
      <c r="I513" s="100">
        <f t="shared" ref="I513" si="890">SUM(I514:I525)</f>
        <v>0</v>
      </c>
      <c r="J513" s="100">
        <f t="shared" si="889"/>
        <v>0</v>
      </c>
      <c r="K513" s="100">
        <f t="shared" si="889"/>
        <v>0</v>
      </c>
      <c r="L513" s="100">
        <f t="shared" si="889"/>
        <v>0</v>
      </c>
      <c r="M513" s="100">
        <f t="shared" si="889"/>
        <v>0</v>
      </c>
      <c r="N513" s="100">
        <f t="shared" si="889"/>
        <v>0</v>
      </c>
      <c r="O513" s="100">
        <f t="shared" ref="O513" si="891">SUM(O514:O525)</f>
        <v>0</v>
      </c>
      <c r="P513" s="100"/>
      <c r="Q513" s="100"/>
      <c r="R513" s="100">
        <f t="shared" si="798"/>
        <v>0</v>
      </c>
      <c r="S513" s="100">
        <f>SUM(S514:S525)</f>
        <v>0</v>
      </c>
      <c r="T513" s="100"/>
      <c r="U513" s="100">
        <f t="shared" ref="U513" si="892">SUM(U514:U525)</f>
        <v>0</v>
      </c>
      <c r="V513" s="130"/>
      <c r="W513" s="143">
        <f t="shared" ref="W513" si="893">SUM(W514:W525)</f>
        <v>0</v>
      </c>
      <c r="X513" s="100">
        <f t="shared" ref="X513" si="894">SUM(X514:X525)</f>
        <v>0</v>
      </c>
      <c r="Y513" s="100">
        <f t="shared" ref="Y513:AB513" si="895">SUM(Y514:Y525)</f>
        <v>0</v>
      </c>
      <c r="Z513" s="100">
        <f t="shared" si="895"/>
        <v>0</v>
      </c>
      <c r="AA513" s="100">
        <f t="shared" si="895"/>
        <v>0</v>
      </c>
      <c r="AB513" s="100">
        <f t="shared" si="895"/>
        <v>0</v>
      </c>
      <c r="AC513" s="101">
        <f>SUM(AC514:AC525)</f>
        <v>0</v>
      </c>
    </row>
    <row r="514" spans="1:29" s="82" customFormat="1" ht="17.25" customHeight="1">
      <c r="A514" s="1267"/>
      <c r="B514" s="97" t="s">
        <v>849</v>
      </c>
      <c r="C514" s="171">
        <v>1</v>
      </c>
      <c r="D514" s="171"/>
      <c r="E514" s="172" t="s">
        <v>389</v>
      </c>
      <c r="F514" s="173"/>
      <c r="G514" s="104"/>
      <c r="H514" s="103"/>
      <c r="I514" s="105"/>
      <c r="J514" s="104"/>
      <c r="K514" s="104"/>
      <c r="L514" s="104"/>
      <c r="M514" s="104">
        <f t="shared" ref="M514" si="896">F514*60%</f>
        <v>0</v>
      </c>
      <c r="N514" s="104"/>
      <c r="O514" s="104"/>
      <c r="P514" s="104"/>
      <c r="Q514" s="104"/>
      <c r="R514" s="104"/>
      <c r="S514" s="104"/>
      <c r="T514" s="105"/>
      <c r="U514" s="100">
        <f t="shared" ref="U514" si="897">SUM(I514,L514)</f>
        <v>0</v>
      </c>
      <c r="V514" s="130"/>
      <c r="W514" s="134">
        <f t="shared" ref="W514:W515" si="898">ROUNDUP(U514*1/12,-1)</f>
        <v>0</v>
      </c>
      <c r="X514" s="106"/>
      <c r="Y514" s="106">
        <f t="shared" ref="Y514:Y525" si="899">ROUNDUP((U514-L514)*3.06%,-1)</f>
        <v>0</v>
      </c>
      <c r="Z514" s="106">
        <f>ROUNDUP(Y514*6.55%,-1)</f>
        <v>0</v>
      </c>
      <c r="AA514" s="106">
        <f t="shared" ref="AA514:AA525" si="900">ROUND(U514*0.9%,-1)</f>
        <v>0</v>
      </c>
      <c r="AB514" s="106">
        <f t="shared" ref="AB514:AB525" si="901">ROUND(U514*0.8%,-1)</f>
        <v>0</v>
      </c>
      <c r="AC514" s="107">
        <f t="shared" ref="AC514:AC525" si="902">SUM(W514:AB514)</f>
        <v>0</v>
      </c>
    </row>
    <row r="515" spans="1:29" s="82" customFormat="1" ht="16.5" customHeight="1">
      <c r="A515" s="1267"/>
      <c r="B515" s="97"/>
      <c r="C515" s="98"/>
      <c r="D515" s="98"/>
      <c r="E515" s="102" t="s">
        <v>390</v>
      </c>
      <c r="F515" s="104"/>
      <c r="G515" s="104"/>
      <c r="H515" s="104"/>
      <c r="I515" s="105"/>
      <c r="J515" s="104">
        <f t="shared" ref="J515:J525" si="903">ROUND((F514+I514+T514)*1/209*1.5,-1)</f>
        <v>0</v>
      </c>
      <c r="K515" s="104">
        <f t="shared" ref="K515:K537" si="904">J515*40</f>
        <v>0</v>
      </c>
      <c r="L515" s="104">
        <f t="shared" ref="L515:L525" si="905">K515-R515</f>
        <v>0</v>
      </c>
      <c r="M515" s="104"/>
      <c r="N515" s="104"/>
      <c r="O515" s="104"/>
      <c r="P515" s="104"/>
      <c r="Q515" s="104">
        <f t="shared" ref="Q515" si="906">ROUND((F514+T514)*1/209*1.5,-1)</f>
        <v>0</v>
      </c>
      <c r="R515" s="104">
        <f>Q515*40</f>
        <v>0</v>
      </c>
      <c r="S515" s="104"/>
      <c r="T515" s="105"/>
      <c r="U515" s="100">
        <f t="shared" si="828"/>
        <v>0</v>
      </c>
      <c r="V515" s="130"/>
      <c r="W515" s="134">
        <f t="shared" si="898"/>
        <v>0</v>
      </c>
      <c r="X515" s="106"/>
      <c r="Y515" s="106">
        <f t="shared" si="899"/>
        <v>0</v>
      </c>
      <c r="Z515" s="106">
        <f t="shared" ref="Z515:Z525" si="907">ROUNDUP(Y515*6.55%,-1)</f>
        <v>0</v>
      </c>
      <c r="AA515" s="106">
        <f t="shared" si="900"/>
        <v>0</v>
      </c>
      <c r="AB515" s="106">
        <f t="shared" si="901"/>
        <v>0</v>
      </c>
      <c r="AC515" s="107">
        <f t="shared" si="902"/>
        <v>0</v>
      </c>
    </row>
    <row r="516" spans="1:29" s="82" customFormat="1" ht="16.5" customHeight="1">
      <c r="A516" s="1267"/>
      <c r="B516" s="97"/>
      <c r="C516" s="98">
        <v>6</v>
      </c>
      <c r="D516" s="98"/>
      <c r="E516" s="102" t="s">
        <v>391</v>
      </c>
      <c r="F516" s="104"/>
      <c r="G516" s="104"/>
      <c r="H516" s="104"/>
      <c r="I516" s="105"/>
      <c r="J516" s="104">
        <f t="shared" si="903"/>
        <v>0</v>
      </c>
      <c r="K516" s="104">
        <f t="shared" si="904"/>
        <v>0</v>
      </c>
      <c r="L516" s="104">
        <f t="shared" si="905"/>
        <v>0</v>
      </c>
      <c r="M516" s="104"/>
      <c r="N516" s="104"/>
      <c r="O516" s="104"/>
      <c r="P516" s="104"/>
      <c r="Q516" s="104">
        <f t="shared" si="838"/>
        <v>0</v>
      </c>
      <c r="R516" s="104">
        <f t="shared" ref="R516:R524" si="908">Q516*40</f>
        <v>0</v>
      </c>
      <c r="S516" s="104"/>
      <c r="T516" s="105"/>
      <c r="U516" s="100">
        <f t="shared" si="828"/>
        <v>0</v>
      </c>
      <c r="V516" s="130"/>
      <c r="W516" s="134">
        <f t="shared" si="829"/>
        <v>0</v>
      </c>
      <c r="X516" s="106"/>
      <c r="Y516" s="106">
        <f t="shared" si="899"/>
        <v>0</v>
      </c>
      <c r="Z516" s="106">
        <f t="shared" si="907"/>
        <v>0</v>
      </c>
      <c r="AA516" s="106">
        <f t="shared" si="900"/>
        <v>0</v>
      </c>
      <c r="AB516" s="106">
        <f t="shared" si="901"/>
        <v>0</v>
      </c>
      <c r="AC516" s="107">
        <f t="shared" si="902"/>
        <v>0</v>
      </c>
    </row>
    <row r="517" spans="1:29" s="82" customFormat="1" ht="18" customHeight="1">
      <c r="A517" s="1267"/>
      <c r="B517" s="97"/>
      <c r="C517" s="98"/>
      <c r="D517" s="98"/>
      <c r="E517" s="102" t="s">
        <v>392</v>
      </c>
      <c r="F517" s="173"/>
      <c r="G517" s="104"/>
      <c r="H517" s="104"/>
      <c r="I517" s="105"/>
      <c r="J517" s="104">
        <f t="shared" si="903"/>
        <v>0</v>
      </c>
      <c r="K517" s="104">
        <f t="shared" si="904"/>
        <v>0</v>
      </c>
      <c r="L517" s="104">
        <f t="shared" si="905"/>
        <v>0</v>
      </c>
      <c r="M517" s="104"/>
      <c r="N517" s="104"/>
      <c r="O517" s="104"/>
      <c r="P517" s="104"/>
      <c r="Q517" s="104">
        <f t="shared" si="838"/>
        <v>0</v>
      </c>
      <c r="R517" s="104">
        <f t="shared" si="908"/>
        <v>0</v>
      </c>
      <c r="S517" s="104"/>
      <c r="T517" s="105"/>
      <c r="U517" s="100">
        <f t="shared" si="828"/>
        <v>0</v>
      </c>
      <c r="V517" s="130"/>
      <c r="W517" s="134">
        <f t="shared" si="829"/>
        <v>0</v>
      </c>
      <c r="X517" s="106"/>
      <c r="Y517" s="106">
        <f t="shared" si="899"/>
        <v>0</v>
      </c>
      <c r="Z517" s="106">
        <f t="shared" si="907"/>
        <v>0</v>
      </c>
      <c r="AA517" s="106">
        <f t="shared" si="900"/>
        <v>0</v>
      </c>
      <c r="AB517" s="106">
        <f t="shared" si="901"/>
        <v>0</v>
      </c>
      <c r="AC517" s="107">
        <f t="shared" si="902"/>
        <v>0</v>
      </c>
    </row>
    <row r="518" spans="1:29" s="82" customFormat="1" ht="18" customHeight="1">
      <c r="A518" s="1267"/>
      <c r="B518" s="97"/>
      <c r="C518" s="98"/>
      <c r="D518" s="98"/>
      <c r="E518" s="102" t="s">
        <v>393</v>
      </c>
      <c r="F518" s="104"/>
      <c r="G518" s="104"/>
      <c r="H518" s="104"/>
      <c r="I518" s="105"/>
      <c r="J518" s="104">
        <f t="shared" si="903"/>
        <v>0</v>
      </c>
      <c r="K518" s="104">
        <f t="shared" si="904"/>
        <v>0</v>
      </c>
      <c r="L518" s="104">
        <f t="shared" si="905"/>
        <v>0</v>
      </c>
      <c r="M518" s="104"/>
      <c r="N518" s="104"/>
      <c r="O518" s="104"/>
      <c r="P518" s="104"/>
      <c r="Q518" s="104">
        <f t="shared" si="838"/>
        <v>0</v>
      </c>
      <c r="R518" s="104">
        <f t="shared" si="908"/>
        <v>0</v>
      </c>
      <c r="S518" s="104"/>
      <c r="T518" s="105"/>
      <c r="U518" s="100">
        <f t="shared" si="828"/>
        <v>0</v>
      </c>
      <c r="V518" s="130"/>
      <c r="W518" s="134">
        <f t="shared" si="829"/>
        <v>0</v>
      </c>
      <c r="X518" s="106"/>
      <c r="Y518" s="106">
        <f t="shared" si="899"/>
        <v>0</v>
      </c>
      <c r="Z518" s="106">
        <f t="shared" si="907"/>
        <v>0</v>
      </c>
      <c r="AA518" s="106">
        <f t="shared" si="900"/>
        <v>0</v>
      </c>
      <c r="AB518" s="106">
        <f t="shared" si="901"/>
        <v>0</v>
      </c>
      <c r="AC518" s="107">
        <f t="shared" si="902"/>
        <v>0</v>
      </c>
    </row>
    <row r="519" spans="1:29" s="82" customFormat="1" ht="18" customHeight="1">
      <c r="A519" s="1267"/>
      <c r="B519" s="97"/>
      <c r="C519" s="98"/>
      <c r="D519" s="98"/>
      <c r="E519" s="102" t="s">
        <v>394</v>
      </c>
      <c r="F519" s="104"/>
      <c r="G519" s="104"/>
      <c r="H519" s="104"/>
      <c r="I519" s="105"/>
      <c r="J519" s="104">
        <f t="shared" si="903"/>
        <v>0</v>
      </c>
      <c r="K519" s="104">
        <f t="shared" si="904"/>
        <v>0</v>
      </c>
      <c r="L519" s="104">
        <f t="shared" si="905"/>
        <v>0</v>
      </c>
      <c r="M519" s="104"/>
      <c r="N519" s="104"/>
      <c r="O519" s="104"/>
      <c r="P519" s="104"/>
      <c r="Q519" s="104">
        <f t="shared" si="838"/>
        <v>0</v>
      </c>
      <c r="R519" s="104">
        <f t="shared" si="908"/>
        <v>0</v>
      </c>
      <c r="S519" s="104"/>
      <c r="T519" s="105"/>
      <c r="U519" s="100">
        <f t="shared" si="828"/>
        <v>0</v>
      </c>
      <c r="V519" s="130"/>
      <c r="W519" s="134">
        <f t="shared" si="829"/>
        <v>0</v>
      </c>
      <c r="X519" s="106"/>
      <c r="Y519" s="106">
        <f t="shared" si="899"/>
        <v>0</v>
      </c>
      <c r="Z519" s="106">
        <f t="shared" si="907"/>
        <v>0</v>
      </c>
      <c r="AA519" s="106">
        <f t="shared" si="900"/>
        <v>0</v>
      </c>
      <c r="AB519" s="106">
        <f t="shared" si="901"/>
        <v>0</v>
      </c>
      <c r="AC519" s="107">
        <f t="shared" si="902"/>
        <v>0</v>
      </c>
    </row>
    <row r="520" spans="1:29" s="82" customFormat="1" ht="16.5" customHeight="1">
      <c r="A520" s="1267"/>
      <c r="B520" s="97"/>
      <c r="C520" s="98"/>
      <c r="D520" s="98"/>
      <c r="E520" s="102" t="s">
        <v>279</v>
      </c>
      <c r="F520" s="104"/>
      <c r="G520" s="104"/>
      <c r="H520" s="103"/>
      <c r="I520" s="105"/>
      <c r="J520" s="104">
        <f t="shared" si="903"/>
        <v>0</v>
      </c>
      <c r="K520" s="104">
        <f t="shared" si="904"/>
        <v>0</v>
      </c>
      <c r="L520" s="104">
        <f t="shared" si="905"/>
        <v>0</v>
      </c>
      <c r="M520" s="104"/>
      <c r="N520" s="104"/>
      <c r="O520" s="104"/>
      <c r="P520" s="104"/>
      <c r="Q520" s="104">
        <f t="shared" si="838"/>
        <v>0</v>
      </c>
      <c r="R520" s="104">
        <f t="shared" si="908"/>
        <v>0</v>
      </c>
      <c r="S520" s="104"/>
      <c r="T520" s="105"/>
      <c r="U520" s="100">
        <f t="shared" si="828"/>
        <v>0</v>
      </c>
      <c r="V520" s="130"/>
      <c r="W520" s="134">
        <f t="shared" si="829"/>
        <v>0</v>
      </c>
      <c r="X520" s="106"/>
      <c r="Y520" s="106">
        <f t="shared" si="899"/>
        <v>0</v>
      </c>
      <c r="Z520" s="106">
        <f t="shared" si="907"/>
        <v>0</v>
      </c>
      <c r="AA520" s="106">
        <f t="shared" si="900"/>
        <v>0</v>
      </c>
      <c r="AB520" s="106">
        <f t="shared" si="901"/>
        <v>0</v>
      </c>
      <c r="AC520" s="107">
        <f t="shared" si="902"/>
        <v>0</v>
      </c>
    </row>
    <row r="521" spans="1:29" s="82" customFormat="1" ht="17.25" customHeight="1">
      <c r="A521" s="1267"/>
      <c r="B521" s="97"/>
      <c r="C521" s="98"/>
      <c r="D521" s="98"/>
      <c r="E521" s="102" t="s">
        <v>280</v>
      </c>
      <c r="F521" s="104"/>
      <c r="G521" s="104"/>
      <c r="H521" s="104"/>
      <c r="I521" s="105"/>
      <c r="J521" s="104">
        <f t="shared" si="903"/>
        <v>0</v>
      </c>
      <c r="K521" s="104">
        <f t="shared" si="904"/>
        <v>0</v>
      </c>
      <c r="L521" s="104">
        <f t="shared" si="905"/>
        <v>0</v>
      </c>
      <c r="M521" s="104"/>
      <c r="N521" s="104"/>
      <c r="O521" s="104"/>
      <c r="P521" s="104"/>
      <c r="Q521" s="104">
        <f t="shared" si="838"/>
        <v>0</v>
      </c>
      <c r="R521" s="104">
        <f t="shared" si="908"/>
        <v>0</v>
      </c>
      <c r="S521" s="104"/>
      <c r="T521" s="105"/>
      <c r="U521" s="100">
        <f t="shared" si="828"/>
        <v>0</v>
      </c>
      <c r="V521" s="130"/>
      <c r="W521" s="134">
        <f t="shared" si="829"/>
        <v>0</v>
      </c>
      <c r="X521" s="106"/>
      <c r="Y521" s="106">
        <f t="shared" si="899"/>
        <v>0</v>
      </c>
      <c r="Z521" s="106">
        <f t="shared" si="907"/>
        <v>0</v>
      </c>
      <c r="AA521" s="106">
        <f t="shared" si="900"/>
        <v>0</v>
      </c>
      <c r="AB521" s="106">
        <f t="shared" si="901"/>
        <v>0</v>
      </c>
      <c r="AC521" s="107">
        <f t="shared" si="902"/>
        <v>0</v>
      </c>
    </row>
    <row r="522" spans="1:29" s="82" customFormat="1" ht="17.25" customHeight="1">
      <c r="A522" s="1267"/>
      <c r="B522" s="97"/>
      <c r="C522" s="98"/>
      <c r="D522" s="98"/>
      <c r="E522" s="102" t="s">
        <v>54</v>
      </c>
      <c r="F522" s="104"/>
      <c r="G522" s="104"/>
      <c r="H522" s="104"/>
      <c r="I522" s="105"/>
      <c r="J522" s="104">
        <f t="shared" si="903"/>
        <v>0</v>
      </c>
      <c r="K522" s="104">
        <f t="shared" si="904"/>
        <v>0</v>
      </c>
      <c r="L522" s="104">
        <f t="shared" si="905"/>
        <v>0</v>
      </c>
      <c r="M522" s="104">
        <f t="shared" ref="M522" si="909">F522*60%</f>
        <v>0</v>
      </c>
      <c r="N522" s="104"/>
      <c r="O522" s="104"/>
      <c r="P522" s="104"/>
      <c r="Q522" s="104">
        <f t="shared" si="838"/>
        <v>0</v>
      </c>
      <c r="R522" s="104">
        <f t="shared" si="908"/>
        <v>0</v>
      </c>
      <c r="S522" s="104"/>
      <c r="T522" s="105"/>
      <c r="U522" s="100">
        <f t="shared" si="828"/>
        <v>0</v>
      </c>
      <c r="V522" s="130"/>
      <c r="W522" s="134">
        <f t="shared" si="829"/>
        <v>0</v>
      </c>
      <c r="X522" s="106"/>
      <c r="Y522" s="106">
        <f t="shared" si="899"/>
        <v>0</v>
      </c>
      <c r="Z522" s="106">
        <f t="shared" si="907"/>
        <v>0</v>
      </c>
      <c r="AA522" s="106">
        <f t="shared" si="900"/>
        <v>0</v>
      </c>
      <c r="AB522" s="106">
        <f t="shared" si="901"/>
        <v>0</v>
      </c>
      <c r="AC522" s="107">
        <f t="shared" si="902"/>
        <v>0</v>
      </c>
    </row>
    <row r="523" spans="1:29" s="82" customFormat="1" ht="17.25" customHeight="1">
      <c r="A523" s="1267"/>
      <c r="B523" s="97"/>
      <c r="C523" s="98"/>
      <c r="D523" s="98"/>
      <c r="E523" s="102" t="s">
        <v>55</v>
      </c>
      <c r="F523" s="104"/>
      <c r="G523" s="104"/>
      <c r="H523" s="104"/>
      <c r="I523" s="105"/>
      <c r="J523" s="104">
        <f t="shared" si="903"/>
        <v>0</v>
      </c>
      <c r="K523" s="104">
        <f t="shared" si="904"/>
        <v>0</v>
      </c>
      <c r="L523" s="104">
        <f t="shared" si="905"/>
        <v>0</v>
      </c>
      <c r="M523" s="104"/>
      <c r="N523" s="104"/>
      <c r="O523" s="104"/>
      <c r="P523" s="104"/>
      <c r="Q523" s="104">
        <f t="shared" si="838"/>
        <v>0</v>
      </c>
      <c r="R523" s="104">
        <f t="shared" si="908"/>
        <v>0</v>
      </c>
      <c r="S523" s="104"/>
      <c r="T523" s="105"/>
      <c r="U523" s="100">
        <f t="shared" si="828"/>
        <v>0</v>
      </c>
      <c r="V523" s="130"/>
      <c r="W523" s="134">
        <f t="shared" si="829"/>
        <v>0</v>
      </c>
      <c r="X523" s="106"/>
      <c r="Y523" s="106">
        <f t="shared" si="899"/>
        <v>0</v>
      </c>
      <c r="Z523" s="106">
        <f t="shared" si="907"/>
        <v>0</v>
      </c>
      <c r="AA523" s="106">
        <f t="shared" si="900"/>
        <v>0</v>
      </c>
      <c r="AB523" s="106">
        <f t="shared" si="901"/>
        <v>0</v>
      </c>
      <c r="AC523" s="107">
        <f t="shared" si="902"/>
        <v>0</v>
      </c>
    </row>
    <row r="524" spans="1:29" s="82" customFormat="1" ht="16.5" customHeight="1">
      <c r="A524" s="1267"/>
      <c r="B524" s="97"/>
      <c r="C524" s="98"/>
      <c r="D524" s="98"/>
      <c r="E524" s="102" t="s">
        <v>56</v>
      </c>
      <c r="F524" s="104"/>
      <c r="G524" s="104"/>
      <c r="H524" s="104"/>
      <c r="I524" s="105"/>
      <c r="J524" s="104">
        <f t="shared" si="903"/>
        <v>0</v>
      </c>
      <c r="K524" s="104">
        <f t="shared" si="904"/>
        <v>0</v>
      </c>
      <c r="L524" s="104">
        <f t="shared" si="905"/>
        <v>0</v>
      </c>
      <c r="M524" s="104"/>
      <c r="N524" s="104"/>
      <c r="O524" s="104"/>
      <c r="P524" s="104"/>
      <c r="Q524" s="104">
        <f t="shared" si="838"/>
        <v>0</v>
      </c>
      <c r="R524" s="104">
        <f t="shared" si="908"/>
        <v>0</v>
      </c>
      <c r="S524" s="104"/>
      <c r="T524" s="105"/>
      <c r="U524" s="100">
        <f t="shared" si="828"/>
        <v>0</v>
      </c>
      <c r="V524" s="130"/>
      <c r="W524" s="134">
        <f t="shared" si="829"/>
        <v>0</v>
      </c>
      <c r="X524" s="106"/>
      <c r="Y524" s="106">
        <f t="shared" si="899"/>
        <v>0</v>
      </c>
      <c r="Z524" s="106">
        <f t="shared" si="907"/>
        <v>0</v>
      </c>
      <c r="AA524" s="106">
        <f t="shared" si="900"/>
        <v>0</v>
      </c>
      <c r="AB524" s="106">
        <f t="shared" si="901"/>
        <v>0</v>
      </c>
      <c r="AC524" s="107">
        <f t="shared" si="902"/>
        <v>0</v>
      </c>
    </row>
    <row r="525" spans="1:29" s="82" customFormat="1" ht="16.5" customHeight="1">
      <c r="A525" s="1267"/>
      <c r="B525" s="97"/>
      <c r="C525" s="98"/>
      <c r="D525" s="98"/>
      <c r="E525" s="102" t="s">
        <v>395</v>
      </c>
      <c r="F525" s="104"/>
      <c r="G525" s="104"/>
      <c r="H525" s="104"/>
      <c r="I525" s="105"/>
      <c r="J525" s="104">
        <f t="shared" si="903"/>
        <v>0</v>
      </c>
      <c r="K525" s="104">
        <f t="shared" ref="K525" si="910">J525*40*2</f>
        <v>0</v>
      </c>
      <c r="L525" s="104">
        <f t="shared" si="905"/>
        <v>0</v>
      </c>
      <c r="M525" s="104"/>
      <c r="N525" s="104"/>
      <c r="O525" s="104"/>
      <c r="P525" s="104"/>
      <c r="Q525" s="104">
        <f t="shared" si="838"/>
        <v>0</v>
      </c>
      <c r="R525" s="104">
        <f>Q525*40*2</f>
        <v>0</v>
      </c>
      <c r="S525" s="104"/>
      <c r="T525" s="105"/>
      <c r="U525" s="100">
        <f t="shared" si="828"/>
        <v>0</v>
      </c>
      <c r="V525" s="130"/>
      <c r="W525" s="134">
        <f t="shared" si="829"/>
        <v>0</v>
      </c>
      <c r="X525" s="106"/>
      <c r="Y525" s="106">
        <f t="shared" si="899"/>
        <v>0</v>
      </c>
      <c r="Z525" s="106">
        <f t="shared" si="907"/>
        <v>0</v>
      </c>
      <c r="AA525" s="106">
        <f t="shared" si="900"/>
        <v>0</v>
      </c>
      <c r="AB525" s="106">
        <f t="shared" si="901"/>
        <v>0</v>
      </c>
      <c r="AC525" s="107">
        <f t="shared" si="902"/>
        <v>0</v>
      </c>
    </row>
    <row r="526" spans="1:29" s="82" customFormat="1" ht="16.5" customHeight="1">
      <c r="A526" s="1267">
        <v>39</v>
      </c>
      <c r="B526" s="97" t="s">
        <v>87</v>
      </c>
      <c r="C526" s="98" t="s">
        <v>832</v>
      </c>
      <c r="D526" s="98">
        <v>1</v>
      </c>
      <c r="E526" s="99" t="s">
        <v>86</v>
      </c>
      <c r="F526" s="100">
        <f t="shared" ref="F526" si="911">SUM(F527:F538)</f>
        <v>0</v>
      </c>
      <c r="G526" s="100">
        <f t="shared" ref="G526:N526" si="912">SUM(G527:G538)</f>
        <v>0</v>
      </c>
      <c r="H526" s="100">
        <f t="shared" si="912"/>
        <v>0</v>
      </c>
      <c r="I526" s="100">
        <f t="shared" ref="I526" si="913">SUM(I527:I538)</f>
        <v>0</v>
      </c>
      <c r="J526" s="100">
        <f t="shared" si="912"/>
        <v>0</v>
      </c>
      <c r="K526" s="100">
        <f t="shared" si="912"/>
        <v>0</v>
      </c>
      <c r="L526" s="100">
        <f t="shared" si="912"/>
        <v>0</v>
      </c>
      <c r="M526" s="100">
        <f t="shared" si="912"/>
        <v>0</v>
      </c>
      <c r="N526" s="100">
        <f t="shared" si="912"/>
        <v>0</v>
      </c>
      <c r="O526" s="100">
        <f t="shared" ref="O526" si="914">SUM(O527:O538)</f>
        <v>0</v>
      </c>
      <c r="P526" s="100"/>
      <c r="Q526" s="100"/>
      <c r="R526" s="100">
        <f t="shared" ref="R526" si="915">SUM(R527:R538)</f>
        <v>0</v>
      </c>
      <c r="S526" s="100">
        <f>SUM(S527:S538)</f>
        <v>0</v>
      </c>
      <c r="T526" s="100"/>
      <c r="U526" s="100">
        <f t="shared" ref="U526" si="916">SUM(U527:U538)</f>
        <v>0</v>
      </c>
      <c r="V526" s="130"/>
      <c r="W526" s="143">
        <f t="shared" ref="W526" si="917">SUM(W527:W538)</f>
        <v>0</v>
      </c>
      <c r="X526" s="100">
        <f t="shared" ref="X526" si="918">SUM(X527:X538)</f>
        <v>0</v>
      </c>
      <c r="Y526" s="100">
        <f t="shared" ref="Y526:AB526" si="919">SUM(Y527:Y538)</f>
        <v>0</v>
      </c>
      <c r="Z526" s="100">
        <f t="shared" si="919"/>
        <v>0</v>
      </c>
      <c r="AA526" s="100">
        <f t="shared" si="919"/>
        <v>0</v>
      </c>
      <c r="AB526" s="100">
        <f t="shared" si="919"/>
        <v>0</v>
      </c>
      <c r="AC526" s="101">
        <f>SUM(AC527:AC538)</f>
        <v>0</v>
      </c>
    </row>
    <row r="527" spans="1:29" s="82" customFormat="1" ht="17.25" customHeight="1">
      <c r="A527" s="1267"/>
      <c r="B527" s="97" t="s">
        <v>850</v>
      </c>
      <c r="C527" s="171">
        <v>2</v>
      </c>
      <c r="D527" s="171"/>
      <c r="E527" s="172" t="s">
        <v>389</v>
      </c>
      <c r="F527" s="173"/>
      <c r="G527" s="104"/>
      <c r="H527" s="103"/>
      <c r="I527" s="105"/>
      <c r="J527" s="104"/>
      <c r="K527" s="104"/>
      <c r="L527" s="104"/>
      <c r="M527" s="104">
        <f t="shared" ref="M527" si="920">F527*60%</f>
        <v>0</v>
      </c>
      <c r="N527" s="104"/>
      <c r="O527" s="104"/>
      <c r="P527" s="104"/>
      <c r="Q527" s="104"/>
      <c r="R527" s="104"/>
      <c r="S527" s="104"/>
      <c r="T527" s="105"/>
      <c r="U527" s="100">
        <f t="shared" ref="U527" si="921">SUM(I527,L527)</f>
        <v>0</v>
      </c>
      <c r="V527" s="130"/>
      <c r="W527" s="134">
        <f t="shared" ref="W527:W528" si="922">ROUNDUP(U527*1/12,-1)</f>
        <v>0</v>
      </c>
      <c r="X527" s="106"/>
      <c r="Y527" s="106">
        <f t="shared" ref="Y527:Y538" si="923">ROUNDUP((U527-L527)*3.06%,-1)</f>
        <v>0</v>
      </c>
      <c r="Z527" s="106">
        <f>ROUNDUP(Y527*6.55%,-1)</f>
        <v>0</v>
      </c>
      <c r="AA527" s="106">
        <f t="shared" ref="AA527:AA538" si="924">ROUND(U527*0.9%,-1)</f>
        <v>0</v>
      </c>
      <c r="AB527" s="106">
        <f t="shared" ref="AB527:AB538" si="925">ROUND(U527*0.8%,-1)</f>
        <v>0</v>
      </c>
      <c r="AC527" s="107">
        <f t="shared" ref="AC527:AC538" si="926">SUM(W527:AB527)</f>
        <v>0</v>
      </c>
    </row>
    <row r="528" spans="1:29" s="82" customFormat="1" ht="16.5" customHeight="1">
      <c r="A528" s="1267"/>
      <c r="B528" s="97"/>
      <c r="C528" s="98"/>
      <c r="D528" s="98"/>
      <c r="E528" s="102" t="s">
        <v>390</v>
      </c>
      <c r="F528" s="104"/>
      <c r="G528" s="104"/>
      <c r="H528" s="104"/>
      <c r="I528" s="105"/>
      <c r="J528" s="104">
        <f t="shared" ref="J528:J538" si="927">ROUND((F527+I527+T527)*1/209*1.5,-1)</f>
        <v>0</v>
      </c>
      <c r="K528" s="104">
        <f t="shared" ref="K528" si="928">J528*40</f>
        <v>0</v>
      </c>
      <c r="L528" s="104">
        <f t="shared" ref="L528:L538" si="929">K528-R528</f>
        <v>0</v>
      </c>
      <c r="M528" s="104"/>
      <c r="N528" s="104"/>
      <c r="O528" s="104"/>
      <c r="P528" s="104"/>
      <c r="Q528" s="104">
        <f t="shared" ref="Q528" si="930">ROUND((F527+T527)*1/209*1.5,-1)</f>
        <v>0</v>
      </c>
      <c r="R528" s="104">
        <f>Q528*40</f>
        <v>0</v>
      </c>
      <c r="S528" s="104"/>
      <c r="T528" s="105"/>
      <c r="U528" s="100">
        <f t="shared" si="828"/>
        <v>0</v>
      </c>
      <c r="V528" s="130"/>
      <c r="W528" s="134">
        <f t="shared" si="922"/>
        <v>0</v>
      </c>
      <c r="X528" s="106"/>
      <c r="Y528" s="106">
        <f t="shared" si="923"/>
        <v>0</v>
      </c>
      <c r="Z528" s="106">
        <f t="shared" ref="Z528:Z538" si="931">ROUNDUP(Y528*6.55%,-1)</f>
        <v>0</v>
      </c>
      <c r="AA528" s="106">
        <f t="shared" si="924"/>
        <v>0</v>
      </c>
      <c r="AB528" s="106">
        <f t="shared" si="925"/>
        <v>0</v>
      </c>
      <c r="AC528" s="107">
        <f t="shared" si="926"/>
        <v>0</v>
      </c>
    </row>
    <row r="529" spans="1:29" s="82" customFormat="1" ht="16.5" customHeight="1">
      <c r="A529" s="1267"/>
      <c r="B529" s="97"/>
      <c r="C529" s="98"/>
      <c r="D529" s="98"/>
      <c r="E529" s="102" t="s">
        <v>391</v>
      </c>
      <c r="F529" s="104"/>
      <c r="G529" s="104"/>
      <c r="H529" s="104"/>
      <c r="I529" s="105"/>
      <c r="J529" s="104">
        <f t="shared" si="927"/>
        <v>0</v>
      </c>
      <c r="K529" s="104">
        <f t="shared" si="904"/>
        <v>0</v>
      </c>
      <c r="L529" s="104">
        <f t="shared" si="929"/>
        <v>0</v>
      </c>
      <c r="M529" s="104"/>
      <c r="N529" s="104"/>
      <c r="O529" s="104"/>
      <c r="P529" s="104"/>
      <c r="Q529" s="104">
        <f t="shared" si="838"/>
        <v>0</v>
      </c>
      <c r="R529" s="104">
        <f t="shared" ref="R529:R537" si="932">Q529*40</f>
        <v>0</v>
      </c>
      <c r="S529" s="104"/>
      <c r="T529" s="105"/>
      <c r="U529" s="100">
        <f t="shared" si="828"/>
        <v>0</v>
      </c>
      <c r="V529" s="130"/>
      <c r="W529" s="134">
        <f t="shared" si="829"/>
        <v>0</v>
      </c>
      <c r="X529" s="106"/>
      <c r="Y529" s="106">
        <f t="shared" si="923"/>
        <v>0</v>
      </c>
      <c r="Z529" s="106">
        <f t="shared" si="931"/>
        <v>0</v>
      </c>
      <c r="AA529" s="106">
        <f t="shared" si="924"/>
        <v>0</v>
      </c>
      <c r="AB529" s="106">
        <f t="shared" si="925"/>
        <v>0</v>
      </c>
      <c r="AC529" s="107">
        <f t="shared" si="926"/>
        <v>0</v>
      </c>
    </row>
    <row r="530" spans="1:29" s="82" customFormat="1" ht="16.5" customHeight="1">
      <c r="A530" s="1267"/>
      <c r="B530" s="97"/>
      <c r="C530" s="98"/>
      <c r="D530" s="98"/>
      <c r="E530" s="102" t="s">
        <v>392</v>
      </c>
      <c r="F530" s="173"/>
      <c r="G530" s="104"/>
      <c r="H530" s="104"/>
      <c r="I530" s="105"/>
      <c r="J530" s="104">
        <f t="shared" si="927"/>
        <v>0</v>
      </c>
      <c r="K530" s="104">
        <f t="shared" si="904"/>
        <v>0</v>
      </c>
      <c r="L530" s="104">
        <f t="shared" si="929"/>
        <v>0</v>
      </c>
      <c r="M530" s="104"/>
      <c r="N530" s="104"/>
      <c r="O530" s="104"/>
      <c r="P530" s="104"/>
      <c r="Q530" s="104">
        <f t="shared" si="838"/>
        <v>0</v>
      </c>
      <c r="R530" s="104">
        <f t="shared" si="932"/>
        <v>0</v>
      </c>
      <c r="S530" s="104"/>
      <c r="T530" s="105"/>
      <c r="U530" s="100">
        <f t="shared" si="828"/>
        <v>0</v>
      </c>
      <c r="V530" s="130"/>
      <c r="W530" s="134">
        <f t="shared" si="829"/>
        <v>0</v>
      </c>
      <c r="X530" s="106"/>
      <c r="Y530" s="106">
        <f t="shared" si="923"/>
        <v>0</v>
      </c>
      <c r="Z530" s="106">
        <f t="shared" si="931"/>
        <v>0</v>
      </c>
      <c r="AA530" s="106">
        <f t="shared" si="924"/>
        <v>0</v>
      </c>
      <c r="AB530" s="106">
        <f t="shared" si="925"/>
        <v>0</v>
      </c>
      <c r="AC530" s="107">
        <f t="shared" si="926"/>
        <v>0</v>
      </c>
    </row>
    <row r="531" spans="1:29" s="82" customFormat="1" ht="16.5" customHeight="1">
      <c r="A531" s="1267"/>
      <c r="B531" s="97"/>
      <c r="C531" s="171">
        <v>3</v>
      </c>
      <c r="D531" s="98"/>
      <c r="E531" s="172" t="s">
        <v>393</v>
      </c>
      <c r="F531" s="104"/>
      <c r="G531" s="104"/>
      <c r="H531" s="104"/>
      <c r="I531" s="105"/>
      <c r="J531" s="104">
        <f t="shared" si="927"/>
        <v>0</v>
      </c>
      <c r="K531" s="104">
        <f t="shared" si="904"/>
        <v>0</v>
      </c>
      <c r="L531" s="104">
        <f t="shared" si="929"/>
        <v>0</v>
      </c>
      <c r="M531" s="104"/>
      <c r="N531" s="104"/>
      <c r="O531" s="104"/>
      <c r="P531" s="104"/>
      <c r="Q531" s="104">
        <f t="shared" si="838"/>
        <v>0</v>
      </c>
      <c r="R531" s="104">
        <f t="shared" si="932"/>
        <v>0</v>
      </c>
      <c r="S531" s="104"/>
      <c r="T531" s="105"/>
      <c r="U531" s="100">
        <f t="shared" si="828"/>
        <v>0</v>
      </c>
      <c r="V531" s="130"/>
      <c r="W531" s="134">
        <f t="shared" si="829"/>
        <v>0</v>
      </c>
      <c r="X531" s="106"/>
      <c r="Y531" s="106">
        <f t="shared" si="923"/>
        <v>0</v>
      </c>
      <c r="Z531" s="106">
        <f t="shared" si="931"/>
        <v>0</v>
      </c>
      <c r="AA531" s="106">
        <f t="shared" si="924"/>
        <v>0</v>
      </c>
      <c r="AB531" s="106">
        <f t="shared" si="925"/>
        <v>0</v>
      </c>
      <c r="AC531" s="107">
        <f t="shared" si="926"/>
        <v>0</v>
      </c>
    </row>
    <row r="532" spans="1:29" s="82" customFormat="1" ht="16.5" customHeight="1">
      <c r="A532" s="1267"/>
      <c r="B532" s="97"/>
      <c r="C532" s="98"/>
      <c r="D532" s="98"/>
      <c r="E532" s="102" t="s">
        <v>394</v>
      </c>
      <c r="F532" s="104"/>
      <c r="G532" s="104"/>
      <c r="H532" s="104"/>
      <c r="I532" s="105"/>
      <c r="J532" s="104">
        <f t="shared" si="927"/>
        <v>0</v>
      </c>
      <c r="K532" s="104">
        <f t="shared" si="904"/>
        <v>0</v>
      </c>
      <c r="L532" s="104">
        <f t="shared" si="929"/>
        <v>0</v>
      </c>
      <c r="M532" s="104"/>
      <c r="N532" s="104"/>
      <c r="O532" s="104"/>
      <c r="P532" s="104"/>
      <c r="Q532" s="104">
        <f t="shared" si="838"/>
        <v>0</v>
      </c>
      <c r="R532" s="104">
        <f t="shared" si="932"/>
        <v>0</v>
      </c>
      <c r="S532" s="104"/>
      <c r="T532" s="105"/>
      <c r="U532" s="100">
        <f t="shared" si="828"/>
        <v>0</v>
      </c>
      <c r="V532" s="130"/>
      <c r="W532" s="134">
        <f t="shared" si="829"/>
        <v>0</v>
      </c>
      <c r="X532" s="106"/>
      <c r="Y532" s="106">
        <f t="shared" si="923"/>
        <v>0</v>
      </c>
      <c r="Z532" s="106">
        <f t="shared" si="931"/>
        <v>0</v>
      </c>
      <c r="AA532" s="106">
        <f t="shared" si="924"/>
        <v>0</v>
      </c>
      <c r="AB532" s="106">
        <f t="shared" si="925"/>
        <v>0</v>
      </c>
      <c r="AC532" s="107">
        <f t="shared" si="926"/>
        <v>0</v>
      </c>
    </row>
    <row r="533" spans="1:29" s="82" customFormat="1" ht="16.5" customHeight="1">
      <c r="A533" s="1267"/>
      <c r="B533" s="97"/>
      <c r="C533" s="98"/>
      <c r="D533" s="98"/>
      <c r="E533" s="102" t="s">
        <v>279</v>
      </c>
      <c r="F533" s="104"/>
      <c r="G533" s="104"/>
      <c r="H533" s="103"/>
      <c r="I533" s="105"/>
      <c r="J533" s="104">
        <f t="shared" si="927"/>
        <v>0</v>
      </c>
      <c r="K533" s="104">
        <f t="shared" si="904"/>
        <v>0</v>
      </c>
      <c r="L533" s="104">
        <f t="shared" si="929"/>
        <v>0</v>
      </c>
      <c r="M533" s="104"/>
      <c r="N533" s="104"/>
      <c r="O533" s="104"/>
      <c r="P533" s="104"/>
      <c r="Q533" s="104">
        <f t="shared" si="838"/>
        <v>0</v>
      </c>
      <c r="R533" s="104">
        <f t="shared" si="932"/>
        <v>0</v>
      </c>
      <c r="S533" s="104"/>
      <c r="T533" s="105"/>
      <c r="U533" s="100">
        <f t="shared" si="828"/>
        <v>0</v>
      </c>
      <c r="V533" s="130"/>
      <c r="W533" s="134">
        <f t="shared" si="829"/>
        <v>0</v>
      </c>
      <c r="X533" s="106"/>
      <c r="Y533" s="106">
        <f t="shared" si="923"/>
        <v>0</v>
      </c>
      <c r="Z533" s="106">
        <f t="shared" si="931"/>
        <v>0</v>
      </c>
      <c r="AA533" s="106">
        <f t="shared" si="924"/>
        <v>0</v>
      </c>
      <c r="AB533" s="106">
        <f t="shared" si="925"/>
        <v>0</v>
      </c>
      <c r="AC533" s="107">
        <f t="shared" si="926"/>
        <v>0</v>
      </c>
    </row>
    <row r="534" spans="1:29" s="82" customFormat="1" ht="16.5" customHeight="1">
      <c r="A534" s="1267"/>
      <c r="B534" s="97"/>
      <c r="C534" s="98"/>
      <c r="D534" s="98"/>
      <c r="E534" s="102" t="s">
        <v>280</v>
      </c>
      <c r="F534" s="104"/>
      <c r="G534" s="104"/>
      <c r="H534" s="104"/>
      <c r="I534" s="105"/>
      <c r="J534" s="104">
        <f t="shared" si="927"/>
        <v>0</v>
      </c>
      <c r="K534" s="104">
        <f t="shared" si="904"/>
        <v>0</v>
      </c>
      <c r="L534" s="104">
        <f t="shared" si="929"/>
        <v>0</v>
      </c>
      <c r="M534" s="104"/>
      <c r="N534" s="104"/>
      <c r="O534" s="104"/>
      <c r="P534" s="104"/>
      <c r="Q534" s="104">
        <f t="shared" si="838"/>
        <v>0</v>
      </c>
      <c r="R534" s="104">
        <f t="shared" si="932"/>
        <v>0</v>
      </c>
      <c r="S534" s="104"/>
      <c r="T534" s="105"/>
      <c r="U534" s="100">
        <f t="shared" si="828"/>
        <v>0</v>
      </c>
      <c r="V534" s="130"/>
      <c r="W534" s="134">
        <f t="shared" si="829"/>
        <v>0</v>
      </c>
      <c r="X534" s="106"/>
      <c r="Y534" s="106">
        <f t="shared" si="923"/>
        <v>0</v>
      </c>
      <c r="Z534" s="106">
        <f t="shared" si="931"/>
        <v>0</v>
      </c>
      <c r="AA534" s="106">
        <f t="shared" si="924"/>
        <v>0</v>
      </c>
      <c r="AB534" s="106">
        <f t="shared" si="925"/>
        <v>0</v>
      </c>
      <c r="AC534" s="107">
        <f t="shared" si="926"/>
        <v>0</v>
      </c>
    </row>
    <row r="535" spans="1:29" s="82" customFormat="1" ht="16.5" customHeight="1">
      <c r="A535" s="1267"/>
      <c r="B535" s="97"/>
      <c r="C535" s="98"/>
      <c r="D535" s="98"/>
      <c r="E535" s="102" t="s">
        <v>54</v>
      </c>
      <c r="F535" s="104"/>
      <c r="G535" s="104"/>
      <c r="H535" s="104"/>
      <c r="I535" s="105"/>
      <c r="J535" s="104">
        <f t="shared" si="927"/>
        <v>0</v>
      </c>
      <c r="K535" s="104">
        <f t="shared" si="904"/>
        <v>0</v>
      </c>
      <c r="L535" s="104">
        <f t="shared" si="929"/>
        <v>0</v>
      </c>
      <c r="M535" s="104">
        <f t="shared" ref="M535" si="933">F535*60%</f>
        <v>0</v>
      </c>
      <c r="N535" s="104"/>
      <c r="O535" s="104"/>
      <c r="P535" s="104"/>
      <c r="Q535" s="104">
        <f t="shared" si="838"/>
        <v>0</v>
      </c>
      <c r="R535" s="104">
        <f t="shared" si="932"/>
        <v>0</v>
      </c>
      <c r="S535" s="104"/>
      <c r="T535" s="105"/>
      <c r="U535" s="100">
        <f t="shared" si="828"/>
        <v>0</v>
      </c>
      <c r="V535" s="130"/>
      <c r="W535" s="134">
        <f t="shared" si="829"/>
        <v>0</v>
      </c>
      <c r="X535" s="106"/>
      <c r="Y535" s="106">
        <f t="shared" si="923"/>
        <v>0</v>
      </c>
      <c r="Z535" s="106">
        <f t="shared" si="931"/>
        <v>0</v>
      </c>
      <c r="AA535" s="106">
        <f t="shared" si="924"/>
        <v>0</v>
      </c>
      <c r="AB535" s="106">
        <f t="shared" si="925"/>
        <v>0</v>
      </c>
      <c r="AC535" s="107">
        <f t="shared" si="926"/>
        <v>0</v>
      </c>
    </row>
    <row r="536" spans="1:29" s="82" customFormat="1" ht="16.5" customHeight="1">
      <c r="A536" s="1267"/>
      <c r="B536" s="97"/>
      <c r="C536" s="98"/>
      <c r="D536" s="98"/>
      <c r="E536" s="102" t="s">
        <v>55</v>
      </c>
      <c r="F536" s="104"/>
      <c r="G536" s="104"/>
      <c r="H536" s="104"/>
      <c r="I536" s="105"/>
      <c r="J536" s="104">
        <f t="shared" si="927"/>
        <v>0</v>
      </c>
      <c r="K536" s="104">
        <f t="shared" si="904"/>
        <v>0</v>
      </c>
      <c r="L536" s="104">
        <f t="shared" si="929"/>
        <v>0</v>
      </c>
      <c r="M536" s="104"/>
      <c r="N536" s="104"/>
      <c r="O536" s="104"/>
      <c r="P536" s="104"/>
      <c r="Q536" s="104">
        <f t="shared" si="838"/>
        <v>0</v>
      </c>
      <c r="R536" s="104">
        <f t="shared" si="932"/>
        <v>0</v>
      </c>
      <c r="S536" s="104"/>
      <c r="T536" s="105"/>
      <c r="U536" s="100">
        <f t="shared" si="828"/>
        <v>0</v>
      </c>
      <c r="V536" s="130"/>
      <c r="W536" s="134">
        <f t="shared" si="829"/>
        <v>0</v>
      </c>
      <c r="X536" s="106"/>
      <c r="Y536" s="106">
        <f t="shared" si="923"/>
        <v>0</v>
      </c>
      <c r="Z536" s="106">
        <f t="shared" si="931"/>
        <v>0</v>
      </c>
      <c r="AA536" s="106">
        <f t="shared" si="924"/>
        <v>0</v>
      </c>
      <c r="AB536" s="106">
        <f t="shared" si="925"/>
        <v>0</v>
      </c>
      <c r="AC536" s="107">
        <f t="shared" si="926"/>
        <v>0</v>
      </c>
    </row>
    <row r="537" spans="1:29" s="82" customFormat="1" ht="16.5" customHeight="1">
      <c r="A537" s="1267"/>
      <c r="B537" s="97"/>
      <c r="C537" s="98"/>
      <c r="D537" s="98"/>
      <c r="E537" s="102" t="s">
        <v>56</v>
      </c>
      <c r="F537" s="104"/>
      <c r="G537" s="104"/>
      <c r="H537" s="104"/>
      <c r="I537" s="105"/>
      <c r="J537" s="104">
        <f t="shared" si="927"/>
        <v>0</v>
      </c>
      <c r="K537" s="104">
        <f t="shared" si="904"/>
        <v>0</v>
      </c>
      <c r="L537" s="104">
        <f t="shared" si="929"/>
        <v>0</v>
      </c>
      <c r="M537" s="104"/>
      <c r="N537" s="104"/>
      <c r="O537" s="104"/>
      <c r="P537" s="104"/>
      <c r="Q537" s="104">
        <f t="shared" si="838"/>
        <v>0</v>
      </c>
      <c r="R537" s="104">
        <f t="shared" si="932"/>
        <v>0</v>
      </c>
      <c r="S537" s="104"/>
      <c r="T537" s="105"/>
      <c r="U537" s="100">
        <f t="shared" si="828"/>
        <v>0</v>
      </c>
      <c r="V537" s="130"/>
      <c r="W537" s="134">
        <f t="shared" si="829"/>
        <v>0</v>
      </c>
      <c r="X537" s="106"/>
      <c r="Y537" s="106">
        <f t="shared" si="923"/>
        <v>0</v>
      </c>
      <c r="Z537" s="106">
        <f t="shared" si="931"/>
        <v>0</v>
      </c>
      <c r="AA537" s="106">
        <f t="shared" si="924"/>
        <v>0</v>
      </c>
      <c r="AB537" s="106">
        <f t="shared" si="925"/>
        <v>0</v>
      </c>
      <c r="AC537" s="107">
        <f t="shared" si="926"/>
        <v>0</v>
      </c>
    </row>
    <row r="538" spans="1:29" s="82" customFormat="1" ht="16.5" customHeight="1">
      <c r="A538" s="1267"/>
      <c r="B538" s="97"/>
      <c r="C538" s="98"/>
      <c r="D538" s="98"/>
      <c r="E538" s="102" t="s">
        <v>395</v>
      </c>
      <c r="F538" s="104"/>
      <c r="G538" s="104"/>
      <c r="H538" s="104"/>
      <c r="I538" s="105"/>
      <c r="J538" s="104">
        <f t="shared" si="927"/>
        <v>0</v>
      </c>
      <c r="K538" s="104">
        <f t="shared" ref="K538" si="934">J538*40*2</f>
        <v>0</v>
      </c>
      <c r="L538" s="104">
        <f t="shared" si="929"/>
        <v>0</v>
      </c>
      <c r="M538" s="104"/>
      <c r="N538" s="104"/>
      <c r="O538" s="104"/>
      <c r="P538" s="104"/>
      <c r="Q538" s="104">
        <f t="shared" si="838"/>
        <v>0</v>
      </c>
      <c r="R538" s="104">
        <f>Q538*40*2</f>
        <v>0</v>
      </c>
      <c r="S538" s="104"/>
      <c r="T538" s="105"/>
      <c r="U538" s="100">
        <f t="shared" si="828"/>
        <v>0</v>
      </c>
      <c r="V538" s="130"/>
      <c r="W538" s="134">
        <f t="shared" si="829"/>
        <v>0</v>
      </c>
      <c r="X538" s="106"/>
      <c r="Y538" s="106">
        <f t="shared" si="923"/>
        <v>0</v>
      </c>
      <c r="Z538" s="106">
        <f t="shared" si="931"/>
        <v>0</v>
      </c>
      <c r="AA538" s="106">
        <f t="shared" si="924"/>
        <v>0</v>
      </c>
      <c r="AB538" s="106">
        <f t="shared" si="925"/>
        <v>0</v>
      </c>
      <c r="AC538" s="107">
        <f t="shared" si="926"/>
        <v>0</v>
      </c>
    </row>
    <row r="539" spans="1:29" s="82" customFormat="1" ht="15.75" customHeight="1">
      <c r="A539" s="1267">
        <v>42</v>
      </c>
      <c r="B539" s="97" t="s">
        <v>830</v>
      </c>
      <c r="C539" s="98" t="s">
        <v>523</v>
      </c>
      <c r="D539" s="98">
        <v>1</v>
      </c>
      <c r="E539" s="99" t="s">
        <v>86</v>
      </c>
      <c r="F539" s="100">
        <f t="shared" ref="F539" si="935">SUM(F540:F551)</f>
        <v>0</v>
      </c>
      <c r="G539" s="100">
        <f t="shared" ref="G539:N539" si="936">SUM(G540:G551)</f>
        <v>0</v>
      </c>
      <c r="H539" s="100">
        <f t="shared" si="936"/>
        <v>0</v>
      </c>
      <c r="I539" s="100">
        <f t="shared" ref="I539" si="937">SUM(I540:I551)</f>
        <v>0</v>
      </c>
      <c r="J539" s="100">
        <f t="shared" si="936"/>
        <v>0</v>
      </c>
      <c r="K539" s="100">
        <f t="shared" si="936"/>
        <v>0</v>
      </c>
      <c r="L539" s="100">
        <f t="shared" si="936"/>
        <v>0</v>
      </c>
      <c r="M539" s="100">
        <f t="shared" si="936"/>
        <v>0</v>
      </c>
      <c r="N539" s="100">
        <f t="shared" si="936"/>
        <v>0</v>
      </c>
      <c r="O539" s="100">
        <f t="shared" ref="O539" si="938">SUM(O540:O551)</f>
        <v>0</v>
      </c>
      <c r="P539" s="100"/>
      <c r="Q539" s="100"/>
      <c r="R539" s="100">
        <f t="shared" ref="R539" si="939">SUM(R540:R551)</f>
        <v>0</v>
      </c>
      <c r="S539" s="100">
        <f>SUM(S540:S551)</f>
        <v>0</v>
      </c>
      <c r="T539" s="100"/>
      <c r="U539" s="100">
        <f t="shared" ref="U539" si="940">SUM(U540:U551)</f>
        <v>0</v>
      </c>
      <c r="V539" s="130"/>
      <c r="W539" s="143">
        <f t="shared" ref="W539" si="941">SUM(W540:W551)</f>
        <v>0</v>
      </c>
      <c r="X539" s="100">
        <f t="shared" ref="X539" si="942">SUM(X540:X551)</f>
        <v>0</v>
      </c>
      <c r="Y539" s="100">
        <f t="shared" ref="Y539:AB539" si="943">SUM(Y540:Y551)</f>
        <v>0</v>
      </c>
      <c r="Z539" s="100">
        <f t="shared" si="943"/>
        <v>0</v>
      </c>
      <c r="AA539" s="100">
        <f t="shared" si="943"/>
        <v>0</v>
      </c>
      <c r="AB539" s="100">
        <f t="shared" si="943"/>
        <v>0</v>
      </c>
      <c r="AC539" s="101">
        <f>SUM(AC540:AC551)</f>
        <v>0</v>
      </c>
    </row>
    <row r="540" spans="1:29" s="82" customFormat="1" ht="15.75" customHeight="1">
      <c r="A540" s="1267"/>
      <c r="B540" s="97" t="s">
        <v>448</v>
      </c>
      <c r="C540" s="171">
        <v>9</v>
      </c>
      <c r="D540" s="171"/>
      <c r="E540" s="172" t="s">
        <v>273</v>
      </c>
      <c r="F540" s="173"/>
      <c r="G540" s="104"/>
      <c r="H540" s="103"/>
      <c r="I540" s="105"/>
      <c r="J540" s="104"/>
      <c r="K540" s="104"/>
      <c r="L540" s="104"/>
      <c r="M540" s="104">
        <f t="shared" ref="M540" si="944">F540*60%</f>
        <v>0</v>
      </c>
      <c r="N540" s="104"/>
      <c r="O540" s="104"/>
      <c r="P540" s="104"/>
      <c r="Q540" s="104"/>
      <c r="R540" s="104"/>
      <c r="S540" s="104"/>
      <c r="T540" s="105"/>
      <c r="U540" s="100">
        <f t="shared" ref="U540:U603" si="945">SUM(I540,L540)</f>
        <v>0</v>
      </c>
      <c r="V540" s="130"/>
      <c r="W540" s="134">
        <f t="shared" ref="W540:W603" si="946">ROUNDUP(U540*1/12,-1)</f>
        <v>0</v>
      </c>
      <c r="X540" s="106"/>
      <c r="Y540" s="106">
        <f t="shared" ref="Y540:Y603" si="947">ROUNDUP((U540-L540)*3.06%,-1)</f>
        <v>0</v>
      </c>
      <c r="Z540" s="106">
        <f t="shared" ref="Z540:Z551" si="948">ROUNDUP(Y540*6.55%,-1)</f>
        <v>0</v>
      </c>
      <c r="AA540" s="106">
        <f t="shared" ref="AA540:AA551" si="949">ROUND(U540*0.9%,-1)</f>
        <v>0</v>
      </c>
      <c r="AB540" s="106">
        <f t="shared" ref="AB540:AB551" si="950">ROUND(U540*0.8%,-1)</f>
        <v>0</v>
      </c>
      <c r="AC540" s="107">
        <f t="shared" ref="AC540:AC551" si="951">SUM(W540:AB540)</f>
        <v>0</v>
      </c>
    </row>
    <row r="541" spans="1:29" s="82" customFormat="1" ht="15.75" customHeight="1">
      <c r="A541" s="1267"/>
      <c r="B541" s="97"/>
      <c r="C541" s="98"/>
      <c r="D541" s="98"/>
      <c r="E541" s="102" t="s">
        <v>274</v>
      </c>
      <c r="F541" s="104"/>
      <c r="G541" s="104"/>
      <c r="H541" s="104"/>
      <c r="I541" s="105"/>
      <c r="J541" s="104">
        <f t="shared" ref="J541:J551" si="952">ROUND((F540+I540+T540)*1/209*1.5,-1)</f>
        <v>0</v>
      </c>
      <c r="K541" s="104">
        <f t="shared" ref="K541:K550" si="953">J541*25</f>
        <v>0</v>
      </c>
      <c r="L541" s="104">
        <f t="shared" ref="L541:L551" si="954">K541-R541-S541</f>
        <v>0</v>
      </c>
      <c r="M541" s="104"/>
      <c r="N541" s="104"/>
      <c r="O541" s="104"/>
      <c r="P541" s="104"/>
      <c r="Q541" s="104">
        <f t="shared" ref="Q541:Q603" si="955">ROUND((F540+T540)*1/209*1.5,-1)</f>
        <v>0</v>
      </c>
      <c r="R541" s="104">
        <f>Q541*20</f>
        <v>0</v>
      </c>
      <c r="S541" s="104">
        <f>Q541*5</f>
        <v>0</v>
      </c>
      <c r="T541" s="105"/>
      <c r="U541" s="100">
        <f t="shared" si="945"/>
        <v>0</v>
      </c>
      <c r="V541" s="130"/>
      <c r="W541" s="134">
        <f t="shared" si="946"/>
        <v>0</v>
      </c>
      <c r="X541" s="106"/>
      <c r="Y541" s="106">
        <f t="shared" si="947"/>
        <v>0</v>
      </c>
      <c r="Z541" s="106">
        <f t="shared" si="948"/>
        <v>0</v>
      </c>
      <c r="AA541" s="106">
        <f t="shared" si="949"/>
        <v>0</v>
      </c>
      <c r="AB541" s="106">
        <f t="shared" si="950"/>
        <v>0</v>
      </c>
      <c r="AC541" s="107">
        <f t="shared" si="951"/>
        <v>0</v>
      </c>
    </row>
    <row r="542" spans="1:29" s="82" customFormat="1" ht="15.75" customHeight="1">
      <c r="A542" s="1267"/>
      <c r="B542" s="97"/>
      <c r="C542" s="98"/>
      <c r="D542" s="98"/>
      <c r="E542" s="102" t="s">
        <v>275</v>
      </c>
      <c r="F542" s="104"/>
      <c r="G542" s="104"/>
      <c r="H542" s="104"/>
      <c r="I542" s="105"/>
      <c r="J542" s="104">
        <f t="shared" si="952"/>
        <v>0</v>
      </c>
      <c r="K542" s="104">
        <f t="shared" si="953"/>
        <v>0</v>
      </c>
      <c r="L542" s="104">
        <f t="shared" si="954"/>
        <v>0</v>
      </c>
      <c r="M542" s="104"/>
      <c r="N542" s="104"/>
      <c r="O542" s="104"/>
      <c r="P542" s="104"/>
      <c r="Q542" s="104">
        <f t="shared" si="955"/>
        <v>0</v>
      </c>
      <c r="R542" s="104">
        <f t="shared" ref="R542:R550" si="956">Q542*20</f>
        <v>0</v>
      </c>
      <c r="S542" s="104">
        <f t="shared" ref="S542:S550" si="957">Q542*5</f>
        <v>0</v>
      </c>
      <c r="T542" s="105"/>
      <c r="U542" s="100">
        <f t="shared" si="945"/>
        <v>0</v>
      </c>
      <c r="V542" s="130"/>
      <c r="W542" s="134">
        <f t="shared" si="946"/>
        <v>0</v>
      </c>
      <c r="X542" s="106"/>
      <c r="Y542" s="106">
        <f t="shared" si="947"/>
        <v>0</v>
      </c>
      <c r="Z542" s="106">
        <f t="shared" si="948"/>
        <v>0</v>
      </c>
      <c r="AA542" s="106">
        <f t="shared" si="949"/>
        <v>0</v>
      </c>
      <c r="AB542" s="106">
        <f t="shared" si="950"/>
        <v>0</v>
      </c>
      <c r="AC542" s="107">
        <f t="shared" si="951"/>
        <v>0</v>
      </c>
    </row>
    <row r="543" spans="1:29" s="82" customFormat="1" ht="15.75" customHeight="1">
      <c r="A543" s="1267"/>
      <c r="B543" s="97"/>
      <c r="C543" s="98"/>
      <c r="D543" s="98"/>
      <c r="E543" s="102" t="s">
        <v>276</v>
      </c>
      <c r="F543" s="173"/>
      <c r="G543" s="104"/>
      <c r="H543" s="104"/>
      <c r="I543" s="105"/>
      <c r="J543" s="104">
        <f t="shared" si="952"/>
        <v>0</v>
      </c>
      <c r="K543" s="104">
        <f t="shared" si="953"/>
        <v>0</v>
      </c>
      <c r="L543" s="104">
        <f t="shared" si="954"/>
        <v>0</v>
      </c>
      <c r="M543" s="104"/>
      <c r="N543" s="104"/>
      <c r="O543" s="104"/>
      <c r="P543" s="104"/>
      <c r="Q543" s="104">
        <f t="shared" si="955"/>
        <v>0</v>
      </c>
      <c r="R543" s="104">
        <f t="shared" si="956"/>
        <v>0</v>
      </c>
      <c r="S543" s="104">
        <f t="shared" si="957"/>
        <v>0</v>
      </c>
      <c r="T543" s="105"/>
      <c r="U543" s="100">
        <f t="shared" si="945"/>
        <v>0</v>
      </c>
      <c r="V543" s="130"/>
      <c r="W543" s="134">
        <f t="shared" si="946"/>
        <v>0</v>
      </c>
      <c r="X543" s="106"/>
      <c r="Y543" s="106">
        <f t="shared" si="947"/>
        <v>0</v>
      </c>
      <c r="Z543" s="106">
        <f t="shared" si="948"/>
        <v>0</v>
      </c>
      <c r="AA543" s="106">
        <f t="shared" si="949"/>
        <v>0</v>
      </c>
      <c r="AB543" s="106">
        <f t="shared" si="950"/>
        <v>0</v>
      </c>
      <c r="AC543" s="107">
        <f t="shared" si="951"/>
        <v>0</v>
      </c>
    </row>
    <row r="544" spans="1:29" s="82" customFormat="1" ht="15.75" customHeight="1">
      <c r="A544" s="1267"/>
      <c r="B544" s="97"/>
      <c r="C544" s="98"/>
      <c r="D544" s="98"/>
      <c r="E544" s="102" t="s">
        <v>277</v>
      </c>
      <c r="F544" s="104"/>
      <c r="G544" s="104"/>
      <c r="H544" s="104"/>
      <c r="I544" s="105"/>
      <c r="J544" s="104">
        <f t="shared" si="952"/>
        <v>0</v>
      </c>
      <c r="K544" s="104">
        <f t="shared" si="953"/>
        <v>0</v>
      </c>
      <c r="L544" s="104">
        <f t="shared" si="954"/>
        <v>0</v>
      </c>
      <c r="M544" s="104"/>
      <c r="N544" s="104"/>
      <c r="O544" s="104"/>
      <c r="P544" s="104"/>
      <c r="Q544" s="104">
        <f t="shared" si="955"/>
        <v>0</v>
      </c>
      <c r="R544" s="104">
        <f t="shared" si="956"/>
        <v>0</v>
      </c>
      <c r="S544" s="104">
        <f t="shared" si="957"/>
        <v>0</v>
      </c>
      <c r="T544" s="105"/>
      <c r="U544" s="100">
        <f t="shared" si="945"/>
        <v>0</v>
      </c>
      <c r="V544" s="130"/>
      <c r="W544" s="134">
        <f t="shared" si="946"/>
        <v>0</v>
      </c>
      <c r="X544" s="106"/>
      <c r="Y544" s="106">
        <f t="shared" si="947"/>
        <v>0</v>
      </c>
      <c r="Z544" s="106">
        <f t="shared" si="948"/>
        <v>0</v>
      </c>
      <c r="AA544" s="106">
        <f t="shared" si="949"/>
        <v>0</v>
      </c>
      <c r="AB544" s="106">
        <f t="shared" si="950"/>
        <v>0</v>
      </c>
      <c r="AC544" s="107">
        <f t="shared" si="951"/>
        <v>0</v>
      </c>
    </row>
    <row r="545" spans="1:29" s="82" customFormat="1" ht="15.75" customHeight="1">
      <c r="A545" s="1267"/>
      <c r="B545" s="97"/>
      <c r="C545" s="98"/>
      <c r="D545" s="98"/>
      <c r="E545" s="102" t="s">
        <v>278</v>
      </c>
      <c r="F545" s="104"/>
      <c r="G545" s="104"/>
      <c r="H545" s="104"/>
      <c r="I545" s="105"/>
      <c r="J545" s="104">
        <f t="shared" si="952"/>
        <v>0</v>
      </c>
      <c r="K545" s="104">
        <f t="shared" si="953"/>
        <v>0</v>
      </c>
      <c r="L545" s="104">
        <f t="shared" si="954"/>
        <v>0</v>
      </c>
      <c r="M545" s="104"/>
      <c r="N545" s="104"/>
      <c r="O545" s="104"/>
      <c r="P545" s="104"/>
      <c r="Q545" s="104">
        <f t="shared" si="955"/>
        <v>0</v>
      </c>
      <c r="R545" s="104">
        <f t="shared" si="956"/>
        <v>0</v>
      </c>
      <c r="S545" s="104">
        <f t="shared" si="957"/>
        <v>0</v>
      </c>
      <c r="T545" s="105"/>
      <c r="U545" s="100">
        <f t="shared" si="945"/>
        <v>0</v>
      </c>
      <c r="V545" s="130"/>
      <c r="W545" s="134">
        <f t="shared" si="946"/>
        <v>0</v>
      </c>
      <c r="X545" s="106"/>
      <c r="Y545" s="106">
        <f t="shared" si="947"/>
        <v>0</v>
      </c>
      <c r="Z545" s="106">
        <f t="shared" si="948"/>
        <v>0</v>
      </c>
      <c r="AA545" s="106">
        <f t="shared" si="949"/>
        <v>0</v>
      </c>
      <c r="AB545" s="106">
        <f t="shared" si="950"/>
        <v>0</v>
      </c>
      <c r="AC545" s="107">
        <f t="shared" si="951"/>
        <v>0</v>
      </c>
    </row>
    <row r="546" spans="1:29" s="82" customFormat="1" ht="15.75" customHeight="1">
      <c r="A546" s="1267"/>
      <c r="B546" s="97"/>
      <c r="C546" s="98"/>
      <c r="D546" s="98"/>
      <c r="E546" s="102" t="s">
        <v>279</v>
      </c>
      <c r="F546" s="104"/>
      <c r="G546" s="104"/>
      <c r="H546" s="103"/>
      <c r="I546" s="105"/>
      <c r="J546" s="104">
        <f t="shared" si="952"/>
        <v>0</v>
      </c>
      <c r="K546" s="104">
        <f t="shared" si="953"/>
        <v>0</v>
      </c>
      <c r="L546" s="104">
        <f t="shared" si="954"/>
        <v>0</v>
      </c>
      <c r="M546" s="104"/>
      <c r="N546" s="104"/>
      <c r="O546" s="104"/>
      <c r="P546" s="104"/>
      <c r="Q546" s="104">
        <f t="shared" si="955"/>
        <v>0</v>
      </c>
      <c r="R546" s="104">
        <f t="shared" si="956"/>
        <v>0</v>
      </c>
      <c r="S546" s="104">
        <f t="shared" si="957"/>
        <v>0</v>
      </c>
      <c r="T546" s="105"/>
      <c r="U546" s="100">
        <f t="shared" si="945"/>
        <v>0</v>
      </c>
      <c r="V546" s="130"/>
      <c r="W546" s="134">
        <f t="shared" si="946"/>
        <v>0</v>
      </c>
      <c r="X546" s="106"/>
      <c r="Y546" s="106">
        <f t="shared" si="947"/>
        <v>0</v>
      </c>
      <c r="Z546" s="106">
        <f t="shared" si="948"/>
        <v>0</v>
      </c>
      <c r="AA546" s="106">
        <f t="shared" si="949"/>
        <v>0</v>
      </c>
      <c r="AB546" s="106">
        <f t="shared" si="950"/>
        <v>0</v>
      </c>
      <c r="AC546" s="107">
        <f t="shared" si="951"/>
        <v>0</v>
      </c>
    </row>
    <row r="547" spans="1:29" s="82" customFormat="1" ht="15.75" customHeight="1">
      <c r="A547" s="1267"/>
      <c r="B547" s="97"/>
      <c r="C547" s="98"/>
      <c r="D547" s="98"/>
      <c r="E547" s="102" t="s">
        <v>280</v>
      </c>
      <c r="F547" s="104"/>
      <c r="G547" s="104"/>
      <c r="H547" s="104"/>
      <c r="I547" s="105"/>
      <c r="J547" s="104">
        <f t="shared" si="952"/>
        <v>0</v>
      </c>
      <c r="K547" s="104">
        <f t="shared" si="953"/>
        <v>0</v>
      </c>
      <c r="L547" s="104">
        <f t="shared" si="954"/>
        <v>0</v>
      </c>
      <c r="M547" s="104"/>
      <c r="N547" s="104"/>
      <c r="O547" s="104"/>
      <c r="P547" s="104"/>
      <c r="Q547" s="104">
        <f t="shared" si="955"/>
        <v>0</v>
      </c>
      <c r="R547" s="104">
        <f t="shared" si="956"/>
        <v>0</v>
      </c>
      <c r="S547" s="104">
        <f t="shared" si="957"/>
        <v>0</v>
      </c>
      <c r="T547" s="105"/>
      <c r="U547" s="100">
        <f t="shared" si="945"/>
        <v>0</v>
      </c>
      <c r="V547" s="130"/>
      <c r="W547" s="134">
        <f t="shared" si="946"/>
        <v>0</v>
      </c>
      <c r="X547" s="106"/>
      <c r="Y547" s="106">
        <f t="shared" si="947"/>
        <v>0</v>
      </c>
      <c r="Z547" s="106">
        <f t="shared" si="948"/>
        <v>0</v>
      </c>
      <c r="AA547" s="106">
        <f t="shared" si="949"/>
        <v>0</v>
      </c>
      <c r="AB547" s="106">
        <f t="shared" si="950"/>
        <v>0</v>
      </c>
      <c r="AC547" s="107">
        <f t="shared" si="951"/>
        <v>0</v>
      </c>
    </row>
    <row r="548" spans="1:29" s="82" customFormat="1" ht="15.75" customHeight="1">
      <c r="A548" s="1267"/>
      <c r="B548" s="97"/>
      <c r="C548" s="171">
        <v>10</v>
      </c>
      <c r="D548" s="171"/>
      <c r="E548" s="172" t="s">
        <v>54</v>
      </c>
      <c r="F548" s="104"/>
      <c r="G548" s="104"/>
      <c r="H548" s="104"/>
      <c r="I548" s="105"/>
      <c r="J548" s="104">
        <f t="shared" si="952"/>
        <v>0</v>
      </c>
      <c r="K548" s="104">
        <f t="shared" si="953"/>
        <v>0</v>
      </c>
      <c r="L548" s="104">
        <f t="shared" si="954"/>
        <v>0</v>
      </c>
      <c r="M548" s="104">
        <f t="shared" ref="M548" si="958">F548*60%</f>
        <v>0</v>
      </c>
      <c r="N548" s="104"/>
      <c r="O548" s="104"/>
      <c r="P548" s="104"/>
      <c r="Q548" s="104">
        <f t="shared" si="955"/>
        <v>0</v>
      </c>
      <c r="R548" s="104">
        <f t="shared" si="956"/>
        <v>0</v>
      </c>
      <c r="S548" s="104">
        <f t="shared" si="957"/>
        <v>0</v>
      </c>
      <c r="T548" s="105"/>
      <c r="U548" s="100">
        <f t="shared" si="945"/>
        <v>0</v>
      </c>
      <c r="V548" s="130"/>
      <c r="W548" s="134">
        <f t="shared" si="946"/>
        <v>0</v>
      </c>
      <c r="X548" s="106"/>
      <c r="Y548" s="106">
        <f t="shared" si="947"/>
        <v>0</v>
      </c>
      <c r="Z548" s="106">
        <f t="shared" si="948"/>
        <v>0</v>
      </c>
      <c r="AA548" s="106">
        <f t="shared" si="949"/>
        <v>0</v>
      </c>
      <c r="AB548" s="106">
        <f t="shared" si="950"/>
        <v>0</v>
      </c>
      <c r="AC548" s="107">
        <f t="shared" si="951"/>
        <v>0</v>
      </c>
    </row>
    <row r="549" spans="1:29" s="82" customFormat="1" ht="15.75" customHeight="1">
      <c r="A549" s="1267"/>
      <c r="B549" s="97"/>
      <c r="C549" s="98"/>
      <c r="D549" s="98"/>
      <c r="E549" s="102" t="s">
        <v>55</v>
      </c>
      <c r="F549" s="104"/>
      <c r="G549" s="104"/>
      <c r="H549" s="104"/>
      <c r="I549" s="105"/>
      <c r="J549" s="104">
        <f t="shared" si="952"/>
        <v>0</v>
      </c>
      <c r="K549" s="104">
        <f t="shared" si="953"/>
        <v>0</v>
      </c>
      <c r="L549" s="104">
        <f t="shared" si="954"/>
        <v>0</v>
      </c>
      <c r="M549" s="104"/>
      <c r="N549" s="104"/>
      <c r="O549" s="104"/>
      <c r="P549" s="104"/>
      <c r="Q549" s="104">
        <f t="shared" si="955"/>
        <v>0</v>
      </c>
      <c r="R549" s="104">
        <f t="shared" si="956"/>
        <v>0</v>
      </c>
      <c r="S549" s="104">
        <f t="shared" si="957"/>
        <v>0</v>
      </c>
      <c r="T549" s="105"/>
      <c r="U549" s="100">
        <f t="shared" si="945"/>
        <v>0</v>
      </c>
      <c r="V549" s="130"/>
      <c r="W549" s="134">
        <f t="shared" si="946"/>
        <v>0</v>
      </c>
      <c r="X549" s="106"/>
      <c r="Y549" s="106">
        <f t="shared" si="947"/>
        <v>0</v>
      </c>
      <c r="Z549" s="106">
        <f t="shared" si="948"/>
        <v>0</v>
      </c>
      <c r="AA549" s="106">
        <f t="shared" si="949"/>
        <v>0</v>
      </c>
      <c r="AB549" s="106">
        <f t="shared" si="950"/>
        <v>0</v>
      </c>
      <c r="AC549" s="107">
        <f t="shared" si="951"/>
        <v>0</v>
      </c>
    </row>
    <row r="550" spans="1:29" s="82" customFormat="1" ht="15.75" customHeight="1">
      <c r="A550" s="1267"/>
      <c r="B550" s="97"/>
      <c r="C550" s="98"/>
      <c r="D550" s="98"/>
      <c r="E550" s="102" t="s">
        <v>56</v>
      </c>
      <c r="F550" s="104"/>
      <c r="G550" s="104"/>
      <c r="H550" s="104"/>
      <c r="I550" s="105"/>
      <c r="J550" s="104">
        <f t="shared" si="952"/>
        <v>0</v>
      </c>
      <c r="K550" s="104">
        <f t="shared" si="953"/>
        <v>0</v>
      </c>
      <c r="L550" s="104">
        <f t="shared" si="954"/>
        <v>0</v>
      </c>
      <c r="M550" s="104"/>
      <c r="N550" s="104"/>
      <c r="O550" s="104"/>
      <c r="P550" s="104"/>
      <c r="Q550" s="104">
        <f t="shared" si="955"/>
        <v>0</v>
      </c>
      <c r="R550" s="104">
        <f t="shared" si="956"/>
        <v>0</v>
      </c>
      <c r="S550" s="104">
        <f t="shared" si="957"/>
        <v>0</v>
      </c>
      <c r="T550" s="105"/>
      <c r="U550" s="100">
        <f t="shared" si="945"/>
        <v>0</v>
      </c>
      <c r="V550" s="130"/>
      <c r="W550" s="134">
        <f t="shared" si="946"/>
        <v>0</v>
      </c>
      <c r="X550" s="106"/>
      <c r="Y550" s="106">
        <f t="shared" si="947"/>
        <v>0</v>
      </c>
      <c r="Z550" s="106">
        <f t="shared" si="948"/>
        <v>0</v>
      </c>
      <c r="AA550" s="106">
        <f t="shared" si="949"/>
        <v>0</v>
      </c>
      <c r="AB550" s="106">
        <f t="shared" si="950"/>
        <v>0</v>
      </c>
      <c r="AC550" s="107">
        <f t="shared" si="951"/>
        <v>0</v>
      </c>
    </row>
    <row r="551" spans="1:29" s="82" customFormat="1" ht="15.75" customHeight="1">
      <c r="A551" s="1267"/>
      <c r="B551" s="97"/>
      <c r="C551" s="98"/>
      <c r="D551" s="98"/>
      <c r="E551" s="102" t="s">
        <v>281</v>
      </c>
      <c r="F551" s="104"/>
      <c r="G551" s="104"/>
      <c r="H551" s="104"/>
      <c r="I551" s="105"/>
      <c r="J551" s="104">
        <f t="shared" si="952"/>
        <v>0</v>
      </c>
      <c r="K551" s="104">
        <f t="shared" ref="K551" si="959">J551*25*2</f>
        <v>0</v>
      </c>
      <c r="L551" s="104">
        <f t="shared" si="954"/>
        <v>0</v>
      </c>
      <c r="M551" s="104"/>
      <c r="N551" s="104"/>
      <c r="O551" s="104"/>
      <c r="P551" s="104"/>
      <c r="Q551" s="104">
        <f t="shared" si="955"/>
        <v>0</v>
      </c>
      <c r="R551" s="104">
        <f>Q551*20*2</f>
        <v>0</v>
      </c>
      <c r="S551" s="104">
        <f>Q551*5*2</f>
        <v>0</v>
      </c>
      <c r="T551" s="105"/>
      <c r="U551" s="100">
        <f t="shared" si="945"/>
        <v>0</v>
      </c>
      <c r="V551" s="130"/>
      <c r="W551" s="134">
        <f t="shared" si="946"/>
        <v>0</v>
      </c>
      <c r="X551" s="106"/>
      <c r="Y551" s="106">
        <f t="shared" si="947"/>
        <v>0</v>
      </c>
      <c r="Z551" s="106">
        <f t="shared" si="948"/>
        <v>0</v>
      </c>
      <c r="AA551" s="106">
        <f t="shared" si="949"/>
        <v>0</v>
      </c>
      <c r="AB551" s="106">
        <f t="shared" si="950"/>
        <v>0</v>
      </c>
      <c r="AC551" s="107">
        <f t="shared" si="951"/>
        <v>0</v>
      </c>
    </row>
    <row r="552" spans="1:29" s="82" customFormat="1" ht="16.5" customHeight="1">
      <c r="A552" s="1267">
        <v>43</v>
      </c>
      <c r="B552" s="97" t="s">
        <v>447</v>
      </c>
      <c r="C552" s="98">
        <v>7</v>
      </c>
      <c r="D552" s="98">
        <v>1</v>
      </c>
      <c r="E552" s="99" t="s">
        <v>86</v>
      </c>
      <c r="F552" s="100">
        <f t="shared" ref="F552" si="960">SUM(F553:F564)</f>
        <v>0</v>
      </c>
      <c r="G552" s="100">
        <f t="shared" ref="G552:N552" si="961">SUM(G553:G564)</f>
        <v>0</v>
      </c>
      <c r="H552" s="100">
        <f t="shared" si="961"/>
        <v>0</v>
      </c>
      <c r="I552" s="100">
        <f t="shared" ref="I552" si="962">SUM(I553:I564)</f>
        <v>0</v>
      </c>
      <c r="J552" s="100">
        <f t="shared" si="961"/>
        <v>0</v>
      </c>
      <c r="K552" s="100">
        <f t="shared" si="961"/>
        <v>0</v>
      </c>
      <c r="L552" s="100">
        <f t="shared" si="961"/>
        <v>0</v>
      </c>
      <c r="M552" s="100">
        <f t="shared" si="961"/>
        <v>0</v>
      </c>
      <c r="N552" s="100">
        <f t="shared" si="961"/>
        <v>0</v>
      </c>
      <c r="O552" s="100">
        <f t="shared" ref="O552" si="963">SUM(O553:O564)</f>
        <v>0</v>
      </c>
      <c r="P552" s="100"/>
      <c r="Q552" s="100"/>
      <c r="R552" s="100">
        <f t="shared" ref="R552" si="964">SUM(R553:R564)</f>
        <v>0</v>
      </c>
      <c r="S552" s="100">
        <f>SUM(S553:S564)</f>
        <v>0</v>
      </c>
      <c r="T552" s="100"/>
      <c r="U552" s="100">
        <f t="shared" ref="U552" si="965">SUM(U553:U564)</f>
        <v>0</v>
      </c>
      <c r="V552" s="130"/>
      <c r="W552" s="143">
        <f t="shared" ref="W552" si="966">SUM(W553:W564)</f>
        <v>0</v>
      </c>
      <c r="X552" s="100">
        <f t="shared" ref="X552" si="967">SUM(X553:X564)</f>
        <v>0</v>
      </c>
      <c r="Y552" s="100">
        <f t="shared" ref="Y552:AB552" si="968">SUM(Y553:Y564)</f>
        <v>0</v>
      </c>
      <c r="Z552" s="100">
        <f t="shared" si="968"/>
        <v>0</v>
      </c>
      <c r="AA552" s="100">
        <f t="shared" si="968"/>
        <v>0</v>
      </c>
      <c r="AB552" s="100">
        <f t="shared" si="968"/>
        <v>0</v>
      </c>
      <c r="AC552" s="101">
        <f>SUM(AC553:AC564)</f>
        <v>0</v>
      </c>
    </row>
    <row r="553" spans="1:29" s="82" customFormat="1" ht="16.5" customHeight="1">
      <c r="A553" s="1267"/>
      <c r="B553" s="97" t="s">
        <v>473</v>
      </c>
      <c r="C553" s="171">
        <v>7</v>
      </c>
      <c r="D553" s="171"/>
      <c r="E553" s="172" t="s">
        <v>273</v>
      </c>
      <c r="F553" s="173"/>
      <c r="G553" s="104"/>
      <c r="H553" s="103"/>
      <c r="I553" s="105"/>
      <c r="J553" s="104"/>
      <c r="K553" s="104"/>
      <c r="L553" s="104"/>
      <c r="M553" s="104">
        <f t="shared" ref="M553" si="969">F553*60%</f>
        <v>0</v>
      </c>
      <c r="N553" s="104"/>
      <c r="O553" s="104"/>
      <c r="P553" s="104"/>
      <c r="Q553" s="104"/>
      <c r="R553" s="104"/>
      <c r="S553" s="104"/>
      <c r="T553" s="105"/>
      <c r="U553" s="100">
        <f t="shared" ref="U553" si="970">SUM(I553,L553)</f>
        <v>0</v>
      </c>
      <c r="V553" s="130"/>
      <c r="W553" s="134">
        <f t="shared" ref="W553:W554" si="971">ROUNDUP(U553*1/12,-1)</f>
        <v>0</v>
      </c>
      <c r="X553" s="106"/>
      <c r="Y553" s="106">
        <f t="shared" ref="Y553" si="972">ROUNDUP((U553-L553)*3.06%,-1)</f>
        <v>0</v>
      </c>
      <c r="Z553" s="106">
        <f>ROUNDUP(Y553*6.55%,-1)</f>
        <v>0</v>
      </c>
      <c r="AA553" s="106">
        <f t="shared" ref="AA553:AA564" si="973">ROUND(U553*0.9%,-1)</f>
        <v>0</v>
      </c>
      <c r="AB553" s="106">
        <f t="shared" ref="AB553:AB564" si="974">ROUND(U553*0.8%,-1)</f>
        <v>0</v>
      </c>
      <c r="AC553" s="107">
        <f t="shared" ref="AC553:AC564" si="975">SUM(W553:AB553)</f>
        <v>0</v>
      </c>
    </row>
    <row r="554" spans="1:29" s="82" customFormat="1" ht="16.5" customHeight="1">
      <c r="A554" s="1267"/>
      <c r="B554" s="97"/>
      <c r="C554" s="98"/>
      <c r="D554" s="98"/>
      <c r="E554" s="102" t="s">
        <v>274</v>
      </c>
      <c r="F554" s="104"/>
      <c r="G554" s="104"/>
      <c r="H554" s="104"/>
      <c r="I554" s="105"/>
      <c r="J554" s="104">
        <f t="shared" ref="J554:J564" si="976">ROUND((F553+I553+T553)*1/209*1.5,-1)</f>
        <v>0</v>
      </c>
      <c r="K554" s="104">
        <f>J554*40</f>
        <v>0</v>
      </c>
      <c r="L554" s="104">
        <f t="shared" ref="L554:L564" si="977">K554-R554</f>
        <v>0</v>
      </c>
      <c r="M554" s="104"/>
      <c r="N554" s="104"/>
      <c r="O554" s="104"/>
      <c r="P554" s="104"/>
      <c r="Q554" s="104">
        <f t="shared" ref="Q554" si="978">ROUND((F553+T553)*1/209*1.5,-1)</f>
        <v>0</v>
      </c>
      <c r="R554" s="104">
        <f>Q554*40</f>
        <v>0</v>
      </c>
      <c r="S554" s="104"/>
      <c r="T554" s="105"/>
      <c r="U554" s="100">
        <f t="shared" si="945"/>
        <v>0</v>
      </c>
      <c r="V554" s="130"/>
      <c r="W554" s="134">
        <f t="shared" si="971"/>
        <v>0</v>
      </c>
      <c r="X554" s="106"/>
      <c r="Y554" s="106">
        <f t="shared" si="947"/>
        <v>0</v>
      </c>
      <c r="Z554" s="106">
        <f t="shared" ref="Z554:Z564" si="979">ROUNDUP(Y554*6.55%,-1)</f>
        <v>0</v>
      </c>
      <c r="AA554" s="106">
        <f t="shared" si="973"/>
        <v>0</v>
      </c>
      <c r="AB554" s="106">
        <f t="shared" si="974"/>
        <v>0</v>
      </c>
      <c r="AC554" s="107">
        <f t="shared" si="975"/>
        <v>0</v>
      </c>
    </row>
    <row r="555" spans="1:29" s="82" customFormat="1" ht="16.5" customHeight="1">
      <c r="A555" s="1267"/>
      <c r="B555" s="97"/>
      <c r="C555" s="98"/>
      <c r="D555" s="98"/>
      <c r="E555" s="102" t="s">
        <v>275</v>
      </c>
      <c r="F555" s="104"/>
      <c r="G555" s="104"/>
      <c r="H555" s="104"/>
      <c r="I555" s="105"/>
      <c r="J555" s="104">
        <f t="shared" si="976"/>
        <v>0</v>
      </c>
      <c r="K555" s="104">
        <f t="shared" ref="K555:K563" si="980">J555*40</f>
        <v>0</v>
      </c>
      <c r="L555" s="104">
        <f t="shared" si="977"/>
        <v>0</v>
      </c>
      <c r="M555" s="104"/>
      <c r="N555" s="104"/>
      <c r="O555" s="104"/>
      <c r="P555" s="104"/>
      <c r="Q555" s="104">
        <f t="shared" si="955"/>
        <v>0</v>
      </c>
      <c r="R555" s="104">
        <f t="shared" ref="R555:R563" si="981">Q555*40</f>
        <v>0</v>
      </c>
      <c r="S555" s="104"/>
      <c r="T555" s="105"/>
      <c r="U555" s="100">
        <f t="shared" si="945"/>
        <v>0</v>
      </c>
      <c r="V555" s="130"/>
      <c r="W555" s="134">
        <f t="shared" si="946"/>
        <v>0</v>
      </c>
      <c r="X555" s="106"/>
      <c r="Y555" s="106">
        <f t="shared" si="947"/>
        <v>0</v>
      </c>
      <c r="Z555" s="106">
        <f t="shared" si="979"/>
        <v>0</v>
      </c>
      <c r="AA555" s="106">
        <f t="shared" si="973"/>
        <v>0</v>
      </c>
      <c r="AB555" s="106">
        <f t="shared" si="974"/>
        <v>0</v>
      </c>
      <c r="AC555" s="107">
        <f t="shared" si="975"/>
        <v>0</v>
      </c>
    </row>
    <row r="556" spans="1:29" s="82" customFormat="1" ht="16.5" customHeight="1">
      <c r="A556" s="1267"/>
      <c r="B556" s="97"/>
      <c r="C556" s="98"/>
      <c r="D556" s="98"/>
      <c r="E556" s="102" t="s">
        <v>276</v>
      </c>
      <c r="F556" s="173"/>
      <c r="G556" s="104"/>
      <c r="H556" s="104"/>
      <c r="I556" s="105"/>
      <c r="J556" s="104">
        <f t="shared" si="976"/>
        <v>0</v>
      </c>
      <c r="K556" s="104">
        <f t="shared" si="980"/>
        <v>0</v>
      </c>
      <c r="L556" s="104">
        <f t="shared" si="977"/>
        <v>0</v>
      </c>
      <c r="M556" s="104"/>
      <c r="N556" s="104"/>
      <c r="O556" s="104"/>
      <c r="P556" s="104"/>
      <c r="Q556" s="104">
        <f t="shared" si="955"/>
        <v>0</v>
      </c>
      <c r="R556" s="104">
        <f t="shared" si="981"/>
        <v>0</v>
      </c>
      <c r="S556" s="104"/>
      <c r="T556" s="105"/>
      <c r="U556" s="100">
        <f t="shared" si="945"/>
        <v>0</v>
      </c>
      <c r="V556" s="130"/>
      <c r="W556" s="134">
        <f t="shared" si="946"/>
        <v>0</v>
      </c>
      <c r="X556" s="106"/>
      <c r="Y556" s="106">
        <f t="shared" si="947"/>
        <v>0</v>
      </c>
      <c r="Z556" s="106">
        <f t="shared" si="979"/>
        <v>0</v>
      </c>
      <c r="AA556" s="106">
        <f t="shared" si="973"/>
        <v>0</v>
      </c>
      <c r="AB556" s="106">
        <f t="shared" si="974"/>
        <v>0</v>
      </c>
      <c r="AC556" s="107">
        <f t="shared" si="975"/>
        <v>0</v>
      </c>
    </row>
    <row r="557" spans="1:29" s="82" customFormat="1" ht="16.5" customHeight="1">
      <c r="A557" s="1267"/>
      <c r="B557" s="97"/>
      <c r="C557" s="98"/>
      <c r="D557" s="98"/>
      <c r="E557" s="102" t="s">
        <v>277</v>
      </c>
      <c r="F557" s="104"/>
      <c r="G557" s="104"/>
      <c r="H557" s="104"/>
      <c r="I557" s="105"/>
      <c r="J557" s="104">
        <f t="shared" si="976"/>
        <v>0</v>
      </c>
      <c r="K557" s="104">
        <f t="shared" si="980"/>
        <v>0</v>
      </c>
      <c r="L557" s="104">
        <f t="shared" si="977"/>
        <v>0</v>
      </c>
      <c r="M557" s="104"/>
      <c r="N557" s="104"/>
      <c r="O557" s="104"/>
      <c r="P557" s="104"/>
      <c r="Q557" s="104">
        <f t="shared" si="955"/>
        <v>0</v>
      </c>
      <c r="R557" s="104">
        <f t="shared" si="981"/>
        <v>0</v>
      </c>
      <c r="S557" s="104"/>
      <c r="T557" s="105"/>
      <c r="U557" s="100">
        <f t="shared" si="945"/>
        <v>0</v>
      </c>
      <c r="V557" s="130"/>
      <c r="W557" s="134">
        <f t="shared" si="946"/>
        <v>0</v>
      </c>
      <c r="X557" s="106"/>
      <c r="Y557" s="106">
        <f t="shared" si="947"/>
        <v>0</v>
      </c>
      <c r="Z557" s="106">
        <f t="shared" si="979"/>
        <v>0</v>
      </c>
      <c r="AA557" s="106">
        <f t="shared" si="973"/>
        <v>0</v>
      </c>
      <c r="AB557" s="106">
        <f t="shared" si="974"/>
        <v>0</v>
      </c>
      <c r="AC557" s="107">
        <f t="shared" si="975"/>
        <v>0</v>
      </c>
    </row>
    <row r="558" spans="1:29" s="82" customFormat="1" ht="16.5" customHeight="1">
      <c r="A558" s="1267"/>
      <c r="B558" s="97"/>
      <c r="C558" s="98"/>
      <c r="D558" s="98"/>
      <c r="E558" s="102" t="s">
        <v>278</v>
      </c>
      <c r="F558" s="104"/>
      <c r="G558" s="104"/>
      <c r="H558" s="104"/>
      <c r="I558" s="105"/>
      <c r="J558" s="104">
        <f t="shared" si="976"/>
        <v>0</v>
      </c>
      <c r="K558" s="104">
        <f t="shared" si="980"/>
        <v>0</v>
      </c>
      <c r="L558" s="104">
        <f t="shared" si="977"/>
        <v>0</v>
      </c>
      <c r="M558" s="104"/>
      <c r="N558" s="104"/>
      <c r="O558" s="104"/>
      <c r="P558" s="104"/>
      <c r="Q558" s="104">
        <f t="shared" si="955"/>
        <v>0</v>
      </c>
      <c r="R558" s="104">
        <f t="shared" si="981"/>
        <v>0</v>
      </c>
      <c r="S558" s="104"/>
      <c r="T558" s="105"/>
      <c r="U558" s="100">
        <f t="shared" si="945"/>
        <v>0</v>
      </c>
      <c r="V558" s="130"/>
      <c r="W558" s="134">
        <f t="shared" si="946"/>
        <v>0</v>
      </c>
      <c r="X558" s="106"/>
      <c r="Y558" s="106">
        <f t="shared" si="947"/>
        <v>0</v>
      </c>
      <c r="Z558" s="106">
        <f t="shared" si="979"/>
        <v>0</v>
      </c>
      <c r="AA558" s="106">
        <f t="shared" si="973"/>
        <v>0</v>
      </c>
      <c r="AB558" s="106">
        <f t="shared" si="974"/>
        <v>0</v>
      </c>
      <c r="AC558" s="107">
        <f t="shared" si="975"/>
        <v>0</v>
      </c>
    </row>
    <row r="559" spans="1:29" s="82" customFormat="1" ht="16.5" customHeight="1">
      <c r="A559" s="1267"/>
      <c r="B559" s="97"/>
      <c r="C559" s="98"/>
      <c r="D559" s="98"/>
      <c r="E559" s="102" t="s">
        <v>279</v>
      </c>
      <c r="F559" s="104"/>
      <c r="G559" s="104"/>
      <c r="H559" s="104"/>
      <c r="I559" s="105"/>
      <c r="J559" s="104">
        <f t="shared" si="976"/>
        <v>0</v>
      </c>
      <c r="K559" s="104">
        <f t="shared" si="980"/>
        <v>0</v>
      </c>
      <c r="L559" s="104">
        <f t="shared" si="977"/>
        <v>0</v>
      </c>
      <c r="M559" s="104"/>
      <c r="N559" s="104"/>
      <c r="O559" s="104"/>
      <c r="P559" s="104"/>
      <c r="Q559" s="104">
        <f t="shared" si="955"/>
        <v>0</v>
      </c>
      <c r="R559" s="104">
        <f t="shared" si="981"/>
        <v>0</v>
      </c>
      <c r="S559" s="104"/>
      <c r="T559" s="105"/>
      <c r="U559" s="100">
        <f t="shared" si="945"/>
        <v>0</v>
      </c>
      <c r="V559" s="130"/>
      <c r="W559" s="134">
        <f t="shared" si="946"/>
        <v>0</v>
      </c>
      <c r="X559" s="106"/>
      <c r="Y559" s="106">
        <f t="shared" si="947"/>
        <v>0</v>
      </c>
      <c r="Z559" s="106">
        <f t="shared" si="979"/>
        <v>0</v>
      </c>
      <c r="AA559" s="106">
        <f t="shared" si="973"/>
        <v>0</v>
      </c>
      <c r="AB559" s="106">
        <f t="shared" si="974"/>
        <v>0</v>
      </c>
      <c r="AC559" s="107">
        <f t="shared" si="975"/>
        <v>0</v>
      </c>
    </row>
    <row r="560" spans="1:29" s="82" customFormat="1" ht="16.5" customHeight="1">
      <c r="A560" s="1267"/>
      <c r="B560" s="97"/>
      <c r="C560" s="98"/>
      <c r="D560" s="98"/>
      <c r="E560" s="102" t="s">
        <v>280</v>
      </c>
      <c r="F560" s="104"/>
      <c r="G560" s="104"/>
      <c r="H560" s="104"/>
      <c r="I560" s="105"/>
      <c r="J560" s="104">
        <f t="shared" si="976"/>
        <v>0</v>
      </c>
      <c r="K560" s="104">
        <f t="shared" si="980"/>
        <v>0</v>
      </c>
      <c r="L560" s="104">
        <f t="shared" si="977"/>
        <v>0</v>
      </c>
      <c r="M560" s="104"/>
      <c r="N560" s="104"/>
      <c r="O560" s="104"/>
      <c r="P560" s="104"/>
      <c r="Q560" s="104">
        <f t="shared" si="955"/>
        <v>0</v>
      </c>
      <c r="R560" s="104">
        <f t="shared" si="981"/>
        <v>0</v>
      </c>
      <c r="S560" s="104"/>
      <c r="T560" s="105"/>
      <c r="U560" s="100">
        <f t="shared" si="945"/>
        <v>0</v>
      </c>
      <c r="V560" s="130"/>
      <c r="W560" s="134">
        <f t="shared" si="946"/>
        <v>0</v>
      </c>
      <c r="X560" s="106"/>
      <c r="Y560" s="106">
        <f t="shared" si="947"/>
        <v>0</v>
      </c>
      <c r="Z560" s="106">
        <f t="shared" si="979"/>
        <v>0</v>
      </c>
      <c r="AA560" s="106">
        <f t="shared" si="973"/>
        <v>0</v>
      </c>
      <c r="AB560" s="106">
        <f t="shared" si="974"/>
        <v>0</v>
      </c>
      <c r="AC560" s="107">
        <f t="shared" si="975"/>
        <v>0</v>
      </c>
    </row>
    <row r="561" spans="1:29" s="82" customFormat="1" ht="16.5" customHeight="1">
      <c r="A561" s="1267"/>
      <c r="B561" s="97"/>
      <c r="C561" s="98"/>
      <c r="D561" s="98"/>
      <c r="E561" s="102" t="s">
        <v>54</v>
      </c>
      <c r="F561" s="104"/>
      <c r="G561" s="104"/>
      <c r="H561" s="104"/>
      <c r="I561" s="105"/>
      <c r="J561" s="104">
        <f t="shared" si="976"/>
        <v>0</v>
      </c>
      <c r="K561" s="104">
        <f t="shared" si="980"/>
        <v>0</v>
      </c>
      <c r="L561" s="104">
        <f t="shared" si="977"/>
        <v>0</v>
      </c>
      <c r="M561" s="104">
        <f t="shared" ref="M561" si="982">F561*60%</f>
        <v>0</v>
      </c>
      <c r="N561" s="104"/>
      <c r="O561" s="104"/>
      <c r="P561" s="104"/>
      <c r="Q561" s="104">
        <f t="shared" si="955"/>
        <v>0</v>
      </c>
      <c r="R561" s="104">
        <f t="shared" si="981"/>
        <v>0</v>
      </c>
      <c r="S561" s="104"/>
      <c r="T561" s="105"/>
      <c r="U561" s="100">
        <f t="shared" si="945"/>
        <v>0</v>
      </c>
      <c r="V561" s="130"/>
      <c r="W561" s="134">
        <f t="shared" si="946"/>
        <v>0</v>
      </c>
      <c r="X561" s="106"/>
      <c r="Y561" s="106">
        <f t="shared" si="947"/>
        <v>0</v>
      </c>
      <c r="Z561" s="106">
        <f t="shared" si="979"/>
        <v>0</v>
      </c>
      <c r="AA561" s="106">
        <f t="shared" si="973"/>
        <v>0</v>
      </c>
      <c r="AB561" s="106">
        <f t="shared" si="974"/>
        <v>0</v>
      </c>
      <c r="AC561" s="107">
        <f t="shared" si="975"/>
        <v>0</v>
      </c>
    </row>
    <row r="562" spans="1:29" s="82" customFormat="1" ht="16.5" customHeight="1">
      <c r="A562" s="1267"/>
      <c r="B562" s="97"/>
      <c r="C562" s="98"/>
      <c r="D562" s="98"/>
      <c r="E562" s="102" t="s">
        <v>55</v>
      </c>
      <c r="F562" s="104"/>
      <c r="G562" s="104"/>
      <c r="H562" s="104"/>
      <c r="I562" s="105"/>
      <c r="J562" s="104">
        <f t="shared" si="976"/>
        <v>0</v>
      </c>
      <c r="K562" s="104">
        <f t="shared" si="980"/>
        <v>0</v>
      </c>
      <c r="L562" s="104">
        <f t="shared" si="977"/>
        <v>0</v>
      </c>
      <c r="M562" s="104"/>
      <c r="N562" s="104"/>
      <c r="O562" s="104"/>
      <c r="P562" s="104"/>
      <c r="Q562" s="104">
        <f t="shared" si="955"/>
        <v>0</v>
      </c>
      <c r="R562" s="104">
        <f t="shared" si="981"/>
        <v>0</v>
      </c>
      <c r="S562" s="104"/>
      <c r="T562" s="105"/>
      <c r="U562" s="100">
        <f t="shared" si="945"/>
        <v>0</v>
      </c>
      <c r="V562" s="130"/>
      <c r="W562" s="134">
        <f t="shared" si="946"/>
        <v>0</v>
      </c>
      <c r="X562" s="106"/>
      <c r="Y562" s="106">
        <f t="shared" si="947"/>
        <v>0</v>
      </c>
      <c r="Z562" s="106">
        <f t="shared" si="979"/>
        <v>0</v>
      </c>
      <c r="AA562" s="106">
        <f t="shared" si="973"/>
        <v>0</v>
      </c>
      <c r="AB562" s="106">
        <f t="shared" si="974"/>
        <v>0</v>
      </c>
      <c r="AC562" s="107">
        <f t="shared" si="975"/>
        <v>0</v>
      </c>
    </row>
    <row r="563" spans="1:29" s="82" customFormat="1" ht="16.5" customHeight="1">
      <c r="A563" s="1267"/>
      <c r="B563" s="97"/>
      <c r="C563" s="98"/>
      <c r="D563" s="98"/>
      <c r="E563" s="102" t="s">
        <v>56</v>
      </c>
      <c r="F563" s="104"/>
      <c r="G563" s="104"/>
      <c r="H563" s="104"/>
      <c r="I563" s="105"/>
      <c r="J563" s="104">
        <f t="shared" si="976"/>
        <v>0</v>
      </c>
      <c r="K563" s="104">
        <f t="shared" si="980"/>
        <v>0</v>
      </c>
      <c r="L563" s="104">
        <f t="shared" si="977"/>
        <v>0</v>
      </c>
      <c r="M563" s="104"/>
      <c r="N563" s="104"/>
      <c r="O563" s="104"/>
      <c r="P563" s="104"/>
      <c r="Q563" s="104">
        <f t="shared" si="955"/>
        <v>0</v>
      </c>
      <c r="R563" s="104">
        <f t="shared" si="981"/>
        <v>0</v>
      </c>
      <c r="S563" s="104"/>
      <c r="T563" s="105"/>
      <c r="U563" s="100">
        <f t="shared" si="945"/>
        <v>0</v>
      </c>
      <c r="V563" s="130"/>
      <c r="W563" s="134">
        <f t="shared" si="946"/>
        <v>0</v>
      </c>
      <c r="X563" s="106"/>
      <c r="Y563" s="106">
        <f t="shared" si="947"/>
        <v>0</v>
      </c>
      <c r="Z563" s="106">
        <f t="shared" si="979"/>
        <v>0</v>
      </c>
      <c r="AA563" s="106">
        <f t="shared" si="973"/>
        <v>0</v>
      </c>
      <c r="AB563" s="106">
        <f t="shared" si="974"/>
        <v>0</v>
      </c>
      <c r="AC563" s="107">
        <f t="shared" si="975"/>
        <v>0</v>
      </c>
    </row>
    <row r="564" spans="1:29" s="82" customFormat="1" ht="16.5" customHeight="1">
      <c r="A564" s="1267"/>
      <c r="B564" s="97"/>
      <c r="C564" s="98"/>
      <c r="D564" s="98"/>
      <c r="E564" s="102" t="s">
        <v>281</v>
      </c>
      <c r="F564" s="104"/>
      <c r="G564" s="104"/>
      <c r="H564" s="104"/>
      <c r="I564" s="105"/>
      <c r="J564" s="104">
        <f t="shared" si="976"/>
        <v>0</v>
      </c>
      <c r="K564" s="104">
        <f>J564*40*2</f>
        <v>0</v>
      </c>
      <c r="L564" s="104">
        <f t="shared" si="977"/>
        <v>0</v>
      </c>
      <c r="M564" s="104"/>
      <c r="N564" s="104"/>
      <c r="O564" s="104"/>
      <c r="P564" s="104"/>
      <c r="Q564" s="104">
        <f t="shared" si="955"/>
        <v>0</v>
      </c>
      <c r="R564" s="104">
        <f>Q564*40*2</f>
        <v>0</v>
      </c>
      <c r="S564" s="104"/>
      <c r="T564" s="105"/>
      <c r="U564" s="100">
        <f t="shared" si="945"/>
        <v>0</v>
      </c>
      <c r="V564" s="130"/>
      <c r="W564" s="134">
        <f t="shared" si="946"/>
        <v>0</v>
      </c>
      <c r="X564" s="106"/>
      <c r="Y564" s="106">
        <f t="shared" si="947"/>
        <v>0</v>
      </c>
      <c r="Z564" s="106">
        <f t="shared" si="979"/>
        <v>0</v>
      </c>
      <c r="AA564" s="106">
        <f t="shared" si="973"/>
        <v>0</v>
      </c>
      <c r="AB564" s="106">
        <f t="shared" si="974"/>
        <v>0</v>
      </c>
      <c r="AC564" s="107">
        <f t="shared" si="975"/>
        <v>0</v>
      </c>
    </row>
    <row r="565" spans="1:29" s="82" customFormat="1" ht="16.5" customHeight="1">
      <c r="A565" s="1267">
        <v>44</v>
      </c>
      <c r="B565" s="97" t="s">
        <v>447</v>
      </c>
      <c r="C565" s="98" t="s">
        <v>525</v>
      </c>
      <c r="D565" s="98">
        <v>1</v>
      </c>
      <c r="E565" s="99" t="s">
        <v>86</v>
      </c>
      <c r="F565" s="100">
        <f t="shared" ref="F565" si="983">SUM(F566:F577)</f>
        <v>0</v>
      </c>
      <c r="G565" s="100">
        <f t="shared" ref="G565:N565" si="984">SUM(G566:G577)</f>
        <v>0</v>
      </c>
      <c r="H565" s="100">
        <f t="shared" si="984"/>
        <v>0</v>
      </c>
      <c r="I565" s="100">
        <f t="shared" ref="I565" si="985">SUM(I566:I577)</f>
        <v>0</v>
      </c>
      <c r="J565" s="100">
        <f t="shared" si="984"/>
        <v>0</v>
      </c>
      <c r="K565" s="100">
        <f t="shared" si="984"/>
        <v>0</v>
      </c>
      <c r="L565" s="100">
        <f t="shared" si="984"/>
        <v>0</v>
      </c>
      <c r="M565" s="100">
        <f t="shared" si="984"/>
        <v>0</v>
      </c>
      <c r="N565" s="100">
        <f t="shared" si="984"/>
        <v>0</v>
      </c>
      <c r="O565" s="100">
        <f t="shared" ref="O565" si="986">SUM(O566:O577)</f>
        <v>0</v>
      </c>
      <c r="P565" s="100"/>
      <c r="Q565" s="100"/>
      <c r="R565" s="100">
        <f t="shared" ref="R565" si="987">SUM(R566:R577)</f>
        <v>0</v>
      </c>
      <c r="S565" s="100">
        <f>SUM(S566:S577)</f>
        <v>0</v>
      </c>
      <c r="T565" s="100"/>
      <c r="U565" s="100">
        <f t="shared" ref="U565" si="988">SUM(U566:U577)</f>
        <v>0</v>
      </c>
      <c r="V565" s="130"/>
      <c r="W565" s="143">
        <f t="shared" ref="W565" si="989">SUM(W566:W577)</f>
        <v>0</v>
      </c>
      <c r="X565" s="100">
        <f t="shared" ref="X565" si="990">SUM(X566:X577)</f>
        <v>0</v>
      </c>
      <c r="Y565" s="100">
        <f t="shared" ref="Y565:AB565" si="991">SUM(Y566:Y577)</f>
        <v>0</v>
      </c>
      <c r="Z565" s="100">
        <f t="shared" si="991"/>
        <v>0</v>
      </c>
      <c r="AA565" s="100">
        <f t="shared" si="991"/>
        <v>0</v>
      </c>
      <c r="AB565" s="100">
        <f t="shared" si="991"/>
        <v>0</v>
      </c>
      <c r="AC565" s="101">
        <f>SUM(AC566:AC577)</f>
        <v>0</v>
      </c>
    </row>
    <row r="566" spans="1:29" s="82" customFormat="1" ht="15.75" customHeight="1">
      <c r="A566" s="1267"/>
      <c r="B566" s="97" t="s">
        <v>831</v>
      </c>
      <c r="C566" s="171">
        <v>4</v>
      </c>
      <c r="D566" s="171"/>
      <c r="E566" s="172" t="s">
        <v>273</v>
      </c>
      <c r="F566" s="173"/>
      <c r="G566" s="104"/>
      <c r="H566" s="103"/>
      <c r="I566" s="105"/>
      <c r="J566" s="104"/>
      <c r="K566" s="104"/>
      <c r="L566" s="104"/>
      <c r="M566" s="104">
        <f t="shared" ref="M566" si="992">F566*60%</f>
        <v>0</v>
      </c>
      <c r="N566" s="104"/>
      <c r="O566" s="104"/>
      <c r="P566" s="104"/>
      <c r="Q566" s="104"/>
      <c r="R566" s="104"/>
      <c r="S566" s="104"/>
      <c r="T566" s="105"/>
      <c r="U566" s="100">
        <f t="shared" ref="U566" si="993">SUM(I566,L566)</f>
        <v>0</v>
      </c>
      <c r="V566" s="130"/>
      <c r="W566" s="134">
        <f t="shared" ref="W566:W567" si="994">ROUNDUP(U566*1/12,-1)</f>
        <v>0</v>
      </c>
      <c r="X566" s="106"/>
      <c r="Y566" s="106">
        <f t="shared" ref="Y566" si="995">ROUNDUP((U566-L566)*3.06%,-1)</f>
        <v>0</v>
      </c>
      <c r="Z566" s="106">
        <f>ROUNDUP(Y566*6.55%,-1)</f>
        <v>0</v>
      </c>
      <c r="AA566" s="106">
        <f t="shared" ref="AA566:AA577" si="996">ROUND(U566*0.9%,-1)</f>
        <v>0</v>
      </c>
      <c r="AB566" s="106">
        <f t="shared" ref="AB566:AB577" si="997">ROUND(U566*0.8%,-1)</f>
        <v>0</v>
      </c>
      <c r="AC566" s="107">
        <f t="shared" ref="AC566:AC577" si="998">SUM(W566:AB566)</f>
        <v>0</v>
      </c>
    </row>
    <row r="567" spans="1:29" s="82" customFormat="1" ht="16.5" customHeight="1">
      <c r="A567" s="1267"/>
      <c r="B567" s="97"/>
      <c r="C567" s="98"/>
      <c r="D567" s="98"/>
      <c r="E567" s="102" t="s">
        <v>274</v>
      </c>
      <c r="F567" s="104"/>
      <c r="G567" s="104"/>
      <c r="H567" s="104"/>
      <c r="I567" s="105"/>
      <c r="J567" s="104">
        <f t="shared" ref="J567:J577" si="999">ROUND((F566+I566+T566)*1/209*1.5,-1)</f>
        <v>0</v>
      </c>
      <c r="K567" s="104">
        <f>J567*40</f>
        <v>0</v>
      </c>
      <c r="L567" s="104">
        <f t="shared" ref="L567:L577" si="1000">K567-R567</f>
        <v>0</v>
      </c>
      <c r="M567" s="104"/>
      <c r="N567" s="104"/>
      <c r="O567" s="104"/>
      <c r="P567" s="104"/>
      <c r="Q567" s="104">
        <f t="shared" ref="Q567" si="1001">ROUND((F566+T566)*1/209*1.5,-1)</f>
        <v>0</v>
      </c>
      <c r="R567" s="104">
        <f>Q567*40</f>
        <v>0</v>
      </c>
      <c r="S567" s="104"/>
      <c r="T567" s="105"/>
      <c r="U567" s="100">
        <f t="shared" si="945"/>
        <v>0</v>
      </c>
      <c r="V567" s="130"/>
      <c r="W567" s="134">
        <f t="shared" si="994"/>
        <v>0</v>
      </c>
      <c r="X567" s="106"/>
      <c r="Y567" s="106">
        <f t="shared" si="947"/>
        <v>0</v>
      </c>
      <c r="Z567" s="106">
        <f t="shared" ref="Z567:Z577" si="1002">ROUNDUP(Y567*6.55%,-1)</f>
        <v>0</v>
      </c>
      <c r="AA567" s="106">
        <f t="shared" si="996"/>
        <v>0</v>
      </c>
      <c r="AB567" s="106">
        <f t="shared" si="997"/>
        <v>0</v>
      </c>
      <c r="AC567" s="107">
        <f t="shared" si="998"/>
        <v>0</v>
      </c>
    </row>
    <row r="568" spans="1:29" s="82" customFormat="1" ht="16.5" customHeight="1">
      <c r="A568" s="1267"/>
      <c r="B568" s="97"/>
      <c r="C568" s="171">
        <v>5</v>
      </c>
      <c r="D568" s="171"/>
      <c r="E568" s="172" t="s">
        <v>275</v>
      </c>
      <c r="F568" s="104"/>
      <c r="G568" s="104"/>
      <c r="H568" s="104"/>
      <c r="I568" s="105"/>
      <c r="J568" s="104">
        <f t="shared" si="999"/>
        <v>0</v>
      </c>
      <c r="K568" s="104">
        <f t="shared" ref="K568:K576" si="1003">J568*40</f>
        <v>0</v>
      </c>
      <c r="L568" s="104">
        <f t="shared" si="1000"/>
        <v>0</v>
      </c>
      <c r="M568" s="104"/>
      <c r="N568" s="104"/>
      <c r="O568" s="104"/>
      <c r="P568" s="104"/>
      <c r="Q568" s="104">
        <f t="shared" si="955"/>
        <v>0</v>
      </c>
      <c r="R568" s="104">
        <f t="shared" ref="R568:R576" si="1004">Q568*40</f>
        <v>0</v>
      </c>
      <c r="S568" s="104"/>
      <c r="T568" s="105"/>
      <c r="U568" s="100">
        <f t="shared" si="945"/>
        <v>0</v>
      </c>
      <c r="V568" s="130"/>
      <c r="W568" s="134">
        <f t="shared" si="946"/>
        <v>0</v>
      </c>
      <c r="X568" s="106"/>
      <c r="Y568" s="106">
        <f t="shared" si="947"/>
        <v>0</v>
      </c>
      <c r="Z568" s="106">
        <f t="shared" si="1002"/>
        <v>0</v>
      </c>
      <c r="AA568" s="106">
        <f t="shared" si="996"/>
        <v>0</v>
      </c>
      <c r="AB568" s="106">
        <f t="shared" si="997"/>
        <v>0</v>
      </c>
      <c r="AC568" s="107">
        <f t="shared" si="998"/>
        <v>0</v>
      </c>
    </row>
    <row r="569" spans="1:29" s="82" customFormat="1" ht="16.5" customHeight="1">
      <c r="A569" s="1267"/>
      <c r="B569" s="97"/>
      <c r="C569" s="98"/>
      <c r="D569" s="98"/>
      <c r="E569" s="102" t="s">
        <v>276</v>
      </c>
      <c r="F569" s="173"/>
      <c r="G569" s="104"/>
      <c r="H569" s="104"/>
      <c r="I569" s="105"/>
      <c r="J569" s="104">
        <f t="shared" si="999"/>
        <v>0</v>
      </c>
      <c r="K569" s="104">
        <f t="shared" si="1003"/>
        <v>0</v>
      </c>
      <c r="L569" s="104">
        <f t="shared" si="1000"/>
        <v>0</v>
      </c>
      <c r="M569" s="104"/>
      <c r="N569" s="104"/>
      <c r="O569" s="104"/>
      <c r="P569" s="104"/>
      <c r="Q569" s="104">
        <f t="shared" si="955"/>
        <v>0</v>
      </c>
      <c r="R569" s="104">
        <f t="shared" si="1004"/>
        <v>0</v>
      </c>
      <c r="S569" s="104"/>
      <c r="T569" s="105"/>
      <c r="U569" s="100">
        <f t="shared" si="945"/>
        <v>0</v>
      </c>
      <c r="V569" s="130"/>
      <c r="W569" s="134">
        <f t="shared" si="946"/>
        <v>0</v>
      </c>
      <c r="X569" s="106"/>
      <c r="Y569" s="106">
        <f t="shared" si="947"/>
        <v>0</v>
      </c>
      <c r="Z569" s="106">
        <f t="shared" si="1002"/>
        <v>0</v>
      </c>
      <c r="AA569" s="106">
        <f t="shared" si="996"/>
        <v>0</v>
      </c>
      <c r="AB569" s="106">
        <f t="shared" si="997"/>
        <v>0</v>
      </c>
      <c r="AC569" s="107">
        <f t="shared" si="998"/>
        <v>0</v>
      </c>
    </row>
    <row r="570" spans="1:29" s="82" customFormat="1" ht="16.5" customHeight="1">
      <c r="A570" s="1267"/>
      <c r="B570" s="97"/>
      <c r="C570" s="98"/>
      <c r="D570" s="98"/>
      <c r="E570" s="102" t="s">
        <v>277</v>
      </c>
      <c r="F570" s="104"/>
      <c r="G570" s="104"/>
      <c r="H570" s="104"/>
      <c r="I570" s="105"/>
      <c r="J570" s="104">
        <f t="shared" si="999"/>
        <v>0</v>
      </c>
      <c r="K570" s="104">
        <f t="shared" si="1003"/>
        <v>0</v>
      </c>
      <c r="L570" s="104">
        <f t="shared" si="1000"/>
        <v>0</v>
      </c>
      <c r="M570" s="104"/>
      <c r="N570" s="104"/>
      <c r="O570" s="104"/>
      <c r="P570" s="104"/>
      <c r="Q570" s="104">
        <f t="shared" si="955"/>
        <v>0</v>
      </c>
      <c r="R570" s="104">
        <f t="shared" si="1004"/>
        <v>0</v>
      </c>
      <c r="S570" s="104"/>
      <c r="T570" s="105"/>
      <c r="U570" s="100">
        <f t="shared" si="945"/>
        <v>0</v>
      </c>
      <c r="V570" s="130"/>
      <c r="W570" s="134">
        <f t="shared" si="946"/>
        <v>0</v>
      </c>
      <c r="X570" s="106"/>
      <c r="Y570" s="106">
        <f t="shared" si="947"/>
        <v>0</v>
      </c>
      <c r="Z570" s="106">
        <f t="shared" si="1002"/>
        <v>0</v>
      </c>
      <c r="AA570" s="106">
        <f t="shared" si="996"/>
        <v>0</v>
      </c>
      <c r="AB570" s="106">
        <f t="shared" si="997"/>
        <v>0</v>
      </c>
      <c r="AC570" s="107">
        <f t="shared" si="998"/>
        <v>0</v>
      </c>
    </row>
    <row r="571" spans="1:29" s="82" customFormat="1" ht="16.5" customHeight="1">
      <c r="A571" s="1267"/>
      <c r="B571" s="97"/>
      <c r="C571" s="98"/>
      <c r="D571" s="98"/>
      <c r="E571" s="102" t="s">
        <v>278</v>
      </c>
      <c r="F571" s="104"/>
      <c r="G571" s="104"/>
      <c r="H571" s="104"/>
      <c r="I571" s="105"/>
      <c r="J571" s="104">
        <f t="shared" si="999"/>
        <v>0</v>
      </c>
      <c r="K571" s="104">
        <f t="shared" si="1003"/>
        <v>0</v>
      </c>
      <c r="L571" s="104">
        <f t="shared" si="1000"/>
        <v>0</v>
      </c>
      <c r="M571" s="104"/>
      <c r="N571" s="104"/>
      <c r="O571" s="104"/>
      <c r="P571" s="104"/>
      <c r="Q571" s="104">
        <f t="shared" si="955"/>
        <v>0</v>
      </c>
      <c r="R571" s="104">
        <f t="shared" si="1004"/>
        <v>0</v>
      </c>
      <c r="S571" s="104"/>
      <c r="T571" s="105"/>
      <c r="U571" s="100">
        <f t="shared" si="945"/>
        <v>0</v>
      </c>
      <c r="V571" s="130"/>
      <c r="W571" s="134">
        <f t="shared" si="946"/>
        <v>0</v>
      </c>
      <c r="X571" s="106"/>
      <c r="Y571" s="106">
        <f t="shared" si="947"/>
        <v>0</v>
      </c>
      <c r="Z571" s="106">
        <f t="shared" si="1002"/>
        <v>0</v>
      </c>
      <c r="AA571" s="106">
        <f t="shared" si="996"/>
        <v>0</v>
      </c>
      <c r="AB571" s="106">
        <f t="shared" si="997"/>
        <v>0</v>
      </c>
      <c r="AC571" s="107">
        <f t="shared" si="998"/>
        <v>0</v>
      </c>
    </row>
    <row r="572" spans="1:29" s="82" customFormat="1" ht="17.25" customHeight="1">
      <c r="A572" s="1267"/>
      <c r="B572" s="97"/>
      <c r="C572" s="98"/>
      <c r="D572" s="98"/>
      <c r="E572" s="102" t="s">
        <v>279</v>
      </c>
      <c r="F572" s="104"/>
      <c r="G572" s="104"/>
      <c r="H572" s="104"/>
      <c r="I572" s="105"/>
      <c r="J572" s="104">
        <f t="shared" si="999"/>
        <v>0</v>
      </c>
      <c r="K572" s="104">
        <f t="shared" si="1003"/>
        <v>0</v>
      </c>
      <c r="L572" s="104">
        <f t="shared" si="1000"/>
        <v>0</v>
      </c>
      <c r="M572" s="104"/>
      <c r="N572" s="104"/>
      <c r="O572" s="104"/>
      <c r="P572" s="104"/>
      <c r="Q572" s="104">
        <f t="shared" si="955"/>
        <v>0</v>
      </c>
      <c r="R572" s="104">
        <f t="shared" si="1004"/>
        <v>0</v>
      </c>
      <c r="S572" s="104"/>
      <c r="T572" s="105"/>
      <c r="U572" s="100">
        <f t="shared" si="945"/>
        <v>0</v>
      </c>
      <c r="V572" s="130"/>
      <c r="W572" s="134">
        <f t="shared" si="946"/>
        <v>0</v>
      </c>
      <c r="X572" s="106"/>
      <c r="Y572" s="106">
        <f t="shared" si="947"/>
        <v>0</v>
      </c>
      <c r="Z572" s="106">
        <f t="shared" si="1002"/>
        <v>0</v>
      </c>
      <c r="AA572" s="106">
        <f t="shared" si="996"/>
        <v>0</v>
      </c>
      <c r="AB572" s="106">
        <f t="shared" si="997"/>
        <v>0</v>
      </c>
      <c r="AC572" s="107">
        <f t="shared" si="998"/>
        <v>0</v>
      </c>
    </row>
    <row r="573" spans="1:29" s="82" customFormat="1" ht="17.25" customHeight="1">
      <c r="A573" s="1267"/>
      <c r="B573" s="97"/>
      <c r="C573" s="98"/>
      <c r="D573" s="98"/>
      <c r="E573" s="102" t="s">
        <v>280</v>
      </c>
      <c r="F573" s="104"/>
      <c r="G573" s="104"/>
      <c r="H573" s="104"/>
      <c r="I573" s="105"/>
      <c r="J573" s="104">
        <f t="shared" si="999"/>
        <v>0</v>
      </c>
      <c r="K573" s="104">
        <f t="shared" si="1003"/>
        <v>0</v>
      </c>
      <c r="L573" s="104">
        <f t="shared" si="1000"/>
        <v>0</v>
      </c>
      <c r="M573" s="104"/>
      <c r="N573" s="104"/>
      <c r="O573" s="104"/>
      <c r="P573" s="104"/>
      <c r="Q573" s="104">
        <f t="shared" si="955"/>
        <v>0</v>
      </c>
      <c r="R573" s="104">
        <f t="shared" si="1004"/>
        <v>0</v>
      </c>
      <c r="S573" s="104"/>
      <c r="T573" s="105"/>
      <c r="U573" s="100">
        <f t="shared" si="945"/>
        <v>0</v>
      </c>
      <c r="V573" s="130"/>
      <c r="W573" s="134">
        <f t="shared" si="946"/>
        <v>0</v>
      </c>
      <c r="X573" s="106"/>
      <c r="Y573" s="106">
        <f t="shared" si="947"/>
        <v>0</v>
      </c>
      <c r="Z573" s="106">
        <f t="shared" si="1002"/>
        <v>0</v>
      </c>
      <c r="AA573" s="106">
        <f t="shared" si="996"/>
        <v>0</v>
      </c>
      <c r="AB573" s="106">
        <f t="shared" si="997"/>
        <v>0</v>
      </c>
      <c r="AC573" s="107">
        <f t="shared" si="998"/>
        <v>0</v>
      </c>
    </row>
    <row r="574" spans="1:29" s="82" customFormat="1" ht="17.25" customHeight="1">
      <c r="A574" s="1267"/>
      <c r="B574" s="97"/>
      <c r="C574" s="98"/>
      <c r="D574" s="98"/>
      <c r="E574" s="102" t="s">
        <v>54</v>
      </c>
      <c r="F574" s="104"/>
      <c r="G574" s="104"/>
      <c r="H574" s="104"/>
      <c r="I574" s="105"/>
      <c r="J574" s="104">
        <f t="shared" si="999"/>
        <v>0</v>
      </c>
      <c r="K574" s="104">
        <f t="shared" si="1003"/>
        <v>0</v>
      </c>
      <c r="L574" s="104">
        <f t="shared" si="1000"/>
        <v>0</v>
      </c>
      <c r="M574" s="104">
        <f t="shared" ref="M574" si="1005">F574*60%</f>
        <v>0</v>
      </c>
      <c r="N574" s="104"/>
      <c r="O574" s="104"/>
      <c r="P574" s="104"/>
      <c r="Q574" s="104">
        <f t="shared" si="955"/>
        <v>0</v>
      </c>
      <c r="R574" s="104">
        <f t="shared" si="1004"/>
        <v>0</v>
      </c>
      <c r="S574" s="104"/>
      <c r="T574" s="105"/>
      <c r="U574" s="100">
        <f t="shared" si="945"/>
        <v>0</v>
      </c>
      <c r="V574" s="130"/>
      <c r="W574" s="134">
        <f t="shared" si="946"/>
        <v>0</v>
      </c>
      <c r="X574" s="106"/>
      <c r="Y574" s="106">
        <f t="shared" si="947"/>
        <v>0</v>
      </c>
      <c r="Z574" s="106">
        <f t="shared" si="1002"/>
        <v>0</v>
      </c>
      <c r="AA574" s="106">
        <f t="shared" si="996"/>
        <v>0</v>
      </c>
      <c r="AB574" s="106">
        <f t="shared" si="997"/>
        <v>0</v>
      </c>
      <c r="AC574" s="107">
        <f t="shared" si="998"/>
        <v>0</v>
      </c>
    </row>
    <row r="575" spans="1:29" s="82" customFormat="1" ht="17.25" customHeight="1">
      <c r="A575" s="1267"/>
      <c r="B575" s="97"/>
      <c r="C575" s="98"/>
      <c r="D575" s="98"/>
      <c r="E575" s="102" t="s">
        <v>55</v>
      </c>
      <c r="F575" s="104"/>
      <c r="G575" s="104"/>
      <c r="H575" s="104"/>
      <c r="I575" s="105"/>
      <c r="J575" s="104">
        <f t="shared" si="999"/>
        <v>0</v>
      </c>
      <c r="K575" s="104">
        <f t="shared" si="1003"/>
        <v>0</v>
      </c>
      <c r="L575" s="104">
        <f t="shared" si="1000"/>
        <v>0</v>
      </c>
      <c r="M575" s="104"/>
      <c r="N575" s="104"/>
      <c r="O575" s="104"/>
      <c r="P575" s="104"/>
      <c r="Q575" s="104">
        <f t="shared" si="955"/>
        <v>0</v>
      </c>
      <c r="R575" s="104">
        <f t="shared" si="1004"/>
        <v>0</v>
      </c>
      <c r="S575" s="104"/>
      <c r="T575" s="105"/>
      <c r="U575" s="100">
        <f t="shared" si="945"/>
        <v>0</v>
      </c>
      <c r="V575" s="130"/>
      <c r="W575" s="134">
        <f t="shared" si="946"/>
        <v>0</v>
      </c>
      <c r="X575" s="106"/>
      <c r="Y575" s="106">
        <f t="shared" si="947"/>
        <v>0</v>
      </c>
      <c r="Z575" s="106">
        <f t="shared" si="1002"/>
        <v>0</v>
      </c>
      <c r="AA575" s="106">
        <f t="shared" si="996"/>
        <v>0</v>
      </c>
      <c r="AB575" s="106">
        <f t="shared" si="997"/>
        <v>0</v>
      </c>
      <c r="AC575" s="107">
        <f t="shared" si="998"/>
        <v>0</v>
      </c>
    </row>
    <row r="576" spans="1:29" s="82" customFormat="1" ht="17.25" customHeight="1">
      <c r="A576" s="1267"/>
      <c r="B576" s="97"/>
      <c r="C576" s="98"/>
      <c r="D576" s="98"/>
      <c r="E576" s="102" t="s">
        <v>56</v>
      </c>
      <c r="F576" s="104"/>
      <c r="G576" s="104"/>
      <c r="H576" s="104"/>
      <c r="I576" s="105"/>
      <c r="J576" s="104">
        <f t="shared" si="999"/>
        <v>0</v>
      </c>
      <c r="K576" s="104">
        <f t="shared" si="1003"/>
        <v>0</v>
      </c>
      <c r="L576" s="104">
        <f t="shared" si="1000"/>
        <v>0</v>
      </c>
      <c r="M576" s="104"/>
      <c r="N576" s="104"/>
      <c r="O576" s="104"/>
      <c r="P576" s="104"/>
      <c r="Q576" s="104">
        <f t="shared" si="955"/>
        <v>0</v>
      </c>
      <c r="R576" s="104">
        <f t="shared" si="1004"/>
        <v>0</v>
      </c>
      <c r="S576" s="104"/>
      <c r="T576" s="105"/>
      <c r="U576" s="100">
        <f t="shared" si="945"/>
        <v>0</v>
      </c>
      <c r="V576" s="130"/>
      <c r="W576" s="134">
        <f t="shared" si="946"/>
        <v>0</v>
      </c>
      <c r="X576" s="106"/>
      <c r="Y576" s="106">
        <f t="shared" si="947"/>
        <v>0</v>
      </c>
      <c r="Z576" s="106">
        <f t="shared" si="1002"/>
        <v>0</v>
      </c>
      <c r="AA576" s="106">
        <f t="shared" si="996"/>
        <v>0</v>
      </c>
      <c r="AB576" s="106">
        <f t="shared" si="997"/>
        <v>0</v>
      </c>
      <c r="AC576" s="107">
        <f t="shared" si="998"/>
        <v>0</v>
      </c>
    </row>
    <row r="577" spans="1:29" s="82" customFormat="1" ht="17.25" customHeight="1">
      <c r="A577" s="1267"/>
      <c r="B577" s="97"/>
      <c r="C577" s="98"/>
      <c r="D577" s="98"/>
      <c r="E577" s="102" t="s">
        <v>281</v>
      </c>
      <c r="F577" s="104"/>
      <c r="G577" s="104"/>
      <c r="H577" s="104"/>
      <c r="I577" s="105"/>
      <c r="J577" s="104">
        <f t="shared" si="999"/>
        <v>0</v>
      </c>
      <c r="K577" s="104">
        <f>J577*40*2</f>
        <v>0</v>
      </c>
      <c r="L577" s="104">
        <f t="shared" si="1000"/>
        <v>0</v>
      </c>
      <c r="M577" s="104"/>
      <c r="N577" s="104"/>
      <c r="O577" s="104"/>
      <c r="P577" s="104"/>
      <c r="Q577" s="104">
        <f t="shared" si="955"/>
        <v>0</v>
      </c>
      <c r="R577" s="104">
        <f>Q577*40*2</f>
        <v>0</v>
      </c>
      <c r="S577" s="104"/>
      <c r="T577" s="105"/>
      <c r="U577" s="100">
        <f t="shared" si="945"/>
        <v>0</v>
      </c>
      <c r="V577" s="130"/>
      <c r="W577" s="134">
        <f t="shared" si="946"/>
        <v>0</v>
      </c>
      <c r="X577" s="106"/>
      <c r="Y577" s="106">
        <f t="shared" si="947"/>
        <v>0</v>
      </c>
      <c r="Z577" s="106">
        <f t="shared" si="1002"/>
        <v>0</v>
      </c>
      <c r="AA577" s="106">
        <f t="shared" si="996"/>
        <v>0</v>
      </c>
      <c r="AB577" s="106">
        <f t="shared" si="997"/>
        <v>0</v>
      </c>
      <c r="AC577" s="107">
        <f t="shared" si="998"/>
        <v>0</v>
      </c>
    </row>
    <row r="578" spans="1:29" s="82" customFormat="1" ht="15.75" customHeight="1">
      <c r="A578" s="1273">
        <v>45</v>
      </c>
      <c r="B578" s="97" t="s">
        <v>447</v>
      </c>
      <c r="C578" s="98" t="s">
        <v>832</v>
      </c>
      <c r="D578" s="98">
        <v>1</v>
      </c>
      <c r="E578" s="99" t="s">
        <v>86</v>
      </c>
      <c r="F578" s="100">
        <f t="shared" ref="F578" si="1006">SUM(F579:F590)</f>
        <v>0</v>
      </c>
      <c r="G578" s="100">
        <f t="shared" ref="G578:N578" si="1007">SUM(G579:G590)</f>
        <v>0</v>
      </c>
      <c r="H578" s="100">
        <f t="shared" si="1007"/>
        <v>0</v>
      </c>
      <c r="I578" s="100">
        <f t="shared" ref="I578" si="1008">SUM(I579:I590)</f>
        <v>0</v>
      </c>
      <c r="J578" s="100">
        <f t="shared" si="1007"/>
        <v>0</v>
      </c>
      <c r="K578" s="100">
        <f t="shared" si="1007"/>
        <v>0</v>
      </c>
      <c r="L578" s="100">
        <f t="shared" si="1007"/>
        <v>0</v>
      </c>
      <c r="M578" s="100">
        <f t="shared" si="1007"/>
        <v>0</v>
      </c>
      <c r="N578" s="100">
        <f t="shared" si="1007"/>
        <v>0</v>
      </c>
      <c r="O578" s="100">
        <f t="shared" ref="O578" si="1009">SUM(O579:O590)</f>
        <v>0</v>
      </c>
      <c r="P578" s="100"/>
      <c r="Q578" s="100"/>
      <c r="R578" s="100">
        <f t="shared" ref="R578" si="1010">SUM(R579:R590)</f>
        <v>0</v>
      </c>
      <c r="S578" s="100">
        <f>SUM(S579:S590)</f>
        <v>0</v>
      </c>
      <c r="T578" s="100"/>
      <c r="U578" s="100">
        <f t="shared" ref="U578" si="1011">SUM(U579:U590)</f>
        <v>0</v>
      </c>
      <c r="V578" s="130"/>
      <c r="W578" s="143">
        <f t="shared" ref="W578" si="1012">SUM(W579:W590)</f>
        <v>0</v>
      </c>
      <c r="X578" s="100">
        <f t="shared" ref="X578" si="1013">SUM(X579:X590)</f>
        <v>0</v>
      </c>
      <c r="Y578" s="100">
        <f t="shared" ref="Y578:AB578" si="1014">SUM(Y579:Y590)</f>
        <v>0</v>
      </c>
      <c r="Z578" s="100">
        <f t="shared" si="1014"/>
        <v>0</v>
      </c>
      <c r="AA578" s="100">
        <f t="shared" si="1014"/>
        <v>0</v>
      </c>
      <c r="AB578" s="100">
        <f t="shared" si="1014"/>
        <v>0</v>
      </c>
      <c r="AC578" s="101">
        <f>SUM(AC579:AC590)</f>
        <v>0</v>
      </c>
    </row>
    <row r="579" spans="1:29" s="82" customFormat="1" ht="15.75" customHeight="1">
      <c r="A579" s="1274"/>
      <c r="B579" s="97" t="s">
        <v>833</v>
      </c>
      <c r="C579" s="171">
        <v>2</v>
      </c>
      <c r="D579" s="171"/>
      <c r="E579" s="172" t="s">
        <v>538</v>
      </c>
      <c r="F579" s="173"/>
      <c r="G579" s="104"/>
      <c r="H579" s="103"/>
      <c r="I579" s="105"/>
      <c r="J579" s="104"/>
      <c r="K579" s="104"/>
      <c r="L579" s="104"/>
      <c r="M579" s="104">
        <f t="shared" ref="M579" si="1015">F579*60%</f>
        <v>0</v>
      </c>
      <c r="N579" s="104"/>
      <c r="O579" s="104"/>
      <c r="P579" s="104"/>
      <c r="Q579" s="104"/>
      <c r="R579" s="104"/>
      <c r="S579" s="104"/>
      <c r="T579" s="105"/>
      <c r="U579" s="100">
        <f t="shared" ref="U579" si="1016">SUM(I579,L579)</f>
        <v>0</v>
      </c>
      <c r="V579" s="130"/>
      <c r="W579" s="134">
        <f t="shared" ref="W579:W580" si="1017">ROUNDUP(U579*1/12,-1)</f>
        <v>0</v>
      </c>
      <c r="X579" s="106"/>
      <c r="Y579" s="106">
        <f t="shared" ref="Y579" si="1018">ROUNDUP((U579-L579)*3.06%,-1)</f>
        <v>0</v>
      </c>
      <c r="Z579" s="106">
        <f>ROUNDUP(Y579*6.55%,-1)</f>
        <v>0</v>
      </c>
      <c r="AA579" s="106">
        <f t="shared" ref="AA579:AA590" si="1019">ROUND(U579*0.9%,-1)</f>
        <v>0</v>
      </c>
      <c r="AB579" s="106">
        <f t="shared" ref="AB579:AB590" si="1020">ROUND(U579*0.8%,-1)</f>
        <v>0</v>
      </c>
      <c r="AC579" s="107">
        <f t="shared" ref="AC579:AC590" si="1021">SUM(W579:AB579)</f>
        <v>0</v>
      </c>
    </row>
    <row r="580" spans="1:29" s="82" customFormat="1" ht="15.75" customHeight="1">
      <c r="A580" s="1274"/>
      <c r="B580" s="97"/>
      <c r="C580" s="98"/>
      <c r="D580" s="98"/>
      <c r="E580" s="102" t="s">
        <v>274</v>
      </c>
      <c r="F580" s="104"/>
      <c r="G580" s="104"/>
      <c r="H580" s="104"/>
      <c r="I580" s="105"/>
      <c r="J580" s="104">
        <f t="shared" ref="J580:J590" si="1022">ROUND((F579+I579+T579)*1/209*1.5,-1)</f>
        <v>0</v>
      </c>
      <c r="K580" s="104">
        <f>J580*40</f>
        <v>0</v>
      </c>
      <c r="L580" s="104">
        <f t="shared" ref="L580:L590" si="1023">K580-R580</f>
        <v>0</v>
      </c>
      <c r="M580" s="104"/>
      <c r="N580" s="104"/>
      <c r="O580" s="104"/>
      <c r="P580" s="104"/>
      <c r="Q580" s="104">
        <f t="shared" ref="Q580" si="1024">ROUND((F579+T579)*1/209*1.5,-1)</f>
        <v>0</v>
      </c>
      <c r="R580" s="104">
        <f>Q580*40</f>
        <v>0</v>
      </c>
      <c r="S580" s="104"/>
      <c r="T580" s="105"/>
      <c r="U580" s="100">
        <f t="shared" si="945"/>
        <v>0</v>
      </c>
      <c r="V580" s="130"/>
      <c r="W580" s="134">
        <f t="shared" si="1017"/>
        <v>0</v>
      </c>
      <c r="X580" s="106"/>
      <c r="Y580" s="106">
        <f t="shared" si="947"/>
        <v>0</v>
      </c>
      <c r="Z580" s="106">
        <f t="shared" ref="Z580:Z590" si="1025">ROUNDUP(Y580*6.55%,-1)</f>
        <v>0</v>
      </c>
      <c r="AA580" s="106">
        <f t="shared" si="1019"/>
        <v>0</v>
      </c>
      <c r="AB580" s="106">
        <f t="shared" si="1020"/>
        <v>0</v>
      </c>
      <c r="AC580" s="107">
        <f t="shared" si="1021"/>
        <v>0</v>
      </c>
    </row>
    <row r="581" spans="1:29" s="82" customFormat="1" ht="15.75" customHeight="1">
      <c r="A581" s="1274"/>
      <c r="B581" s="97"/>
      <c r="C581" s="98"/>
      <c r="D581" s="98"/>
      <c r="E581" s="102" t="s">
        <v>834</v>
      </c>
      <c r="F581" s="104"/>
      <c r="G581" s="104"/>
      <c r="H581" s="104"/>
      <c r="I581" s="105"/>
      <c r="J581" s="104">
        <f t="shared" si="1022"/>
        <v>0</v>
      </c>
      <c r="K581" s="104">
        <f t="shared" ref="K581:K589" si="1026">J581*40</f>
        <v>0</v>
      </c>
      <c r="L581" s="104">
        <f t="shared" si="1023"/>
        <v>0</v>
      </c>
      <c r="M581" s="104"/>
      <c r="N581" s="104"/>
      <c r="O581" s="104"/>
      <c r="P581" s="104"/>
      <c r="Q581" s="104">
        <f t="shared" si="955"/>
        <v>0</v>
      </c>
      <c r="R581" s="104">
        <f t="shared" ref="R581:R589" si="1027">Q581*40</f>
        <v>0</v>
      </c>
      <c r="S581" s="104"/>
      <c r="T581" s="105"/>
      <c r="U581" s="100">
        <f t="shared" si="945"/>
        <v>0</v>
      </c>
      <c r="V581" s="130"/>
      <c r="W581" s="134">
        <f t="shared" si="946"/>
        <v>0</v>
      </c>
      <c r="X581" s="106"/>
      <c r="Y581" s="106">
        <f t="shared" si="947"/>
        <v>0</v>
      </c>
      <c r="Z581" s="106">
        <f t="shared" si="1025"/>
        <v>0</v>
      </c>
      <c r="AA581" s="106">
        <f t="shared" si="1019"/>
        <v>0</v>
      </c>
      <c r="AB581" s="106">
        <f t="shared" si="1020"/>
        <v>0</v>
      </c>
      <c r="AC581" s="107">
        <f t="shared" si="1021"/>
        <v>0</v>
      </c>
    </row>
    <row r="582" spans="1:29" s="82" customFormat="1" ht="15.75" customHeight="1">
      <c r="A582" s="1274"/>
      <c r="B582" s="97"/>
      <c r="C582" s="98"/>
      <c r="D582" s="98"/>
      <c r="E582" s="102" t="s">
        <v>276</v>
      </c>
      <c r="F582" s="173"/>
      <c r="G582" s="104"/>
      <c r="H582" s="104"/>
      <c r="I582" s="105"/>
      <c r="J582" s="104">
        <f t="shared" si="1022"/>
        <v>0</v>
      </c>
      <c r="K582" s="104">
        <f t="shared" si="1026"/>
        <v>0</v>
      </c>
      <c r="L582" s="104">
        <f t="shared" si="1023"/>
        <v>0</v>
      </c>
      <c r="M582" s="104"/>
      <c r="N582" s="104"/>
      <c r="O582" s="104"/>
      <c r="P582" s="104"/>
      <c r="Q582" s="104">
        <f t="shared" si="955"/>
        <v>0</v>
      </c>
      <c r="R582" s="104">
        <f t="shared" si="1027"/>
        <v>0</v>
      </c>
      <c r="S582" s="104"/>
      <c r="T582" s="105"/>
      <c r="U582" s="100">
        <f t="shared" si="945"/>
        <v>0</v>
      </c>
      <c r="V582" s="130"/>
      <c r="W582" s="134">
        <f t="shared" si="946"/>
        <v>0</v>
      </c>
      <c r="X582" s="106"/>
      <c r="Y582" s="106">
        <f t="shared" si="947"/>
        <v>0</v>
      </c>
      <c r="Z582" s="106">
        <f t="shared" si="1025"/>
        <v>0</v>
      </c>
      <c r="AA582" s="106">
        <f t="shared" si="1019"/>
        <v>0</v>
      </c>
      <c r="AB582" s="106">
        <f t="shared" si="1020"/>
        <v>0</v>
      </c>
      <c r="AC582" s="107">
        <f t="shared" si="1021"/>
        <v>0</v>
      </c>
    </row>
    <row r="583" spans="1:29" s="82" customFormat="1" ht="15.75" customHeight="1">
      <c r="A583" s="1274"/>
      <c r="B583" s="97"/>
      <c r="C583" s="98"/>
      <c r="D583" s="98"/>
      <c r="E583" s="102" t="s">
        <v>277</v>
      </c>
      <c r="F583" s="104"/>
      <c r="G583" s="104"/>
      <c r="H583" s="104"/>
      <c r="I583" s="105"/>
      <c r="J583" s="104">
        <f t="shared" si="1022"/>
        <v>0</v>
      </c>
      <c r="K583" s="104">
        <f t="shared" si="1026"/>
        <v>0</v>
      </c>
      <c r="L583" s="104">
        <f t="shared" si="1023"/>
        <v>0</v>
      </c>
      <c r="M583" s="104"/>
      <c r="N583" s="104"/>
      <c r="O583" s="104"/>
      <c r="P583" s="104"/>
      <c r="Q583" s="104">
        <f t="shared" si="955"/>
        <v>0</v>
      </c>
      <c r="R583" s="104">
        <f t="shared" si="1027"/>
        <v>0</v>
      </c>
      <c r="S583" s="104"/>
      <c r="T583" s="105"/>
      <c r="U583" s="100">
        <f t="shared" si="945"/>
        <v>0</v>
      </c>
      <c r="V583" s="130"/>
      <c r="W583" s="134">
        <f t="shared" si="946"/>
        <v>0</v>
      </c>
      <c r="X583" s="106"/>
      <c r="Y583" s="106">
        <f t="shared" si="947"/>
        <v>0</v>
      </c>
      <c r="Z583" s="106">
        <f t="shared" si="1025"/>
        <v>0</v>
      </c>
      <c r="AA583" s="106">
        <f t="shared" si="1019"/>
        <v>0</v>
      </c>
      <c r="AB583" s="106">
        <f t="shared" si="1020"/>
        <v>0</v>
      </c>
      <c r="AC583" s="107">
        <f t="shared" si="1021"/>
        <v>0</v>
      </c>
    </row>
    <row r="584" spans="1:29" s="82" customFormat="1" ht="15.75" customHeight="1">
      <c r="A584" s="1274"/>
      <c r="B584" s="97"/>
      <c r="C584" s="98"/>
      <c r="D584" s="98"/>
      <c r="E584" s="102" t="s">
        <v>835</v>
      </c>
      <c r="F584" s="104"/>
      <c r="G584" s="104"/>
      <c r="H584" s="104"/>
      <c r="I584" s="105"/>
      <c r="J584" s="104">
        <f t="shared" si="1022"/>
        <v>0</v>
      </c>
      <c r="K584" s="104">
        <f t="shared" si="1026"/>
        <v>0</v>
      </c>
      <c r="L584" s="104">
        <f t="shared" si="1023"/>
        <v>0</v>
      </c>
      <c r="M584" s="104"/>
      <c r="N584" s="104"/>
      <c r="O584" s="104"/>
      <c r="P584" s="104"/>
      <c r="Q584" s="104">
        <f t="shared" si="955"/>
        <v>0</v>
      </c>
      <c r="R584" s="104">
        <f t="shared" si="1027"/>
        <v>0</v>
      </c>
      <c r="S584" s="104"/>
      <c r="T584" s="105"/>
      <c r="U584" s="100">
        <f t="shared" si="945"/>
        <v>0</v>
      </c>
      <c r="V584" s="130"/>
      <c r="W584" s="134">
        <f t="shared" si="946"/>
        <v>0</v>
      </c>
      <c r="X584" s="106"/>
      <c r="Y584" s="106">
        <f t="shared" si="947"/>
        <v>0</v>
      </c>
      <c r="Z584" s="106">
        <f t="shared" si="1025"/>
        <v>0</v>
      </c>
      <c r="AA584" s="106">
        <f t="shared" si="1019"/>
        <v>0</v>
      </c>
      <c r="AB584" s="106">
        <f t="shared" si="1020"/>
        <v>0</v>
      </c>
      <c r="AC584" s="107">
        <f t="shared" si="1021"/>
        <v>0</v>
      </c>
    </row>
    <row r="585" spans="1:29" s="82" customFormat="1" ht="15.75" customHeight="1">
      <c r="A585" s="1274"/>
      <c r="B585" s="97"/>
      <c r="C585" s="98"/>
      <c r="D585" s="98"/>
      <c r="E585" s="102" t="s">
        <v>279</v>
      </c>
      <c r="F585" s="104"/>
      <c r="G585" s="104"/>
      <c r="H585" s="104"/>
      <c r="I585" s="105"/>
      <c r="J585" s="104">
        <f t="shared" si="1022"/>
        <v>0</v>
      </c>
      <c r="K585" s="104">
        <f t="shared" si="1026"/>
        <v>0</v>
      </c>
      <c r="L585" s="104">
        <f t="shared" si="1023"/>
        <v>0</v>
      </c>
      <c r="M585" s="104"/>
      <c r="N585" s="104"/>
      <c r="O585" s="104"/>
      <c r="P585" s="104"/>
      <c r="Q585" s="104">
        <f t="shared" si="955"/>
        <v>0</v>
      </c>
      <c r="R585" s="104">
        <f t="shared" si="1027"/>
        <v>0</v>
      </c>
      <c r="S585" s="104"/>
      <c r="T585" s="105"/>
      <c r="U585" s="100">
        <f t="shared" si="945"/>
        <v>0</v>
      </c>
      <c r="V585" s="130"/>
      <c r="W585" s="134">
        <f t="shared" si="946"/>
        <v>0</v>
      </c>
      <c r="X585" s="106"/>
      <c r="Y585" s="106">
        <f t="shared" si="947"/>
        <v>0</v>
      </c>
      <c r="Z585" s="106">
        <f t="shared" si="1025"/>
        <v>0</v>
      </c>
      <c r="AA585" s="106">
        <f t="shared" si="1019"/>
        <v>0</v>
      </c>
      <c r="AB585" s="106">
        <f t="shared" si="1020"/>
        <v>0</v>
      </c>
      <c r="AC585" s="107">
        <f t="shared" si="1021"/>
        <v>0</v>
      </c>
    </row>
    <row r="586" spans="1:29" s="82" customFormat="1" ht="15.75" customHeight="1">
      <c r="A586" s="1274"/>
      <c r="B586" s="97"/>
      <c r="C586" s="98">
        <v>3</v>
      </c>
      <c r="D586" s="98"/>
      <c r="E586" s="102" t="s">
        <v>280</v>
      </c>
      <c r="F586" s="104"/>
      <c r="G586" s="104"/>
      <c r="H586" s="104"/>
      <c r="I586" s="105"/>
      <c r="J586" s="104">
        <f t="shared" si="1022"/>
        <v>0</v>
      </c>
      <c r="K586" s="104">
        <f t="shared" si="1026"/>
        <v>0</v>
      </c>
      <c r="L586" s="104">
        <f t="shared" si="1023"/>
        <v>0</v>
      </c>
      <c r="M586" s="104"/>
      <c r="N586" s="104"/>
      <c r="O586" s="104"/>
      <c r="P586" s="104"/>
      <c r="Q586" s="104">
        <f t="shared" si="955"/>
        <v>0</v>
      </c>
      <c r="R586" s="104">
        <f t="shared" si="1027"/>
        <v>0</v>
      </c>
      <c r="S586" s="104"/>
      <c r="T586" s="105"/>
      <c r="U586" s="100">
        <f t="shared" si="945"/>
        <v>0</v>
      </c>
      <c r="V586" s="130"/>
      <c r="W586" s="134">
        <f t="shared" si="946"/>
        <v>0</v>
      </c>
      <c r="X586" s="106"/>
      <c r="Y586" s="106">
        <f t="shared" si="947"/>
        <v>0</v>
      </c>
      <c r="Z586" s="106">
        <f t="shared" si="1025"/>
        <v>0</v>
      </c>
      <c r="AA586" s="106">
        <f t="shared" si="1019"/>
        <v>0</v>
      </c>
      <c r="AB586" s="106">
        <f t="shared" si="1020"/>
        <v>0</v>
      </c>
      <c r="AC586" s="107">
        <f t="shared" si="1021"/>
        <v>0</v>
      </c>
    </row>
    <row r="587" spans="1:29" s="82" customFormat="1" ht="17.25" customHeight="1">
      <c r="A587" s="1274"/>
      <c r="B587" s="97"/>
      <c r="C587" s="171">
        <v>3</v>
      </c>
      <c r="D587" s="98"/>
      <c r="E587" s="172" t="s">
        <v>54</v>
      </c>
      <c r="F587" s="104"/>
      <c r="G587" s="104"/>
      <c r="H587" s="104"/>
      <c r="I587" s="105"/>
      <c r="J587" s="104">
        <f t="shared" si="1022"/>
        <v>0</v>
      </c>
      <c r="K587" s="104">
        <f t="shared" si="1026"/>
        <v>0</v>
      </c>
      <c r="L587" s="104">
        <f t="shared" si="1023"/>
        <v>0</v>
      </c>
      <c r="M587" s="104">
        <f t="shared" ref="M587" si="1028">F587*60%</f>
        <v>0</v>
      </c>
      <c r="N587" s="104"/>
      <c r="O587" s="104"/>
      <c r="P587" s="104"/>
      <c r="Q587" s="104">
        <f t="shared" si="955"/>
        <v>0</v>
      </c>
      <c r="R587" s="104">
        <f t="shared" si="1027"/>
        <v>0</v>
      </c>
      <c r="S587" s="104"/>
      <c r="T587" s="105"/>
      <c r="U587" s="100">
        <f t="shared" si="945"/>
        <v>0</v>
      </c>
      <c r="V587" s="130"/>
      <c r="W587" s="134">
        <f t="shared" si="946"/>
        <v>0</v>
      </c>
      <c r="X587" s="106"/>
      <c r="Y587" s="106">
        <f t="shared" si="947"/>
        <v>0</v>
      </c>
      <c r="Z587" s="106">
        <f t="shared" si="1025"/>
        <v>0</v>
      </c>
      <c r="AA587" s="106">
        <f t="shared" si="1019"/>
        <v>0</v>
      </c>
      <c r="AB587" s="106">
        <f t="shared" si="1020"/>
        <v>0</v>
      </c>
      <c r="AC587" s="107">
        <f t="shared" si="1021"/>
        <v>0</v>
      </c>
    </row>
    <row r="588" spans="1:29" s="82" customFormat="1" ht="15" customHeight="1">
      <c r="A588" s="1274"/>
      <c r="B588" s="97"/>
      <c r="C588" s="98"/>
      <c r="D588" s="98"/>
      <c r="E588" s="102" t="s">
        <v>55</v>
      </c>
      <c r="F588" s="104"/>
      <c r="G588" s="104"/>
      <c r="H588" s="104"/>
      <c r="I588" s="105"/>
      <c r="J588" s="104">
        <f t="shared" si="1022"/>
        <v>0</v>
      </c>
      <c r="K588" s="104">
        <f t="shared" si="1026"/>
        <v>0</v>
      </c>
      <c r="L588" s="104">
        <f t="shared" si="1023"/>
        <v>0</v>
      </c>
      <c r="M588" s="104"/>
      <c r="N588" s="104"/>
      <c r="O588" s="104"/>
      <c r="P588" s="104"/>
      <c r="Q588" s="104">
        <f t="shared" si="955"/>
        <v>0</v>
      </c>
      <c r="R588" s="104">
        <f t="shared" si="1027"/>
        <v>0</v>
      </c>
      <c r="S588" s="104"/>
      <c r="T588" s="105"/>
      <c r="U588" s="100">
        <f t="shared" si="945"/>
        <v>0</v>
      </c>
      <c r="V588" s="130"/>
      <c r="W588" s="134">
        <f t="shared" si="946"/>
        <v>0</v>
      </c>
      <c r="X588" s="106"/>
      <c r="Y588" s="106">
        <f t="shared" si="947"/>
        <v>0</v>
      </c>
      <c r="Z588" s="106">
        <f t="shared" si="1025"/>
        <v>0</v>
      </c>
      <c r="AA588" s="106">
        <f t="shared" si="1019"/>
        <v>0</v>
      </c>
      <c r="AB588" s="106">
        <f t="shared" si="1020"/>
        <v>0</v>
      </c>
      <c r="AC588" s="107">
        <f t="shared" si="1021"/>
        <v>0</v>
      </c>
    </row>
    <row r="589" spans="1:29" s="82" customFormat="1" ht="17.25" customHeight="1">
      <c r="A589" s="1274"/>
      <c r="B589" s="97"/>
      <c r="C589" s="98"/>
      <c r="D589" s="98"/>
      <c r="E589" s="102" t="s">
        <v>56</v>
      </c>
      <c r="F589" s="104"/>
      <c r="G589" s="104"/>
      <c r="H589" s="104"/>
      <c r="I589" s="105"/>
      <c r="J589" s="104">
        <f t="shared" si="1022"/>
        <v>0</v>
      </c>
      <c r="K589" s="104">
        <f t="shared" si="1026"/>
        <v>0</v>
      </c>
      <c r="L589" s="104">
        <f t="shared" si="1023"/>
        <v>0</v>
      </c>
      <c r="M589" s="104"/>
      <c r="N589" s="104"/>
      <c r="O589" s="104"/>
      <c r="P589" s="104"/>
      <c r="Q589" s="104">
        <f t="shared" si="955"/>
        <v>0</v>
      </c>
      <c r="R589" s="104">
        <f t="shared" si="1027"/>
        <v>0</v>
      </c>
      <c r="S589" s="104"/>
      <c r="T589" s="105"/>
      <c r="U589" s="100">
        <f t="shared" si="945"/>
        <v>0</v>
      </c>
      <c r="V589" s="130"/>
      <c r="W589" s="134">
        <f t="shared" si="946"/>
        <v>0</v>
      </c>
      <c r="X589" s="106"/>
      <c r="Y589" s="106">
        <f t="shared" si="947"/>
        <v>0</v>
      </c>
      <c r="Z589" s="106">
        <f t="shared" si="1025"/>
        <v>0</v>
      </c>
      <c r="AA589" s="106">
        <f t="shared" si="1019"/>
        <v>0</v>
      </c>
      <c r="AB589" s="106">
        <f t="shared" si="1020"/>
        <v>0</v>
      </c>
      <c r="AC589" s="107">
        <f t="shared" si="1021"/>
        <v>0</v>
      </c>
    </row>
    <row r="590" spans="1:29" s="82" customFormat="1" ht="16.5" customHeight="1">
      <c r="A590" s="1272"/>
      <c r="B590" s="97"/>
      <c r="C590" s="98"/>
      <c r="D590" s="98"/>
      <c r="E590" s="102" t="s">
        <v>836</v>
      </c>
      <c r="F590" s="104"/>
      <c r="G590" s="104"/>
      <c r="H590" s="104"/>
      <c r="I590" s="105"/>
      <c r="J590" s="104">
        <f t="shared" si="1022"/>
        <v>0</v>
      </c>
      <c r="K590" s="104">
        <f>J590*40*2</f>
        <v>0</v>
      </c>
      <c r="L590" s="104">
        <f t="shared" si="1023"/>
        <v>0</v>
      </c>
      <c r="M590" s="104"/>
      <c r="N590" s="104"/>
      <c r="O590" s="104"/>
      <c r="P590" s="104"/>
      <c r="Q590" s="104">
        <f t="shared" si="955"/>
        <v>0</v>
      </c>
      <c r="R590" s="104">
        <f>Q590*40*2</f>
        <v>0</v>
      </c>
      <c r="S590" s="104"/>
      <c r="T590" s="105"/>
      <c r="U590" s="100">
        <f t="shared" si="945"/>
        <v>0</v>
      </c>
      <c r="V590" s="130"/>
      <c r="W590" s="134">
        <f t="shared" si="946"/>
        <v>0</v>
      </c>
      <c r="X590" s="106"/>
      <c r="Y590" s="106">
        <f t="shared" si="947"/>
        <v>0</v>
      </c>
      <c r="Z590" s="106">
        <f t="shared" si="1025"/>
        <v>0</v>
      </c>
      <c r="AA590" s="106">
        <f t="shared" si="1019"/>
        <v>0</v>
      </c>
      <c r="AB590" s="106">
        <f t="shared" si="1020"/>
        <v>0</v>
      </c>
      <c r="AC590" s="107">
        <f t="shared" si="1021"/>
        <v>0</v>
      </c>
    </row>
    <row r="591" spans="1:29" s="82" customFormat="1" ht="14.25" customHeight="1">
      <c r="A591" s="1273">
        <v>46</v>
      </c>
      <c r="B591" s="97" t="s">
        <v>837</v>
      </c>
      <c r="C591" s="98" t="s">
        <v>522</v>
      </c>
      <c r="D591" s="98">
        <v>1</v>
      </c>
      <c r="E591" s="99" t="s">
        <v>86</v>
      </c>
      <c r="F591" s="100">
        <f t="shared" ref="F591" si="1029">SUM(F592:F603)</f>
        <v>0</v>
      </c>
      <c r="G591" s="100">
        <f t="shared" ref="G591:N591" si="1030">SUM(G592:G603)</f>
        <v>0</v>
      </c>
      <c r="H591" s="100">
        <f t="shared" si="1030"/>
        <v>0</v>
      </c>
      <c r="I591" s="100">
        <f t="shared" ref="I591" si="1031">SUM(I592:I603)</f>
        <v>0</v>
      </c>
      <c r="J591" s="100">
        <f t="shared" si="1030"/>
        <v>0</v>
      </c>
      <c r="K591" s="100">
        <f t="shared" si="1030"/>
        <v>0</v>
      </c>
      <c r="L591" s="100">
        <f t="shared" si="1030"/>
        <v>0</v>
      </c>
      <c r="M591" s="100">
        <f t="shared" si="1030"/>
        <v>0</v>
      </c>
      <c r="N591" s="100">
        <f t="shared" si="1030"/>
        <v>0</v>
      </c>
      <c r="O591" s="100">
        <f t="shared" ref="O591" si="1032">SUM(O592:O603)</f>
        <v>0</v>
      </c>
      <c r="P591" s="100"/>
      <c r="Q591" s="100"/>
      <c r="R591" s="100">
        <f t="shared" ref="R591" si="1033">SUM(R592:R603)</f>
        <v>0</v>
      </c>
      <c r="S591" s="100">
        <f>SUM(S592:S603)</f>
        <v>0</v>
      </c>
      <c r="T591" s="100"/>
      <c r="U591" s="100">
        <f t="shared" ref="U591" si="1034">SUM(U592:U603)</f>
        <v>0</v>
      </c>
      <c r="V591" s="130"/>
      <c r="W591" s="143">
        <f t="shared" ref="W591" si="1035">SUM(W592:W603)</f>
        <v>0</v>
      </c>
      <c r="X591" s="100">
        <f t="shared" ref="X591" si="1036">SUM(X592:X603)</f>
        <v>0</v>
      </c>
      <c r="Y591" s="100">
        <f t="shared" ref="Y591:AB591" si="1037">SUM(Y592:Y603)</f>
        <v>0</v>
      </c>
      <c r="Z591" s="100">
        <f t="shared" si="1037"/>
        <v>0</v>
      </c>
      <c r="AA591" s="100">
        <f t="shared" si="1037"/>
        <v>0</v>
      </c>
      <c r="AB591" s="100">
        <f t="shared" si="1037"/>
        <v>0</v>
      </c>
      <c r="AC591" s="101">
        <f>SUM(AC592:AC603)</f>
        <v>0</v>
      </c>
    </row>
    <row r="592" spans="1:29" s="82" customFormat="1" ht="14.25" customHeight="1">
      <c r="A592" s="1274"/>
      <c r="B592" s="97" t="s">
        <v>715</v>
      </c>
      <c r="C592" s="171">
        <v>8</v>
      </c>
      <c r="D592" s="171"/>
      <c r="E592" s="172" t="s">
        <v>389</v>
      </c>
      <c r="F592" s="173"/>
      <c r="G592" s="104"/>
      <c r="H592" s="103"/>
      <c r="I592" s="105"/>
      <c r="J592" s="104"/>
      <c r="K592" s="104"/>
      <c r="L592" s="104"/>
      <c r="M592" s="104">
        <f t="shared" ref="M592" si="1038">F592*60%</f>
        <v>0</v>
      </c>
      <c r="N592" s="104"/>
      <c r="O592" s="104"/>
      <c r="P592" s="104"/>
      <c r="Q592" s="104"/>
      <c r="R592" s="104"/>
      <c r="S592" s="104"/>
      <c r="T592" s="105"/>
      <c r="U592" s="100">
        <f t="shared" ref="U592" si="1039">SUM(I592,L592)</f>
        <v>0</v>
      </c>
      <c r="V592" s="130"/>
      <c r="W592" s="134">
        <f t="shared" ref="W592:W593" si="1040">ROUNDUP(U592*1/12,-1)</f>
        <v>0</v>
      </c>
      <c r="X592" s="106"/>
      <c r="Y592" s="106">
        <f t="shared" ref="Y592" si="1041">ROUNDUP((U592-L592)*3.06%,-1)</f>
        <v>0</v>
      </c>
      <c r="Z592" s="106">
        <f>ROUNDUP(Y592*6.55%,-1)</f>
        <v>0</v>
      </c>
      <c r="AA592" s="106">
        <f t="shared" ref="AA592:AA603" si="1042">ROUND(U592*0.9%,-1)</f>
        <v>0</v>
      </c>
      <c r="AB592" s="106">
        <f t="shared" ref="AB592:AB603" si="1043">ROUND(U592*0.8%,-1)</f>
        <v>0</v>
      </c>
      <c r="AC592" s="107">
        <f t="shared" ref="AC592:AC603" si="1044">SUM(W592:AB592)</f>
        <v>0</v>
      </c>
    </row>
    <row r="593" spans="1:29" s="82" customFormat="1" ht="14.25" customHeight="1">
      <c r="A593" s="1274"/>
      <c r="B593" s="97"/>
      <c r="C593" s="98"/>
      <c r="D593" s="98"/>
      <c r="E593" s="102" t="s">
        <v>390</v>
      </c>
      <c r="F593" s="104"/>
      <c r="G593" s="104"/>
      <c r="H593" s="104"/>
      <c r="I593" s="105"/>
      <c r="J593" s="104">
        <f t="shared" ref="J593:J603" si="1045">ROUND((F592+I592+T592)*1/209*1.5,-1)</f>
        <v>0</v>
      </c>
      <c r="K593" s="104">
        <f t="shared" ref="K593:K602" si="1046">J593*25</f>
        <v>0</v>
      </c>
      <c r="L593" s="104">
        <f t="shared" ref="L593:L603" si="1047">K593-R593-S593</f>
        <v>0</v>
      </c>
      <c r="M593" s="104"/>
      <c r="N593" s="104"/>
      <c r="O593" s="104"/>
      <c r="P593" s="104"/>
      <c r="Q593" s="104">
        <f t="shared" ref="Q593" si="1048">ROUND((F592+T592)*1/209*1.5,-1)</f>
        <v>0</v>
      </c>
      <c r="R593" s="104">
        <f>Q593*20</f>
        <v>0</v>
      </c>
      <c r="S593" s="104">
        <f>Q593*5</f>
        <v>0</v>
      </c>
      <c r="T593" s="105"/>
      <c r="U593" s="100">
        <f t="shared" si="945"/>
        <v>0</v>
      </c>
      <c r="V593" s="130"/>
      <c r="W593" s="134">
        <f t="shared" si="1040"/>
        <v>0</v>
      </c>
      <c r="X593" s="106"/>
      <c r="Y593" s="106">
        <f t="shared" si="947"/>
        <v>0</v>
      </c>
      <c r="Z593" s="106">
        <f t="shared" ref="Z593:Z603" si="1049">ROUNDUP(Y593*6.55%,-1)</f>
        <v>0</v>
      </c>
      <c r="AA593" s="106">
        <f t="shared" si="1042"/>
        <v>0</v>
      </c>
      <c r="AB593" s="106">
        <f t="shared" si="1043"/>
        <v>0</v>
      </c>
      <c r="AC593" s="107">
        <f t="shared" si="1044"/>
        <v>0</v>
      </c>
    </row>
    <row r="594" spans="1:29" s="82" customFormat="1" ht="14.25" customHeight="1">
      <c r="A594" s="1274"/>
      <c r="B594" s="97"/>
      <c r="C594" s="98"/>
      <c r="D594" s="98"/>
      <c r="E594" s="102" t="s">
        <v>391</v>
      </c>
      <c r="F594" s="104"/>
      <c r="G594" s="104"/>
      <c r="H594" s="104"/>
      <c r="I594" s="105"/>
      <c r="J594" s="104">
        <f t="shared" si="1045"/>
        <v>0</v>
      </c>
      <c r="K594" s="104">
        <f t="shared" si="1046"/>
        <v>0</v>
      </c>
      <c r="L594" s="104">
        <f t="shared" si="1047"/>
        <v>0</v>
      </c>
      <c r="M594" s="104"/>
      <c r="N594" s="104"/>
      <c r="O594" s="104"/>
      <c r="P594" s="104"/>
      <c r="Q594" s="104">
        <f t="shared" si="955"/>
        <v>0</v>
      </c>
      <c r="R594" s="104">
        <f t="shared" ref="R594:R602" si="1050">Q594*20</f>
        <v>0</v>
      </c>
      <c r="S594" s="104">
        <f t="shared" ref="S594:S602" si="1051">Q594*5</f>
        <v>0</v>
      </c>
      <c r="T594" s="105"/>
      <c r="U594" s="100">
        <f t="shared" si="945"/>
        <v>0</v>
      </c>
      <c r="V594" s="130"/>
      <c r="W594" s="134">
        <f t="shared" si="946"/>
        <v>0</v>
      </c>
      <c r="X594" s="106"/>
      <c r="Y594" s="106">
        <f t="shared" si="947"/>
        <v>0</v>
      </c>
      <c r="Z594" s="106">
        <f t="shared" si="1049"/>
        <v>0</v>
      </c>
      <c r="AA594" s="106">
        <f t="shared" si="1042"/>
        <v>0</v>
      </c>
      <c r="AB594" s="106">
        <f t="shared" si="1043"/>
        <v>0</v>
      </c>
      <c r="AC594" s="107">
        <f t="shared" si="1044"/>
        <v>0</v>
      </c>
    </row>
    <row r="595" spans="1:29" s="82" customFormat="1" ht="14.25" customHeight="1">
      <c r="A595" s="1274"/>
      <c r="B595" s="97"/>
      <c r="C595" s="171">
        <v>9</v>
      </c>
      <c r="D595" s="171"/>
      <c r="E595" s="172" t="s">
        <v>392</v>
      </c>
      <c r="F595" s="173"/>
      <c r="G595" s="104"/>
      <c r="H595" s="104"/>
      <c r="I595" s="105"/>
      <c r="J595" s="104">
        <f t="shared" si="1045"/>
        <v>0</v>
      </c>
      <c r="K595" s="104">
        <f t="shared" si="1046"/>
        <v>0</v>
      </c>
      <c r="L595" s="104">
        <f t="shared" si="1047"/>
        <v>0</v>
      </c>
      <c r="M595" s="104"/>
      <c r="N595" s="104"/>
      <c r="O595" s="104"/>
      <c r="P595" s="104"/>
      <c r="Q595" s="104">
        <f t="shared" si="955"/>
        <v>0</v>
      </c>
      <c r="R595" s="104">
        <f t="shared" si="1050"/>
        <v>0</v>
      </c>
      <c r="S595" s="104">
        <f t="shared" si="1051"/>
        <v>0</v>
      </c>
      <c r="T595" s="105"/>
      <c r="U595" s="100">
        <f t="shared" si="945"/>
        <v>0</v>
      </c>
      <c r="V595" s="130"/>
      <c r="W595" s="134">
        <f t="shared" si="946"/>
        <v>0</v>
      </c>
      <c r="X595" s="106"/>
      <c r="Y595" s="106">
        <f t="shared" si="947"/>
        <v>0</v>
      </c>
      <c r="Z595" s="106">
        <f t="shared" si="1049"/>
        <v>0</v>
      </c>
      <c r="AA595" s="106">
        <f t="shared" si="1042"/>
        <v>0</v>
      </c>
      <c r="AB595" s="106">
        <f t="shared" si="1043"/>
        <v>0</v>
      </c>
      <c r="AC595" s="107">
        <f t="shared" si="1044"/>
        <v>0</v>
      </c>
    </row>
    <row r="596" spans="1:29" s="82" customFormat="1" ht="14.25" customHeight="1">
      <c r="A596" s="1274"/>
      <c r="B596" s="97"/>
      <c r="C596" s="98"/>
      <c r="D596" s="98"/>
      <c r="E596" s="102" t="s">
        <v>393</v>
      </c>
      <c r="F596" s="104"/>
      <c r="G596" s="104"/>
      <c r="H596" s="104"/>
      <c r="I596" s="105"/>
      <c r="J596" s="104">
        <f t="shared" si="1045"/>
        <v>0</v>
      </c>
      <c r="K596" s="104">
        <f t="shared" si="1046"/>
        <v>0</v>
      </c>
      <c r="L596" s="104">
        <f t="shared" si="1047"/>
        <v>0</v>
      </c>
      <c r="M596" s="104"/>
      <c r="N596" s="104"/>
      <c r="O596" s="104"/>
      <c r="P596" s="104"/>
      <c r="Q596" s="104">
        <f t="shared" si="955"/>
        <v>0</v>
      </c>
      <c r="R596" s="104">
        <f t="shared" si="1050"/>
        <v>0</v>
      </c>
      <c r="S596" s="104">
        <f t="shared" si="1051"/>
        <v>0</v>
      </c>
      <c r="T596" s="105"/>
      <c r="U596" s="100">
        <f t="shared" si="945"/>
        <v>0</v>
      </c>
      <c r="V596" s="130"/>
      <c r="W596" s="134">
        <f t="shared" si="946"/>
        <v>0</v>
      </c>
      <c r="X596" s="106"/>
      <c r="Y596" s="106">
        <f t="shared" si="947"/>
        <v>0</v>
      </c>
      <c r="Z596" s="106">
        <f t="shared" si="1049"/>
        <v>0</v>
      </c>
      <c r="AA596" s="106">
        <f t="shared" si="1042"/>
        <v>0</v>
      </c>
      <c r="AB596" s="106">
        <f t="shared" si="1043"/>
        <v>0</v>
      </c>
      <c r="AC596" s="107">
        <f t="shared" si="1044"/>
        <v>0</v>
      </c>
    </row>
    <row r="597" spans="1:29" s="82" customFormat="1" ht="14.25" customHeight="1">
      <c r="A597" s="1274"/>
      <c r="B597" s="97"/>
      <c r="C597" s="98"/>
      <c r="D597" s="98"/>
      <c r="E597" s="102" t="s">
        <v>394</v>
      </c>
      <c r="F597" s="104"/>
      <c r="G597" s="104"/>
      <c r="H597" s="104"/>
      <c r="I597" s="105"/>
      <c r="J597" s="104">
        <f t="shared" si="1045"/>
        <v>0</v>
      </c>
      <c r="K597" s="104">
        <f t="shared" si="1046"/>
        <v>0</v>
      </c>
      <c r="L597" s="104">
        <f t="shared" si="1047"/>
        <v>0</v>
      </c>
      <c r="M597" s="104"/>
      <c r="N597" s="104"/>
      <c r="O597" s="104"/>
      <c r="P597" s="104"/>
      <c r="Q597" s="104">
        <f t="shared" si="955"/>
        <v>0</v>
      </c>
      <c r="R597" s="104">
        <f t="shared" si="1050"/>
        <v>0</v>
      </c>
      <c r="S597" s="104">
        <f t="shared" si="1051"/>
        <v>0</v>
      </c>
      <c r="T597" s="105"/>
      <c r="U597" s="100">
        <f t="shared" si="945"/>
        <v>0</v>
      </c>
      <c r="V597" s="130"/>
      <c r="W597" s="134">
        <f t="shared" si="946"/>
        <v>0</v>
      </c>
      <c r="X597" s="106"/>
      <c r="Y597" s="106">
        <f t="shared" si="947"/>
        <v>0</v>
      </c>
      <c r="Z597" s="106">
        <f t="shared" si="1049"/>
        <v>0</v>
      </c>
      <c r="AA597" s="106">
        <f t="shared" si="1042"/>
        <v>0</v>
      </c>
      <c r="AB597" s="106">
        <f t="shared" si="1043"/>
        <v>0</v>
      </c>
      <c r="AC597" s="107">
        <f t="shared" si="1044"/>
        <v>0</v>
      </c>
    </row>
    <row r="598" spans="1:29" s="82" customFormat="1" ht="14.25" customHeight="1">
      <c r="A598" s="1274"/>
      <c r="B598" s="97"/>
      <c r="C598" s="98"/>
      <c r="D598" s="98"/>
      <c r="E598" s="102" t="s">
        <v>279</v>
      </c>
      <c r="F598" s="104"/>
      <c r="G598" s="104"/>
      <c r="H598" s="103"/>
      <c r="I598" s="105"/>
      <c r="J598" s="104">
        <f t="shared" si="1045"/>
        <v>0</v>
      </c>
      <c r="K598" s="104">
        <f t="shared" si="1046"/>
        <v>0</v>
      </c>
      <c r="L598" s="104">
        <f t="shared" si="1047"/>
        <v>0</v>
      </c>
      <c r="M598" s="104"/>
      <c r="N598" s="104"/>
      <c r="O598" s="104"/>
      <c r="P598" s="104"/>
      <c r="Q598" s="104">
        <f t="shared" si="955"/>
        <v>0</v>
      </c>
      <c r="R598" s="104">
        <f t="shared" si="1050"/>
        <v>0</v>
      </c>
      <c r="S598" s="104">
        <f t="shared" si="1051"/>
        <v>0</v>
      </c>
      <c r="T598" s="105"/>
      <c r="U598" s="100">
        <f t="shared" si="945"/>
        <v>0</v>
      </c>
      <c r="V598" s="130"/>
      <c r="W598" s="134">
        <f t="shared" si="946"/>
        <v>0</v>
      </c>
      <c r="X598" s="106"/>
      <c r="Y598" s="106">
        <f t="shared" si="947"/>
        <v>0</v>
      </c>
      <c r="Z598" s="106">
        <f t="shared" si="1049"/>
        <v>0</v>
      </c>
      <c r="AA598" s="106">
        <f t="shared" si="1042"/>
        <v>0</v>
      </c>
      <c r="AB598" s="106">
        <f t="shared" si="1043"/>
        <v>0</v>
      </c>
      <c r="AC598" s="107">
        <f t="shared" si="1044"/>
        <v>0</v>
      </c>
    </row>
    <row r="599" spans="1:29" s="82" customFormat="1" ht="14.25" customHeight="1">
      <c r="A599" s="1274"/>
      <c r="B599" s="97"/>
      <c r="C599" s="98"/>
      <c r="D599" s="98"/>
      <c r="E599" s="102" t="s">
        <v>280</v>
      </c>
      <c r="F599" s="104"/>
      <c r="G599" s="104"/>
      <c r="H599" s="104"/>
      <c r="I599" s="105"/>
      <c r="J599" s="104">
        <f t="shared" si="1045"/>
        <v>0</v>
      </c>
      <c r="K599" s="104">
        <f t="shared" si="1046"/>
        <v>0</v>
      </c>
      <c r="L599" s="104">
        <f t="shared" si="1047"/>
        <v>0</v>
      </c>
      <c r="M599" s="104"/>
      <c r="N599" s="104"/>
      <c r="O599" s="104"/>
      <c r="P599" s="104"/>
      <c r="Q599" s="104">
        <f t="shared" si="955"/>
        <v>0</v>
      </c>
      <c r="R599" s="104">
        <f t="shared" si="1050"/>
        <v>0</v>
      </c>
      <c r="S599" s="104">
        <f t="shared" si="1051"/>
        <v>0</v>
      </c>
      <c r="T599" s="105"/>
      <c r="U599" s="100">
        <f t="shared" si="945"/>
        <v>0</v>
      </c>
      <c r="V599" s="130"/>
      <c r="W599" s="134">
        <f t="shared" si="946"/>
        <v>0</v>
      </c>
      <c r="X599" s="106"/>
      <c r="Y599" s="106">
        <f t="shared" si="947"/>
        <v>0</v>
      </c>
      <c r="Z599" s="106">
        <f t="shared" si="1049"/>
        <v>0</v>
      </c>
      <c r="AA599" s="106">
        <f t="shared" si="1042"/>
        <v>0</v>
      </c>
      <c r="AB599" s="106">
        <f t="shared" si="1043"/>
        <v>0</v>
      </c>
      <c r="AC599" s="107">
        <f t="shared" si="1044"/>
        <v>0</v>
      </c>
    </row>
    <row r="600" spans="1:29" s="82" customFormat="1" ht="14.25" customHeight="1">
      <c r="A600" s="1274"/>
      <c r="B600" s="97"/>
      <c r="C600" s="98"/>
      <c r="D600" s="98"/>
      <c r="E600" s="102" t="s">
        <v>54</v>
      </c>
      <c r="F600" s="104"/>
      <c r="G600" s="104"/>
      <c r="H600" s="104"/>
      <c r="I600" s="105"/>
      <c r="J600" s="104">
        <f t="shared" si="1045"/>
        <v>0</v>
      </c>
      <c r="K600" s="104">
        <f t="shared" si="1046"/>
        <v>0</v>
      </c>
      <c r="L600" s="104">
        <f t="shared" si="1047"/>
        <v>0</v>
      </c>
      <c r="M600" s="104">
        <f t="shared" ref="M600" si="1052">F600*60%</f>
        <v>0</v>
      </c>
      <c r="N600" s="104"/>
      <c r="O600" s="104"/>
      <c r="P600" s="104"/>
      <c r="Q600" s="104">
        <f t="shared" si="955"/>
        <v>0</v>
      </c>
      <c r="R600" s="104">
        <f t="shared" si="1050"/>
        <v>0</v>
      </c>
      <c r="S600" s="104">
        <f t="shared" si="1051"/>
        <v>0</v>
      </c>
      <c r="T600" s="105"/>
      <c r="U600" s="100">
        <f t="shared" si="945"/>
        <v>0</v>
      </c>
      <c r="V600" s="130"/>
      <c r="W600" s="134">
        <f t="shared" si="946"/>
        <v>0</v>
      </c>
      <c r="X600" s="106"/>
      <c r="Y600" s="106">
        <f t="shared" si="947"/>
        <v>0</v>
      </c>
      <c r="Z600" s="106">
        <f t="shared" si="1049"/>
        <v>0</v>
      </c>
      <c r="AA600" s="106">
        <f t="shared" si="1042"/>
        <v>0</v>
      </c>
      <c r="AB600" s="106">
        <f t="shared" si="1043"/>
        <v>0</v>
      </c>
      <c r="AC600" s="107">
        <f t="shared" si="1044"/>
        <v>0</v>
      </c>
    </row>
    <row r="601" spans="1:29" s="82" customFormat="1" ht="14.25" customHeight="1">
      <c r="A601" s="1274"/>
      <c r="B601" s="97"/>
      <c r="C601" s="98"/>
      <c r="D601" s="98"/>
      <c r="E601" s="102" t="s">
        <v>55</v>
      </c>
      <c r="F601" s="104"/>
      <c r="G601" s="104"/>
      <c r="H601" s="104"/>
      <c r="I601" s="105"/>
      <c r="J601" s="104">
        <f t="shared" si="1045"/>
        <v>0</v>
      </c>
      <c r="K601" s="104">
        <f t="shared" si="1046"/>
        <v>0</v>
      </c>
      <c r="L601" s="104">
        <f t="shared" si="1047"/>
        <v>0</v>
      </c>
      <c r="M601" s="104"/>
      <c r="N601" s="104"/>
      <c r="O601" s="104"/>
      <c r="P601" s="104"/>
      <c r="Q601" s="104">
        <f t="shared" si="955"/>
        <v>0</v>
      </c>
      <c r="R601" s="104">
        <f t="shared" si="1050"/>
        <v>0</v>
      </c>
      <c r="S601" s="104">
        <f t="shared" si="1051"/>
        <v>0</v>
      </c>
      <c r="T601" s="105"/>
      <c r="U601" s="100">
        <f t="shared" si="945"/>
        <v>0</v>
      </c>
      <c r="V601" s="130"/>
      <c r="W601" s="134">
        <f t="shared" si="946"/>
        <v>0</v>
      </c>
      <c r="X601" s="106"/>
      <c r="Y601" s="106">
        <f t="shared" si="947"/>
        <v>0</v>
      </c>
      <c r="Z601" s="106">
        <f t="shared" si="1049"/>
        <v>0</v>
      </c>
      <c r="AA601" s="106">
        <f t="shared" si="1042"/>
        <v>0</v>
      </c>
      <c r="AB601" s="106">
        <f t="shared" si="1043"/>
        <v>0</v>
      </c>
      <c r="AC601" s="107">
        <f t="shared" si="1044"/>
        <v>0</v>
      </c>
    </row>
    <row r="602" spans="1:29" s="82" customFormat="1" ht="14.25" customHeight="1">
      <c r="A602" s="1274"/>
      <c r="B602" s="97"/>
      <c r="C602" s="98"/>
      <c r="D602" s="98"/>
      <c r="E602" s="102" t="s">
        <v>56</v>
      </c>
      <c r="F602" s="104"/>
      <c r="G602" s="104"/>
      <c r="H602" s="104"/>
      <c r="I602" s="105"/>
      <c r="J602" s="104">
        <f t="shared" si="1045"/>
        <v>0</v>
      </c>
      <c r="K602" s="104">
        <f t="shared" si="1046"/>
        <v>0</v>
      </c>
      <c r="L602" s="104">
        <f t="shared" si="1047"/>
        <v>0</v>
      </c>
      <c r="M602" s="104"/>
      <c r="N602" s="104"/>
      <c r="O602" s="104"/>
      <c r="P602" s="104"/>
      <c r="Q602" s="104">
        <f t="shared" si="955"/>
        <v>0</v>
      </c>
      <c r="R602" s="104">
        <f t="shared" si="1050"/>
        <v>0</v>
      </c>
      <c r="S602" s="104">
        <f t="shared" si="1051"/>
        <v>0</v>
      </c>
      <c r="T602" s="105"/>
      <c r="U602" s="100">
        <f t="shared" si="945"/>
        <v>0</v>
      </c>
      <c r="V602" s="130"/>
      <c r="W602" s="134">
        <f t="shared" si="946"/>
        <v>0</v>
      </c>
      <c r="X602" s="106"/>
      <c r="Y602" s="106">
        <f t="shared" si="947"/>
        <v>0</v>
      </c>
      <c r="Z602" s="106">
        <f t="shared" si="1049"/>
        <v>0</v>
      </c>
      <c r="AA602" s="106">
        <f t="shared" si="1042"/>
        <v>0</v>
      </c>
      <c r="AB602" s="106">
        <f t="shared" si="1043"/>
        <v>0</v>
      </c>
      <c r="AC602" s="107">
        <f t="shared" si="1044"/>
        <v>0</v>
      </c>
    </row>
    <row r="603" spans="1:29" s="82" customFormat="1" ht="14.25" customHeight="1">
      <c r="A603" s="1272"/>
      <c r="B603" s="97"/>
      <c r="C603" s="98"/>
      <c r="D603" s="98"/>
      <c r="E603" s="102" t="s">
        <v>395</v>
      </c>
      <c r="F603" s="104"/>
      <c r="G603" s="104"/>
      <c r="H603" s="104"/>
      <c r="I603" s="105"/>
      <c r="J603" s="104">
        <f t="shared" si="1045"/>
        <v>0</v>
      </c>
      <c r="K603" s="104">
        <f t="shared" ref="K603" si="1053">J603*25*2</f>
        <v>0</v>
      </c>
      <c r="L603" s="104">
        <f t="shared" si="1047"/>
        <v>0</v>
      </c>
      <c r="M603" s="104"/>
      <c r="N603" s="104"/>
      <c r="O603" s="104"/>
      <c r="P603" s="104"/>
      <c r="Q603" s="104">
        <f t="shared" si="955"/>
        <v>0</v>
      </c>
      <c r="R603" s="104">
        <f>Q603*20*2</f>
        <v>0</v>
      </c>
      <c r="S603" s="104">
        <f>Q603*5*2</f>
        <v>0</v>
      </c>
      <c r="T603" s="105"/>
      <c r="U603" s="100">
        <f t="shared" si="945"/>
        <v>0</v>
      </c>
      <c r="V603" s="130"/>
      <c r="W603" s="134">
        <f t="shared" si="946"/>
        <v>0</v>
      </c>
      <c r="X603" s="106"/>
      <c r="Y603" s="106">
        <f t="shared" si="947"/>
        <v>0</v>
      </c>
      <c r="Z603" s="106">
        <f t="shared" si="1049"/>
        <v>0</v>
      </c>
      <c r="AA603" s="106">
        <f t="shared" si="1042"/>
        <v>0</v>
      </c>
      <c r="AB603" s="106">
        <f t="shared" si="1043"/>
        <v>0</v>
      </c>
      <c r="AC603" s="107">
        <f t="shared" si="1044"/>
        <v>0</v>
      </c>
    </row>
    <row r="604" spans="1:29" s="82" customFormat="1" ht="14.25" customHeight="1">
      <c r="A604" s="1273">
        <v>47</v>
      </c>
      <c r="B604" s="97" t="s">
        <v>607</v>
      </c>
      <c r="C604" s="98" t="s">
        <v>525</v>
      </c>
      <c r="D604" s="98">
        <v>1</v>
      </c>
      <c r="E604" s="99" t="s">
        <v>86</v>
      </c>
      <c r="F604" s="100">
        <f t="shared" ref="F604" si="1054">SUM(F605:F616)</f>
        <v>0</v>
      </c>
      <c r="G604" s="100">
        <f t="shared" ref="G604:N604" si="1055">SUM(G605:G616)</f>
        <v>0</v>
      </c>
      <c r="H604" s="100">
        <f t="shared" si="1055"/>
        <v>0</v>
      </c>
      <c r="I604" s="100">
        <f t="shared" ref="I604" si="1056">SUM(I605:I616)</f>
        <v>0</v>
      </c>
      <c r="J604" s="100">
        <f t="shared" si="1055"/>
        <v>0</v>
      </c>
      <c r="K604" s="100">
        <f t="shared" si="1055"/>
        <v>0</v>
      </c>
      <c r="L604" s="100">
        <f t="shared" si="1055"/>
        <v>0</v>
      </c>
      <c r="M604" s="100">
        <f t="shared" si="1055"/>
        <v>0</v>
      </c>
      <c r="N604" s="100">
        <f t="shared" si="1055"/>
        <v>0</v>
      </c>
      <c r="O604" s="100">
        <f t="shared" ref="O604" si="1057">SUM(O605:O616)</f>
        <v>0</v>
      </c>
      <c r="P604" s="100"/>
      <c r="Q604" s="100"/>
      <c r="R604" s="100">
        <f t="shared" ref="R604" si="1058">SUM(R605:R616)</f>
        <v>0</v>
      </c>
      <c r="S604" s="100">
        <f>SUM(S605:S616)</f>
        <v>0</v>
      </c>
      <c r="T604" s="100"/>
      <c r="U604" s="100">
        <f t="shared" ref="U604" si="1059">SUM(U605:U616)</f>
        <v>0</v>
      </c>
      <c r="V604" s="130"/>
      <c r="W604" s="143">
        <f t="shared" ref="W604" si="1060">SUM(W605:W616)</f>
        <v>0</v>
      </c>
      <c r="X604" s="100">
        <f t="shared" ref="X604" si="1061">SUM(X605:X616)</f>
        <v>0</v>
      </c>
      <c r="Y604" s="100">
        <f t="shared" ref="Y604:AB604" si="1062">SUM(Y605:Y616)</f>
        <v>0</v>
      </c>
      <c r="Z604" s="100">
        <f t="shared" si="1062"/>
        <v>0</v>
      </c>
      <c r="AA604" s="100">
        <f t="shared" si="1062"/>
        <v>0</v>
      </c>
      <c r="AB604" s="100">
        <f t="shared" si="1062"/>
        <v>0</v>
      </c>
      <c r="AC604" s="101">
        <f>SUM(AC605:AC616)</f>
        <v>0</v>
      </c>
    </row>
    <row r="605" spans="1:29" s="82" customFormat="1" ht="14.25" customHeight="1">
      <c r="A605" s="1274"/>
      <c r="B605" s="97" t="s">
        <v>716</v>
      </c>
      <c r="C605" s="171">
        <v>4</v>
      </c>
      <c r="D605" s="171"/>
      <c r="E605" s="172" t="s">
        <v>389</v>
      </c>
      <c r="F605" s="173"/>
      <c r="G605" s="104"/>
      <c r="H605" s="103"/>
      <c r="I605" s="105"/>
      <c r="J605" s="104"/>
      <c r="K605" s="104"/>
      <c r="L605" s="104"/>
      <c r="M605" s="104">
        <f t="shared" ref="M605" si="1063">F605*60%</f>
        <v>0</v>
      </c>
      <c r="N605" s="104"/>
      <c r="O605" s="104"/>
      <c r="P605" s="104"/>
      <c r="Q605" s="104"/>
      <c r="R605" s="104"/>
      <c r="S605" s="104"/>
      <c r="T605" s="105"/>
      <c r="U605" s="100">
        <f t="shared" ref="U605:U616" si="1064">SUM(I605,L605)</f>
        <v>0</v>
      </c>
      <c r="V605" s="130"/>
      <c r="W605" s="134">
        <f t="shared" ref="W605:W616" si="1065">ROUNDUP(U605*1/12,-1)</f>
        <v>0</v>
      </c>
      <c r="X605" s="106"/>
      <c r="Y605" s="106">
        <f t="shared" ref="Y605:Y616" si="1066">ROUNDUP((U605-L605)*3.06%,-1)</f>
        <v>0</v>
      </c>
      <c r="Z605" s="106">
        <f>ROUNDUP(Y605*6.55%,-1)</f>
        <v>0</v>
      </c>
      <c r="AA605" s="106">
        <f t="shared" ref="AA605:AA616" si="1067">ROUND(U605*0.9%,-1)</f>
        <v>0</v>
      </c>
      <c r="AB605" s="106">
        <f t="shared" ref="AB605:AB616" si="1068">ROUND(U605*0.8%,-1)</f>
        <v>0</v>
      </c>
      <c r="AC605" s="107">
        <f t="shared" ref="AC605:AC616" si="1069">SUM(W605:AB605)</f>
        <v>0</v>
      </c>
    </row>
    <row r="606" spans="1:29" s="82" customFormat="1" ht="14.25" customHeight="1">
      <c r="A606" s="1274"/>
      <c r="B606" s="97"/>
      <c r="C606" s="98"/>
      <c r="D606" s="98"/>
      <c r="E606" s="102" t="s">
        <v>390</v>
      </c>
      <c r="F606" s="104"/>
      <c r="G606" s="104"/>
      <c r="H606" s="104"/>
      <c r="I606" s="105"/>
      <c r="J606" s="104">
        <f t="shared" ref="J606:J616" si="1070">ROUND((F605+I605+T605)*1/209*1.5,-1)</f>
        <v>0</v>
      </c>
      <c r="K606" s="104">
        <f t="shared" ref="K606:K615" si="1071">J606*25</f>
        <v>0</v>
      </c>
      <c r="L606" s="104">
        <f t="shared" ref="L606:L616" si="1072">K606-R606-S606</f>
        <v>0</v>
      </c>
      <c r="M606" s="104"/>
      <c r="N606" s="104"/>
      <c r="O606" s="104"/>
      <c r="P606" s="104"/>
      <c r="Q606" s="104">
        <f t="shared" ref="Q606:Q616" si="1073">ROUND((F605+T605)*1/209*1.5,-1)</f>
        <v>0</v>
      </c>
      <c r="R606" s="104">
        <f>Q606*20</f>
        <v>0</v>
      </c>
      <c r="S606" s="104">
        <f>Q606*5</f>
        <v>0</v>
      </c>
      <c r="T606" s="105"/>
      <c r="U606" s="100">
        <f t="shared" si="1064"/>
        <v>0</v>
      </c>
      <c r="V606" s="130"/>
      <c r="W606" s="134">
        <f t="shared" si="1065"/>
        <v>0</v>
      </c>
      <c r="X606" s="106"/>
      <c r="Y606" s="106">
        <f t="shared" si="1066"/>
        <v>0</v>
      </c>
      <c r="Z606" s="106">
        <f t="shared" ref="Z606:Z616" si="1074">ROUNDUP(Y606*6.55%,-1)</f>
        <v>0</v>
      </c>
      <c r="AA606" s="106">
        <f t="shared" si="1067"/>
        <v>0</v>
      </c>
      <c r="AB606" s="106">
        <f t="shared" si="1068"/>
        <v>0</v>
      </c>
      <c r="AC606" s="107">
        <f t="shared" si="1069"/>
        <v>0</v>
      </c>
    </row>
    <row r="607" spans="1:29" s="82" customFormat="1" ht="14.25" customHeight="1">
      <c r="A607" s="1274"/>
      <c r="B607" s="97"/>
      <c r="C607" s="98"/>
      <c r="D607" s="98"/>
      <c r="E607" s="102" t="s">
        <v>391</v>
      </c>
      <c r="F607" s="104"/>
      <c r="G607" s="104"/>
      <c r="H607" s="104"/>
      <c r="I607" s="105"/>
      <c r="J607" s="104">
        <f t="shared" si="1070"/>
        <v>0</v>
      </c>
      <c r="K607" s="104">
        <f t="shared" si="1071"/>
        <v>0</v>
      </c>
      <c r="L607" s="104">
        <f t="shared" si="1072"/>
        <v>0</v>
      </c>
      <c r="M607" s="104"/>
      <c r="N607" s="104"/>
      <c r="O607" s="104"/>
      <c r="P607" s="104"/>
      <c r="Q607" s="104">
        <f t="shared" si="1073"/>
        <v>0</v>
      </c>
      <c r="R607" s="104">
        <f t="shared" ref="R607:R615" si="1075">Q607*20</f>
        <v>0</v>
      </c>
      <c r="S607" s="104">
        <f>Q607*5</f>
        <v>0</v>
      </c>
      <c r="T607" s="105"/>
      <c r="U607" s="100">
        <f t="shared" si="1064"/>
        <v>0</v>
      </c>
      <c r="V607" s="130"/>
      <c r="W607" s="134">
        <f t="shared" si="1065"/>
        <v>0</v>
      </c>
      <c r="X607" s="106"/>
      <c r="Y607" s="106">
        <f t="shared" si="1066"/>
        <v>0</v>
      </c>
      <c r="Z607" s="106">
        <f t="shared" si="1074"/>
        <v>0</v>
      </c>
      <c r="AA607" s="106">
        <f t="shared" si="1067"/>
        <v>0</v>
      </c>
      <c r="AB607" s="106">
        <f t="shared" si="1068"/>
        <v>0</v>
      </c>
      <c r="AC607" s="107">
        <f t="shared" si="1069"/>
        <v>0</v>
      </c>
    </row>
    <row r="608" spans="1:29" s="82" customFormat="1" ht="14.25" customHeight="1">
      <c r="A608" s="1274"/>
      <c r="B608" s="97"/>
      <c r="C608" s="98"/>
      <c r="D608" s="98"/>
      <c r="E608" s="102" t="s">
        <v>392</v>
      </c>
      <c r="F608" s="173"/>
      <c r="G608" s="104"/>
      <c r="H608" s="104"/>
      <c r="I608" s="105"/>
      <c r="J608" s="104">
        <f t="shared" si="1070"/>
        <v>0</v>
      </c>
      <c r="K608" s="104">
        <f t="shared" si="1071"/>
        <v>0</v>
      </c>
      <c r="L608" s="104">
        <f t="shared" si="1072"/>
        <v>0</v>
      </c>
      <c r="M608" s="104"/>
      <c r="N608" s="104"/>
      <c r="O608" s="104"/>
      <c r="P608" s="104"/>
      <c r="Q608" s="104">
        <f t="shared" si="1073"/>
        <v>0</v>
      </c>
      <c r="R608" s="104">
        <f t="shared" si="1075"/>
        <v>0</v>
      </c>
      <c r="S608" s="104">
        <f t="shared" ref="S608:S615" si="1076">Q608*5</f>
        <v>0</v>
      </c>
      <c r="T608" s="105"/>
      <c r="U608" s="100">
        <f t="shared" si="1064"/>
        <v>0</v>
      </c>
      <c r="V608" s="130"/>
      <c r="W608" s="134">
        <f t="shared" si="1065"/>
        <v>0</v>
      </c>
      <c r="X608" s="106"/>
      <c r="Y608" s="106">
        <f t="shared" si="1066"/>
        <v>0</v>
      </c>
      <c r="Z608" s="106">
        <f t="shared" si="1074"/>
        <v>0</v>
      </c>
      <c r="AA608" s="106">
        <f t="shared" si="1067"/>
        <v>0</v>
      </c>
      <c r="AB608" s="106">
        <f t="shared" si="1068"/>
        <v>0</v>
      </c>
      <c r="AC608" s="107">
        <f t="shared" si="1069"/>
        <v>0</v>
      </c>
    </row>
    <row r="609" spans="1:29" s="82" customFormat="1" ht="14.25" customHeight="1">
      <c r="A609" s="1274"/>
      <c r="B609" s="97"/>
      <c r="C609" s="98"/>
      <c r="D609" s="98"/>
      <c r="E609" s="102" t="s">
        <v>393</v>
      </c>
      <c r="F609" s="104"/>
      <c r="G609" s="104"/>
      <c r="H609" s="104"/>
      <c r="I609" s="105"/>
      <c r="J609" s="104">
        <f t="shared" si="1070"/>
        <v>0</v>
      </c>
      <c r="K609" s="104">
        <f t="shared" si="1071"/>
        <v>0</v>
      </c>
      <c r="L609" s="104">
        <f t="shared" si="1072"/>
        <v>0</v>
      </c>
      <c r="M609" s="104"/>
      <c r="N609" s="104"/>
      <c r="O609" s="104"/>
      <c r="P609" s="104"/>
      <c r="Q609" s="104">
        <f t="shared" si="1073"/>
        <v>0</v>
      </c>
      <c r="R609" s="104">
        <f t="shared" si="1075"/>
        <v>0</v>
      </c>
      <c r="S609" s="104">
        <f t="shared" si="1076"/>
        <v>0</v>
      </c>
      <c r="T609" s="105"/>
      <c r="U609" s="100">
        <f t="shared" si="1064"/>
        <v>0</v>
      </c>
      <c r="V609" s="130"/>
      <c r="W609" s="134">
        <f t="shared" si="1065"/>
        <v>0</v>
      </c>
      <c r="X609" s="106"/>
      <c r="Y609" s="106">
        <f t="shared" si="1066"/>
        <v>0</v>
      </c>
      <c r="Z609" s="106">
        <f t="shared" si="1074"/>
        <v>0</v>
      </c>
      <c r="AA609" s="106">
        <f t="shared" si="1067"/>
        <v>0</v>
      </c>
      <c r="AB609" s="106">
        <f t="shared" si="1068"/>
        <v>0</v>
      </c>
      <c r="AC609" s="107">
        <f t="shared" si="1069"/>
        <v>0</v>
      </c>
    </row>
    <row r="610" spans="1:29" s="82" customFormat="1" ht="14.25" customHeight="1">
      <c r="A610" s="1274"/>
      <c r="B610" s="97"/>
      <c r="C610" s="98"/>
      <c r="D610" s="98"/>
      <c r="E610" s="102" t="s">
        <v>394</v>
      </c>
      <c r="F610" s="104"/>
      <c r="G610" s="104"/>
      <c r="H610" s="104"/>
      <c r="I610" s="105"/>
      <c r="J610" s="104">
        <f t="shared" si="1070"/>
        <v>0</v>
      </c>
      <c r="K610" s="104">
        <f t="shared" si="1071"/>
        <v>0</v>
      </c>
      <c r="L610" s="104">
        <f t="shared" si="1072"/>
        <v>0</v>
      </c>
      <c r="M610" s="104"/>
      <c r="N610" s="104"/>
      <c r="O610" s="104"/>
      <c r="P610" s="104"/>
      <c r="Q610" s="104">
        <f t="shared" si="1073"/>
        <v>0</v>
      </c>
      <c r="R610" s="104">
        <f t="shared" si="1075"/>
        <v>0</v>
      </c>
      <c r="S610" s="104">
        <f t="shared" si="1076"/>
        <v>0</v>
      </c>
      <c r="T610" s="105"/>
      <c r="U610" s="100">
        <f t="shared" si="1064"/>
        <v>0</v>
      </c>
      <c r="V610" s="130"/>
      <c r="W610" s="134">
        <f t="shared" si="1065"/>
        <v>0</v>
      </c>
      <c r="X610" s="106"/>
      <c r="Y610" s="106">
        <f t="shared" si="1066"/>
        <v>0</v>
      </c>
      <c r="Z610" s="106">
        <f t="shared" si="1074"/>
        <v>0</v>
      </c>
      <c r="AA610" s="106">
        <f t="shared" si="1067"/>
        <v>0</v>
      </c>
      <c r="AB610" s="106">
        <f t="shared" si="1068"/>
        <v>0</v>
      </c>
      <c r="AC610" s="107">
        <f t="shared" si="1069"/>
        <v>0</v>
      </c>
    </row>
    <row r="611" spans="1:29" s="82" customFormat="1" ht="14.25" customHeight="1">
      <c r="A611" s="1274"/>
      <c r="B611" s="97"/>
      <c r="C611" s="98"/>
      <c r="D611" s="98"/>
      <c r="E611" s="102" t="s">
        <v>279</v>
      </c>
      <c r="F611" s="104"/>
      <c r="G611" s="104"/>
      <c r="H611" s="103"/>
      <c r="I611" s="105"/>
      <c r="J611" s="104">
        <f t="shared" si="1070"/>
        <v>0</v>
      </c>
      <c r="K611" s="104">
        <f t="shared" si="1071"/>
        <v>0</v>
      </c>
      <c r="L611" s="104">
        <f t="shared" si="1072"/>
        <v>0</v>
      </c>
      <c r="M611" s="104"/>
      <c r="N611" s="104"/>
      <c r="O611" s="104"/>
      <c r="P611" s="104"/>
      <c r="Q611" s="104">
        <f t="shared" si="1073"/>
        <v>0</v>
      </c>
      <c r="R611" s="104">
        <f t="shared" si="1075"/>
        <v>0</v>
      </c>
      <c r="S611" s="104">
        <f t="shared" si="1076"/>
        <v>0</v>
      </c>
      <c r="T611" s="105"/>
      <c r="U611" s="100">
        <f t="shared" si="1064"/>
        <v>0</v>
      </c>
      <c r="V611" s="130"/>
      <c r="W611" s="134">
        <f t="shared" si="1065"/>
        <v>0</v>
      </c>
      <c r="X611" s="106"/>
      <c r="Y611" s="106">
        <f t="shared" si="1066"/>
        <v>0</v>
      </c>
      <c r="Z611" s="106">
        <f t="shared" si="1074"/>
        <v>0</v>
      </c>
      <c r="AA611" s="106">
        <f t="shared" si="1067"/>
        <v>0</v>
      </c>
      <c r="AB611" s="106">
        <f t="shared" si="1068"/>
        <v>0</v>
      </c>
      <c r="AC611" s="107">
        <f t="shared" si="1069"/>
        <v>0</v>
      </c>
    </row>
    <row r="612" spans="1:29" s="82" customFormat="1" ht="14.25" customHeight="1">
      <c r="A612" s="1274"/>
      <c r="B612" s="97"/>
      <c r="C612" s="98"/>
      <c r="D612" s="98"/>
      <c r="E612" s="102" t="s">
        <v>280</v>
      </c>
      <c r="F612" s="104"/>
      <c r="G612" s="104"/>
      <c r="H612" s="104"/>
      <c r="I612" s="105"/>
      <c r="J612" s="104">
        <f t="shared" si="1070"/>
        <v>0</v>
      </c>
      <c r="K612" s="104">
        <f t="shared" si="1071"/>
        <v>0</v>
      </c>
      <c r="L612" s="104">
        <f t="shared" si="1072"/>
        <v>0</v>
      </c>
      <c r="M612" s="104"/>
      <c r="N612" s="104"/>
      <c r="O612" s="104"/>
      <c r="P612" s="104"/>
      <c r="Q612" s="104">
        <f t="shared" si="1073"/>
        <v>0</v>
      </c>
      <c r="R612" s="104">
        <f t="shared" si="1075"/>
        <v>0</v>
      </c>
      <c r="S612" s="104">
        <f t="shared" si="1076"/>
        <v>0</v>
      </c>
      <c r="T612" s="105"/>
      <c r="U612" s="100">
        <f t="shared" si="1064"/>
        <v>0</v>
      </c>
      <c r="V612" s="130"/>
      <c r="W612" s="134">
        <f t="shared" si="1065"/>
        <v>0</v>
      </c>
      <c r="X612" s="106"/>
      <c r="Y612" s="106">
        <f t="shared" si="1066"/>
        <v>0</v>
      </c>
      <c r="Z612" s="106">
        <f t="shared" si="1074"/>
        <v>0</v>
      </c>
      <c r="AA612" s="106">
        <f t="shared" si="1067"/>
        <v>0</v>
      </c>
      <c r="AB612" s="106">
        <f t="shared" si="1068"/>
        <v>0</v>
      </c>
      <c r="AC612" s="107">
        <f t="shared" si="1069"/>
        <v>0</v>
      </c>
    </row>
    <row r="613" spans="1:29" s="82" customFormat="1" ht="14.25" customHeight="1">
      <c r="A613" s="1274"/>
      <c r="B613" s="97"/>
      <c r="C613" s="98"/>
      <c r="D613" s="98"/>
      <c r="E613" s="102" t="s">
        <v>54</v>
      </c>
      <c r="F613" s="104"/>
      <c r="G613" s="104"/>
      <c r="H613" s="104"/>
      <c r="I613" s="105"/>
      <c r="J613" s="104">
        <f t="shared" si="1070"/>
        <v>0</v>
      </c>
      <c r="K613" s="104">
        <f t="shared" si="1071"/>
        <v>0</v>
      </c>
      <c r="L613" s="104">
        <f t="shared" si="1072"/>
        <v>0</v>
      </c>
      <c r="M613" s="104">
        <f t="shared" ref="M613" si="1077">F613*60%</f>
        <v>0</v>
      </c>
      <c r="N613" s="104"/>
      <c r="O613" s="104"/>
      <c r="P613" s="104"/>
      <c r="Q613" s="104">
        <f t="shared" si="1073"/>
        <v>0</v>
      </c>
      <c r="R613" s="104">
        <f t="shared" si="1075"/>
        <v>0</v>
      </c>
      <c r="S613" s="104">
        <f t="shared" si="1076"/>
        <v>0</v>
      </c>
      <c r="T613" s="105"/>
      <c r="U613" s="100">
        <f t="shared" si="1064"/>
        <v>0</v>
      </c>
      <c r="V613" s="130"/>
      <c r="W613" s="134">
        <f t="shared" si="1065"/>
        <v>0</v>
      </c>
      <c r="X613" s="106"/>
      <c r="Y613" s="106">
        <f t="shared" si="1066"/>
        <v>0</v>
      </c>
      <c r="Z613" s="106">
        <f t="shared" si="1074"/>
        <v>0</v>
      </c>
      <c r="AA613" s="106">
        <f t="shared" si="1067"/>
        <v>0</v>
      </c>
      <c r="AB613" s="106">
        <f t="shared" si="1068"/>
        <v>0</v>
      </c>
      <c r="AC613" s="107">
        <f t="shared" si="1069"/>
        <v>0</v>
      </c>
    </row>
    <row r="614" spans="1:29" s="82" customFormat="1" ht="14.25" customHeight="1">
      <c r="A614" s="1274"/>
      <c r="B614" s="97"/>
      <c r="C614" s="171">
        <v>5</v>
      </c>
      <c r="D614" s="171"/>
      <c r="E614" s="172" t="s">
        <v>55</v>
      </c>
      <c r="F614" s="104"/>
      <c r="G614" s="104"/>
      <c r="H614" s="104"/>
      <c r="I614" s="105"/>
      <c r="J614" s="104">
        <f t="shared" si="1070"/>
        <v>0</v>
      </c>
      <c r="K614" s="104">
        <f t="shared" si="1071"/>
        <v>0</v>
      </c>
      <c r="L614" s="104">
        <f t="shared" si="1072"/>
        <v>0</v>
      </c>
      <c r="M614" s="104"/>
      <c r="N614" s="104"/>
      <c r="O614" s="104"/>
      <c r="P614" s="104"/>
      <c r="Q614" s="104">
        <f t="shared" si="1073"/>
        <v>0</v>
      </c>
      <c r="R614" s="104">
        <f t="shared" si="1075"/>
        <v>0</v>
      </c>
      <c r="S614" s="104">
        <f t="shared" si="1076"/>
        <v>0</v>
      </c>
      <c r="T614" s="105"/>
      <c r="U614" s="100">
        <f t="shared" si="1064"/>
        <v>0</v>
      </c>
      <c r="V614" s="130"/>
      <c r="W614" s="134">
        <f t="shared" si="1065"/>
        <v>0</v>
      </c>
      <c r="X614" s="106"/>
      <c r="Y614" s="106">
        <f t="shared" si="1066"/>
        <v>0</v>
      </c>
      <c r="Z614" s="106">
        <f t="shared" si="1074"/>
        <v>0</v>
      </c>
      <c r="AA614" s="106">
        <f t="shared" si="1067"/>
        <v>0</v>
      </c>
      <c r="AB614" s="106">
        <f t="shared" si="1068"/>
        <v>0</v>
      </c>
      <c r="AC614" s="107">
        <f t="shared" si="1069"/>
        <v>0</v>
      </c>
    </row>
    <row r="615" spans="1:29" s="82" customFormat="1" ht="14.25" customHeight="1">
      <c r="A615" s="1274"/>
      <c r="B615" s="97"/>
      <c r="C615" s="98"/>
      <c r="D615" s="98"/>
      <c r="E615" s="102" t="s">
        <v>56</v>
      </c>
      <c r="F615" s="104"/>
      <c r="G615" s="104"/>
      <c r="H615" s="104"/>
      <c r="I615" s="105"/>
      <c r="J615" s="104">
        <f t="shared" si="1070"/>
        <v>0</v>
      </c>
      <c r="K615" s="104">
        <f t="shared" si="1071"/>
        <v>0</v>
      </c>
      <c r="L615" s="104">
        <f t="shared" si="1072"/>
        <v>0</v>
      </c>
      <c r="M615" s="104"/>
      <c r="N615" s="104"/>
      <c r="O615" s="104"/>
      <c r="P615" s="104"/>
      <c r="Q615" s="104">
        <f t="shared" si="1073"/>
        <v>0</v>
      </c>
      <c r="R615" s="104">
        <f t="shared" si="1075"/>
        <v>0</v>
      </c>
      <c r="S615" s="104">
        <f t="shared" si="1076"/>
        <v>0</v>
      </c>
      <c r="T615" s="105"/>
      <c r="U615" s="100">
        <f t="shared" si="1064"/>
        <v>0</v>
      </c>
      <c r="V615" s="130"/>
      <c r="W615" s="134">
        <f t="shared" si="1065"/>
        <v>0</v>
      </c>
      <c r="X615" s="106"/>
      <c r="Y615" s="106">
        <f t="shared" si="1066"/>
        <v>0</v>
      </c>
      <c r="Z615" s="106">
        <f t="shared" si="1074"/>
        <v>0</v>
      </c>
      <c r="AA615" s="106">
        <f t="shared" si="1067"/>
        <v>0</v>
      </c>
      <c r="AB615" s="106">
        <f t="shared" si="1068"/>
        <v>0</v>
      </c>
      <c r="AC615" s="107">
        <f t="shared" si="1069"/>
        <v>0</v>
      </c>
    </row>
    <row r="616" spans="1:29" s="82" customFormat="1" ht="14.25" customHeight="1">
      <c r="A616" s="1272"/>
      <c r="B616" s="97"/>
      <c r="C616" s="98"/>
      <c r="D616" s="98"/>
      <c r="E616" s="102" t="s">
        <v>395</v>
      </c>
      <c r="F616" s="104"/>
      <c r="G616" s="104"/>
      <c r="H616" s="104"/>
      <c r="I616" s="105"/>
      <c r="J616" s="104">
        <f t="shared" si="1070"/>
        <v>0</v>
      </c>
      <c r="K616" s="104">
        <f t="shared" ref="K616" si="1078">J616*25*2</f>
        <v>0</v>
      </c>
      <c r="L616" s="104">
        <f t="shared" si="1072"/>
        <v>0</v>
      </c>
      <c r="M616" s="104"/>
      <c r="N616" s="104"/>
      <c r="O616" s="104"/>
      <c r="P616" s="104"/>
      <c r="Q616" s="104">
        <f t="shared" si="1073"/>
        <v>0</v>
      </c>
      <c r="R616" s="104">
        <f>Q616*20*2</f>
        <v>0</v>
      </c>
      <c r="S616" s="104">
        <f>Q616*5*2</f>
        <v>0</v>
      </c>
      <c r="T616" s="105"/>
      <c r="U616" s="100">
        <f t="shared" si="1064"/>
        <v>0</v>
      </c>
      <c r="V616" s="130"/>
      <c r="W616" s="134">
        <f t="shared" si="1065"/>
        <v>0</v>
      </c>
      <c r="X616" s="106"/>
      <c r="Y616" s="106">
        <f t="shared" si="1066"/>
        <v>0</v>
      </c>
      <c r="Z616" s="106">
        <f t="shared" si="1074"/>
        <v>0</v>
      </c>
      <c r="AA616" s="106">
        <f t="shared" si="1067"/>
        <v>0</v>
      </c>
      <c r="AB616" s="106">
        <f t="shared" si="1068"/>
        <v>0</v>
      </c>
      <c r="AC616" s="107">
        <f t="shared" si="1069"/>
        <v>0</v>
      </c>
    </row>
    <row r="617" spans="1:29" s="82" customFormat="1" ht="16.5" customHeight="1">
      <c r="A617" s="1267">
        <v>48</v>
      </c>
      <c r="B617" s="97" t="s">
        <v>838</v>
      </c>
      <c r="C617" s="98">
        <v>1</v>
      </c>
      <c r="D617" s="98">
        <v>1</v>
      </c>
      <c r="E617" s="99" t="s">
        <v>86</v>
      </c>
      <c r="F617" s="100">
        <f t="shared" ref="F617" si="1079">SUM(F618:F629)</f>
        <v>0</v>
      </c>
      <c r="G617" s="100">
        <f t="shared" ref="G617:L617" si="1080">SUM(G618:G629)</f>
        <v>0</v>
      </c>
      <c r="H617" s="100">
        <f t="shared" si="1080"/>
        <v>0</v>
      </c>
      <c r="I617" s="100">
        <f t="shared" ref="I617" si="1081">SUM(I618:I629)</f>
        <v>0</v>
      </c>
      <c r="J617" s="100">
        <f t="shared" si="1080"/>
        <v>0</v>
      </c>
      <c r="K617" s="100">
        <f t="shared" si="1080"/>
        <v>0</v>
      </c>
      <c r="L617" s="100">
        <f t="shared" si="1080"/>
        <v>0</v>
      </c>
      <c r="M617" s="100">
        <f>SUM(M618:M629)</f>
        <v>0</v>
      </c>
      <c r="N617" s="100">
        <f>SUM(N618:N629)</f>
        <v>0</v>
      </c>
      <c r="O617" s="100">
        <f t="shared" ref="O617" si="1082">SUM(O618:O629)</f>
        <v>0</v>
      </c>
      <c r="P617" s="100"/>
      <c r="Q617" s="100"/>
      <c r="R617" s="100">
        <f>SUM(R618:R629)</f>
        <v>0</v>
      </c>
      <c r="S617" s="100">
        <f>SUM(S618:S629)</f>
        <v>0</v>
      </c>
      <c r="T617" s="100"/>
      <c r="U617" s="100"/>
      <c r="V617" s="130"/>
      <c r="W617" s="143">
        <f t="shared" ref="W617:AB617" si="1083">SUM(W618:W629)</f>
        <v>0</v>
      </c>
      <c r="X617" s="100">
        <f t="shared" si="1083"/>
        <v>0</v>
      </c>
      <c r="Y617" s="100">
        <f t="shared" si="1083"/>
        <v>0</v>
      </c>
      <c r="Z617" s="100">
        <f t="shared" si="1083"/>
        <v>0</v>
      </c>
      <c r="AA617" s="100">
        <f t="shared" si="1083"/>
        <v>0</v>
      </c>
      <c r="AB617" s="100">
        <f t="shared" si="1083"/>
        <v>0</v>
      </c>
      <c r="AC617" s="101">
        <f>SUM(AC618:AC629)</f>
        <v>0</v>
      </c>
    </row>
    <row r="618" spans="1:29" s="82" customFormat="1" ht="16.5" customHeight="1">
      <c r="A618" s="1267"/>
      <c r="B618" s="122" t="s">
        <v>839</v>
      </c>
      <c r="C618" s="175">
        <v>1</v>
      </c>
      <c r="D618" s="175"/>
      <c r="E618" s="176" t="s">
        <v>273</v>
      </c>
      <c r="F618" s="173"/>
      <c r="G618" s="125"/>
      <c r="H618" s="124"/>
      <c r="I618" s="105"/>
      <c r="J618" s="125"/>
      <c r="K618" s="125"/>
      <c r="L618" s="125"/>
      <c r="M618" s="125"/>
      <c r="N618" s="125"/>
      <c r="O618" s="104"/>
      <c r="P618" s="125"/>
      <c r="Q618" s="125"/>
      <c r="R618" s="125"/>
      <c r="S618" s="125"/>
      <c r="T618" s="105"/>
      <c r="U618" s="100">
        <f t="shared" ref="U618" si="1084">SUM(F618,M618,O618,R618,T618,S618)</f>
        <v>0</v>
      </c>
      <c r="V618" s="133"/>
      <c r="W618" s="134"/>
      <c r="X618" s="106"/>
      <c r="Y618" s="106"/>
      <c r="Z618" s="106"/>
      <c r="AA618" s="106"/>
      <c r="AB618" s="106"/>
      <c r="AC618" s="107">
        <f t="shared" ref="AC618" si="1085">SUM(W618:AB618)</f>
        <v>0</v>
      </c>
    </row>
    <row r="619" spans="1:29" s="82" customFormat="1" ht="16.5" customHeight="1">
      <c r="A619" s="1267"/>
      <c r="B619" s="97"/>
      <c r="C619" s="98"/>
      <c r="D619" s="98"/>
      <c r="E619" s="102" t="s">
        <v>274</v>
      </c>
      <c r="F619" s="104"/>
      <c r="G619" s="104"/>
      <c r="H619" s="104"/>
      <c r="I619" s="105"/>
      <c r="J619" s="104"/>
      <c r="K619" s="104"/>
      <c r="L619" s="104"/>
      <c r="M619" s="104"/>
      <c r="N619" s="104"/>
      <c r="O619" s="104"/>
      <c r="P619" s="104"/>
      <c r="Q619" s="104"/>
      <c r="R619" s="104"/>
      <c r="S619" s="104"/>
      <c r="T619" s="105"/>
      <c r="U619" s="100">
        <f t="shared" ref="U619:U655" si="1086">SUM(F619,M619,O619,R619,T619,S619)</f>
        <v>0</v>
      </c>
      <c r="V619" s="130"/>
      <c r="W619" s="134"/>
      <c r="X619" s="106"/>
      <c r="Y619" s="106"/>
      <c r="Z619" s="106"/>
      <c r="AA619" s="106"/>
      <c r="AB619" s="106"/>
      <c r="AC619" s="107"/>
    </row>
    <row r="620" spans="1:29" s="82" customFormat="1" ht="16.5" customHeight="1">
      <c r="A620" s="1267"/>
      <c r="B620" s="97"/>
      <c r="C620" s="98"/>
      <c r="D620" s="98"/>
      <c r="E620" s="102" t="s">
        <v>275</v>
      </c>
      <c r="F620" s="104"/>
      <c r="G620" s="104"/>
      <c r="H620" s="104"/>
      <c r="I620" s="105"/>
      <c r="J620" s="104"/>
      <c r="K620" s="104"/>
      <c r="L620" s="104"/>
      <c r="M620" s="104"/>
      <c r="N620" s="104"/>
      <c r="O620" s="104"/>
      <c r="P620" s="104"/>
      <c r="Q620" s="104"/>
      <c r="R620" s="104"/>
      <c r="S620" s="104"/>
      <c r="T620" s="105"/>
      <c r="U620" s="100">
        <f t="shared" si="1086"/>
        <v>0</v>
      </c>
      <c r="V620" s="130"/>
      <c r="W620" s="134"/>
      <c r="X620" s="106"/>
      <c r="Y620" s="106"/>
      <c r="Z620" s="106"/>
      <c r="AA620" s="106"/>
      <c r="AB620" s="106"/>
      <c r="AC620" s="107"/>
    </row>
    <row r="621" spans="1:29" s="82" customFormat="1" ht="16.5" customHeight="1">
      <c r="A621" s="1267"/>
      <c r="B621" s="97"/>
      <c r="C621" s="98"/>
      <c r="D621" s="98"/>
      <c r="E621" s="102" t="s">
        <v>276</v>
      </c>
      <c r="F621" s="173"/>
      <c r="G621" s="104"/>
      <c r="H621" s="104"/>
      <c r="I621" s="105"/>
      <c r="J621" s="104"/>
      <c r="K621" s="104"/>
      <c r="L621" s="104"/>
      <c r="M621" s="104"/>
      <c r="N621" s="104"/>
      <c r="O621" s="104"/>
      <c r="P621" s="104"/>
      <c r="Q621" s="104"/>
      <c r="R621" s="104"/>
      <c r="S621" s="104"/>
      <c r="T621" s="105"/>
      <c r="U621" s="100">
        <f t="shared" si="1086"/>
        <v>0</v>
      </c>
      <c r="V621" s="130"/>
      <c r="W621" s="134"/>
      <c r="X621" s="106"/>
      <c r="Y621" s="106"/>
      <c r="Z621" s="106"/>
      <c r="AA621" s="106"/>
      <c r="AB621" s="106"/>
      <c r="AC621" s="107"/>
    </row>
    <row r="622" spans="1:29" s="82" customFormat="1" ht="16.5" customHeight="1">
      <c r="A622" s="1267"/>
      <c r="B622" s="97"/>
      <c r="C622" s="98"/>
      <c r="D622" s="98"/>
      <c r="E622" s="102" t="s">
        <v>277</v>
      </c>
      <c r="F622" s="104"/>
      <c r="G622" s="104"/>
      <c r="H622" s="104"/>
      <c r="I622" s="105"/>
      <c r="J622" s="104"/>
      <c r="K622" s="104"/>
      <c r="L622" s="104"/>
      <c r="M622" s="104"/>
      <c r="N622" s="104"/>
      <c r="O622" s="104"/>
      <c r="P622" s="104"/>
      <c r="Q622" s="104"/>
      <c r="R622" s="104"/>
      <c r="S622" s="104"/>
      <c r="T622" s="105"/>
      <c r="U622" s="100">
        <f t="shared" si="1086"/>
        <v>0</v>
      </c>
      <c r="V622" s="130"/>
      <c r="W622" s="134"/>
      <c r="X622" s="106"/>
      <c r="Y622" s="106"/>
      <c r="Z622" s="106"/>
      <c r="AA622" s="106"/>
      <c r="AB622" s="106"/>
      <c r="AC622" s="107"/>
    </row>
    <row r="623" spans="1:29" s="82" customFormat="1" ht="16.5" customHeight="1">
      <c r="A623" s="1267"/>
      <c r="B623" s="97"/>
      <c r="C623" s="98"/>
      <c r="D623" s="98"/>
      <c r="E623" s="102" t="s">
        <v>278</v>
      </c>
      <c r="F623" s="104"/>
      <c r="G623" s="104"/>
      <c r="H623" s="104"/>
      <c r="I623" s="105"/>
      <c r="J623" s="104"/>
      <c r="K623" s="104"/>
      <c r="L623" s="104"/>
      <c r="M623" s="104"/>
      <c r="N623" s="104"/>
      <c r="O623" s="104"/>
      <c r="P623" s="104"/>
      <c r="Q623" s="104"/>
      <c r="R623" s="104"/>
      <c r="S623" s="104"/>
      <c r="T623" s="105"/>
      <c r="U623" s="100">
        <f t="shared" si="1086"/>
        <v>0</v>
      </c>
      <c r="V623" s="130"/>
      <c r="W623" s="134"/>
      <c r="X623" s="106"/>
      <c r="Y623" s="106"/>
      <c r="Z623" s="106"/>
      <c r="AA623" s="106"/>
      <c r="AB623" s="106"/>
      <c r="AC623" s="107"/>
    </row>
    <row r="624" spans="1:29" s="82" customFormat="1" ht="16.5" customHeight="1">
      <c r="A624" s="1267"/>
      <c r="B624" s="97"/>
      <c r="C624" s="98"/>
      <c r="D624" s="98"/>
      <c r="E624" s="102" t="s">
        <v>279</v>
      </c>
      <c r="F624" s="104"/>
      <c r="G624" s="104"/>
      <c r="H624" s="103"/>
      <c r="I624" s="105"/>
      <c r="J624" s="104"/>
      <c r="K624" s="104"/>
      <c r="L624" s="104"/>
      <c r="M624" s="104"/>
      <c r="N624" s="104"/>
      <c r="O624" s="104"/>
      <c r="P624" s="104"/>
      <c r="Q624" s="104"/>
      <c r="R624" s="104"/>
      <c r="S624" s="104"/>
      <c r="T624" s="105"/>
      <c r="U624" s="100">
        <f t="shared" si="1086"/>
        <v>0</v>
      </c>
      <c r="V624" s="130"/>
      <c r="W624" s="134"/>
      <c r="X624" s="106"/>
      <c r="Y624" s="106"/>
      <c r="Z624" s="106"/>
      <c r="AA624" s="106"/>
      <c r="AB624" s="106"/>
      <c r="AC624" s="107"/>
    </row>
    <row r="625" spans="1:29" s="82" customFormat="1" ht="16.5" customHeight="1">
      <c r="A625" s="1267"/>
      <c r="B625" s="97"/>
      <c r="C625" s="98"/>
      <c r="D625" s="98"/>
      <c r="E625" s="102" t="s">
        <v>280</v>
      </c>
      <c r="F625" s="104"/>
      <c r="G625" s="104"/>
      <c r="H625" s="104"/>
      <c r="I625" s="105"/>
      <c r="J625" s="104"/>
      <c r="K625" s="104"/>
      <c r="L625" s="104"/>
      <c r="M625" s="104"/>
      <c r="N625" s="104"/>
      <c r="O625" s="104"/>
      <c r="P625" s="104"/>
      <c r="Q625" s="104"/>
      <c r="R625" s="104"/>
      <c r="S625" s="104"/>
      <c r="T625" s="105"/>
      <c r="U625" s="100">
        <f t="shared" si="1086"/>
        <v>0</v>
      </c>
      <c r="V625" s="130"/>
      <c r="W625" s="134"/>
      <c r="X625" s="106"/>
      <c r="Y625" s="106"/>
      <c r="Z625" s="106"/>
      <c r="AA625" s="106"/>
      <c r="AB625" s="106"/>
      <c r="AC625" s="107"/>
    </row>
    <row r="626" spans="1:29" s="82" customFormat="1" ht="16.5" customHeight="1">
      <c r="A626" s="1267"/>
      <c r="B626" s="97"/>
      <c r="C626" s="98"/>
      <c r="D626" s="98"/>
      <c r="E626" s="102" t="s">
        <v>54</v>
      </c>
      <c r="F626" s="104"/>
      <c r="G626" s="104"/>
      <c r="H626" s="104"/>
      <c r="I626" s="105"/>
      <c r="J626" s="104"/>
      <c r="K626" s="104"/>
      <c r="L626" s="104"/>
      <c r="M626" s="104"/>
      <c r="N626" s="104"/>
      <c r="O626" s="104"/>
      <c r="P626" s="104"/>
      <c r="Q626" s="104"/>
      <c r="R626" s="104"/>
      <c r="S626" s="104"/>
      <c r="T626" s="105"/>
      <c r="U626" s="100">
        <f t="shared" si="1086"/>
        <v>0</v>
      </c>
      <c r="V626" s="130"/>
      <c r="W626" s="134"/>
      <c r="X626" s="106"/>
      <c r="Y626" s="106"/>
      <c r="Z626" s="106"/>
      <c r="AA626" s="106"/>
      <c r="AB626" s="106"/>
      <c r="AC626" s="107"/>
    </row>
    <row r="627" spans="1:29" s="82" customFormat="1" ht="16.5" customHeight="1">
      <c r="A627" s="1267"/>
      <c r="B627" s="97"/>
      <c r="C627" s="98"/>
      <c r="D627" s="98"/>
      <c r="E627" s="102" t="s">
        <v>55</v>
      </c>
      <c r="F627" s="104"/>
      <c r="G627" s="104"/>
      <c r="H627" s="104"/>
      <c r="I627" s="105"/>
      <c r="J627" s="104"/>
      <c r="K627" s="104"/>
      <c r="L627" s="104"/>
      <c r="M627" s="104"/>
      <c r="N627" s="104"/>
      <c r="O627" s="104"/>
      <c r="P627" s="104"/>
      <c r="Q627" s="104"/>
      <c r="R627" s="104"/>
      <c r="S627" s="104"/>
      <c r="T627" s="105"/>
      <c r="U627" s="100">
        <f t="shared" si="1086"/>
        <v>0</v>
      </c>
      <c r="V627" s="130"/>
      <c r="W627" s="134"/>
      <c r="X627" s="106"/>
      <c r="Y627" s="106"/>
      <c r="Z627" s="106"/>
      <c r="AA627" s="106"/>
      <c r="AB627" s="106"/>
      <c r="AC627" s="107"/>
    </row>
    <row r="628" spans="1:29" s="82" customFormat="1" ht="16.5" customHeight="1">
      <c r="A628" s="1267"/>
      <c r="B628" s="97"/>
      <c r="C628" s="98"/>
      <c r="D628" s="98"/>
      <c r="E628" s="102" t="s">
        <v>56</v>
      </c>
      <c r="F628" s="104"/>
      <c r="G628" s="104"/>
      <c r="H628" s="104"/>
      <c r="I628" s="105"/>
      <c r="J628" s="104"/>
      <c r="K628" s="104"/>
      <c r="L628" s="104"/>
      <c r="M628" s="104"/>
      <c r="N628" s="104"/>
      <c r="O628" s="104"/>
      <c r="P628" s="104"/>
      <c r="Q628" s="104"/>
      <c r="R628" s="104"/>
      <c r="S628" s="104"/>
      <c r="T628" s="105"/>
      <c r="U628" s="100">
        <f t="shared" si="1086"/>
        <v>0</v>
      </c>
      <c r="V628" s="130"/>
      <c r="W628" s="134"/>
      <c r="X628" s="106"/>
      <c r="Y628" s="106"/>
      <c r="Z628" s="106"/>
      <c r="AA628" s="106"/>
      <c r="AB628" s="106"/>
      <c r="AC628" s="107"/>
    </row>
    <row r="629" spans="1:29" s="82" customFormat="1" ht="16.5" customHeight="1">
      <c r="A629" s="1267"/>
      <c r="B629" s="97"/>
      <c r="C629" s="98"/>
      <c r="D629" s="98"/>
      <c r="E629" s="102" t="s">
        <v>281</v>
      </c>
      <c r="F629" s="104"/>
      <c r="G629" s="104"/>
      <c r="H629" s="104"/>
      <c r="I629" s="105"/>
      <c r="J629" s="104"/>
      <c r="K629" s="104"/>
      <c r="L629" s="104"/>
      <c r="M629" s="104"/>
      <c r="N629" s="104"/>
      <c r="O629" s="104"/>
      <c r="P629" s="104"/>
      <c r="Q629" s="104"/>
      <c r="R629" s="104"/>
      <c r="S629" s="104"/>
      <c r="T629" s="105"/>
      <c r="U629" s="100">
        <f t="shared" si="1086"/>
        <v>0</v>
      </c>
      <c r="V629" s="130"/>
      <c r="W629" s="134"/>
      <c r="X629" s="106"/>
      <c r="Y629" s="106"/>
      <c r="Z629" s="106"/>
      <c r="AA629" s="106"/>
      <c r="AB629" s="106"/>
      <c r="AC629" s="107"/>
    </row>
    <row r="630" spans="1:29" s="82" customFormat="1" ht="16.5" customHeight="1">
      <c r="A630" s="1267"/>
      <c r="B630" s="97"/>
      <c r="C630" s="98"/>
      <c r="D630" s="98"/>
      <c r="E630" s="99"/>
      <c r="F630" s="100">
        <f t="shared" ref="F630" si="1087">SUM(F631:F642)</f>
        <v>0</v>
      </c>
      <c r="G630" s="100"/>
      <c r="H630" s="100"/>
      <c r="I630" s="100">
        <f t="shared" ref="I630" si="1088">SUM(I631:I642)</f>
        <v>0</v>
      </c>
      <c r="J630" s="100"/>
      <c r="K630" s="100"/>
      <c r="L630" s="100"/>
      <c r="M630" s="100"/>
      <c r="N630" s="100"/>
      <c r="O630" s="100">
        <f t="shared" ref="O630" si="1089">SUM(O631:O642)</f>
        <v>0</v>
      </c>
      <c r="P630" s="100"/>
      <c r="Q630" s="100"/>
      <c r="R630" s="100"/>
      <c r="S630" s="100"/>
      <c r="T630" s="100"/>
      <c r="U630" s="100">
        <f t="shared" ref="U630" si="1090">SUM(U631:U642)</f>
        <v>0</v>
      </c>
      <c r="V630" s="130"/>
      <c r="W630" s="143"/>
      <c r="X630" s="100"/>
      <c r="Y630" s="100">
        <f t="shared" ref="Y630" si="1091">SUM(Y631:Y642)</f>
        <v>0</v>
      </c>
      <c r="Z630" s="100"/>
      <c r="AA630" s="100"/>
      <c r="AB630" s="100"/>
      <c r="AC630" s="101"/>
    </row>
    <row r="631" spans="1:29" s="82" customFormat="1" ht="16.5" customHeight="1">
      <c r="A631" s="1267"/>
      <c r="B631" s="122"/>
      <c r="C631" s="123"/>
      <c r="D631" s="123"/>
      <c r="E631" s="132"/>
      <c r="F631" s="173"/>
      <c r="G631" s="125"/>
      <c r="H631" s="124"/>
      <c r="I631" s="105"/>
      <c r="J631" s="125"/>
      <c r="K631" s="125"/>
      <c r="L631" s="125"/>
      <c r="M631" s="125"/>
      <c r="N631" s="125"/>
      <c r="O631" s="104"/>
      <c r="P631" s="125"/>
      <c r="Q631" s="125"/>
      <c r="R631" s="125"/>
      <c r="S631" s="125"/>
      <c r="T631" s="105"/>
      <c r="U631" s="100">
        <f t="shared" ref="U631" si="1092">SUM(F631,M631,O631,R631,T631,S631)</f>
        <v>0</v>
      </c>
      <c r="V631" s="133"/>
      <c r="W631" s="134"/>
      <c r="X631" s="106"/>
      <c r="Y631" s="106">
        <f t="shared" ref="Y631:Y655" si="1093">ROUNDUP((U631-L631)*3.06%,-1)</f>
        <v>0</v>
      </c>
      <c r="Z631" s="106"/>
      <c r="AA631" s="106"/>
      <c r="AB631" s="106"/>
      <c r="AC631" s="107"/>
    </row>
    <row r="632" spans="1:29" s="82" customFormat="1" ht="16.5" customHeight="1">
      <c r="A632" s="1267"/>
      <c r="B632" s="97"/>
      <c r="C632" s="98"/>
      <c r="D632" s="98"/>
      <c r="E632" s="102"/>
      <c r="F632" s="104"/>
      <c r="G632" s="104"/>
      <c r="H632" s="104"/>
      <c r="I632" s="105"/>
      <c r="J632" s="104"/>
      <c r="K632" s="104"/>
      <c r="L632" s="104"/>
      <c r="M632" s="104"/>
      <c r="N632" s="104"/>
      <c r="O632" s="104"/>
      <c r="P632" s="104"/>
      <c r="Q632" s="104"/>
      <c r="R632" s="104"/>
      <c r="S632" s="104"/>
      <c r="T632" s="105"/>
      <c r="U632" s="100">
        <f t="shared" si="1086"/>
        <v>0</v>
      </c>
      <c r="V632" s="130"/>
      <c r="W632" s="134"/>
      <c r="X632" s="106"/>
      <c r="Y632" s="106">
        <f t="shared" si="1093"/>
        <v>0</v>
      </c>
      <c r="Z632" s="106"/>
      <c r="AA632" s="106"/>
      <c r="AB632" s="106"/>
      <c r="AC632" s="107"/>
    </row>
    <row r="633" spans="1:29" s="82" customFormat="1" ht="16.5" customHeight="1">
      <c r="A633" s="1267"/>
      <c r="B633" s="97"/>
      <c r="C633" s="98"/>
      <c r="D633" s="98"/>
      <c r="E633" s="102"/>
      <c r="F633" s="104"/>
      <c r="G633" s="104"/>
      <c r="H633" s="104"/>
      <c r="I633" s="105"/>
      <c r="J633" s="104"/>
      <c r="K633" s="104"/>
      <c r="L633" s="104"/>
      <c r="M633" s="104"/>
      <c r="N633" s="104"/>
      <c r="O633" s="104"/>
      <c r="P633" s="104"/>
      <c r="Q633" s="104"/>
      <c r="R633" s="104"/>
      <c r="S633" s="104"/>
      <c r="T633" s="105"/>
      <c r="U633" s="100">
        <f t="shared" si="1086"/>
        <v>0</v>
      </c>
      <c r="V633" s="130"/>
      <c r="W633" s="134"/>
      <c r="X633" s="106"/>
      <c r="Y633" s="106">
        <f t="shared" si="1093"/>
        <v>0</v>
      </c>
      <c r="Z633" s="106"/>
      <c r="AA633" s="106"/>
      <c r="AB633" s="106"/>
      <c r="AC633" s="107"/>
    </row>
    <row r="634" spans="1:29" s="82" customFormat="1" ht="16.5" customHeight="1">
      <c r="A634" s="1267"/>
      <c r="B634" s="97"/>
      <c r="C634" s="98"/>
      <c r="D634" s="98"/>
      <c r="E634" s="102"/>
      <c r="F634" s="173"/>
      <c r="G634" s="104"/>
      <c r="H634" s="104"/>
      <c r="I634" s="105"/>
      <c r="J634" s="104"/>
      <c r="K634" s="104"/>
      <c r="L634" s="104"/>
      <c r="M634" s="104"/>
      <c r="N634" s="104"/>
      <c r="O634" s="104"/>
      <c r="P634" s="104"/>
      <c r="Q634" s="104"/>
      <c r="R634" s="104"/>
      <c r="S634" s="104"/>
      <c r="T634" s="105"/>
      <c r="U634" s="100">
        <f t="shared" si="1086"/>
        <v>0</v>
      </c>
      <c r="V634" s="130"/>
      <c r="W634" s="134"/>
      <c r="X634" s="106"/>
      <c r="Y634" s="106">
        <f t="shared" si="1093"/>
        <v>0</v>
      </c>
      <c r="Z634" s="106"/>
      <c r="AA634" s="106"/>
      <c r="AB634" s="106"/>
      <c r="AC634" s="107"/>
    </row>
    <row r="635" spans="1:29" s="82" customFormat="1" ht="16.5" customHeight="1">
      <c r="A635" s="1267"/>
      <c r="B635" s="97"/>
      <c r="C635" s="98"/>
      <c r="D635" s="98"/>
      <c r="E635" s="102"/>
      <c r="F635" s="104"/>
      <c r="G635" s="104"/>
      <c r="H635" s="104"/>
      <c r="I635" s="105"/>
      <c r="J635" s="104"/>
      <c r="K635" s="104"/>
      <c r="L635" s="104"/>
      <c r="M635" s="104"/>
      <c r="N635" s="104"/>
      <c r="O635" s="104"/>
      <c r="P635" s="104"/>
      <c r="Q635" s="104"/>
      <c r="R635" s="104"/>
      <c r="S635" s="104"/>
      <c r="T635" s="105"/>
      <c r="U635" s="100">
        <f t="shared" si="1086"/>
        <v>0</v>
      </c>
      <c r="V635" s="130"/>
      <c r="W635" s="134"/>
      <c r="X635" s="106"/>
      <c r="Y635" s="106">
        <f t="shared" si="1093"/>
        <v>0</v>
      </c>
      <c r="Z635" s="106"/>
      <c r="AA635" s="106"/>
      <c r="AB635" s="106"/>
      <c r="AC635" s="107"/>
    </row>
    <row r="636" spans="1:29" s="82" customFormat="1" ht="16.5" customHeight="1">
      <c r="A636" s="1267"/>
      <c r="B636" s="97"/>
      <c r="C636" s="98"/>
      <c r="D636" s="98"/>
      <c r="E636" s="102"/>
      <c r="F636" s="104"/>
      <c r="G636" s="104"/>
      <c r="H636" s="104"/>
      <c r="I636" s="105"/>
      <c r="J636" s="104"/>
      <c r="K636" s="104"/>
      <c r="L636" s="104"/>
      <c r="M636" s="104"/>
      <c r="N636" s="104"/>
      <c r="O636" s="104"/>
      <c r="P636" s="104"/>
      <c r="Q636" s="104"/>
      <c r="R636" s="104"/>
      <c r="S636" s="104"/>
      <c r="T636" s="105"/>
      <c r="U636" s="100">
        <f t="shared" si="1086"/>
        <v>0</v>
      </c>
      <c r="V636" s="130"/>
      <c r="W636" s="134"/>
      <c r="X636" s="106"/>
      <c r="Y636" s="106">
        <f t="shared" si="1093"/>
        <v>0</v>
      </c>
      <c r="Z636" s="106"/>
      <c r="AA636" s="106"/>
      <c r="AB636" s="106"/>
      <c r="AC636" s="107"/>
    </row>
    <row r="637" spans="1:29" s="82" customFormat="1" ht="16.5" customHeight="1">
      <c r="A637" s="1267"/>
      <c r="B637" s="97"/>
      <c r="C637" s="98"/>
      <c r="D637" s="98"/>
      <c r="E637" s="102"/>
      <c r="F637" s="104"/>
      <c r="G637" s="104"/>
      <c r="H637" s="103"/>
      <c r="I637" s="105"/>
      <c r="J637" s="104"/>
      <c r="K637" s="104"/>
      <c r="L637" s="104"/>
      <c r="M637" s="104"/>
      <c r="N637" s="104"/>
      <c r="O637" s="104"/>
      <c r="P637" s="104"/>
      <c r="Q637" s="104"/>
      <c r="R637" s="104"/>
      <c r="S637" s="104"/>
      <c r="T637" s="105"/>
      <c r="U637" s="100">
        <f t="shared" si="1086"/>
        <v>0</v>
      </c>
      <c r="V637" s="130"/>
      <c r="W637" s="134"/>
      <c r="X637" s="106"/>
      <c r="Y637" s="106">
        <f t="shared" si="1093"/>
        <v>0</v>
      </c>
      <c r="Z637" s="106"/>
      <c r="AA637" s="106"/>
      <c r="AB637" s="106"/>
      <c r="AC637" s="107"/>
    </row>
    <row r="638" spans="1:29" s="82" customFormat="1" ht="16.5" customHeight="1">
      <c r="A638" s="1267"/>
      <c r="B638" s="97"/>
      <c r="C638" s="98"/>
      <c r="D638" s="98"/>
      <c r="E638" s="102"/>
      <c r="F638" s="104"/>
      <c r="G638" s="104"/>
      <c r="H638" s="104"/>
      <c r="I638" s="105"/>
      <c r="J638" s="104"/>
      <c r="K638" s="104"/>
      <c r="L638" s="104"/>
      <c r="M638" s="104"/>
      <c r="N638" s="104"/>
      <c r="O638" s="104"/>
      <c r="P638" s="104"/>
      <c r="Q638" s="104"/>
      <c r="R638" s="104"/>
      <c r="S638" s="104"/>
      <c r="T638" s="105"/>
      <c r="U638" s="100">
        <f t="shared" si="1086"/>
        <v>0</v>
      </c>
      <c r="V638" s="130"/>
      <c r="W638" s="134"/>
      <c r="X638" s="106"/>
      <c r="Y638" s="106">
        <f t="shared" si="1093"/>
        <v>0</v>
      </c>
      <c r="Z638" s="106"/>
      <c r="AA638" s="106"/>
      <c r="AB638" s="106"/>
      <c r="AC638" s="107"/>
    </row>
    <row r="639" spans="1:29" s="82" customFormat="1" ht="16.5" customHeight="1">
      <c r="A639" s="1267"/>
      <c r="B639" s="97"/>
      <c r="C639" s="98"/>
      <c r="D639" s="98"/>
      <c r="E639" s="102"/>
      <c r="F639" s="104"/>
      <c r="G639" s="104"/>
      <c r="H639" s="104"/>
      <c r="I639" s="105"/>
      <c r="J639" s="104"/>
      <c r="K639" s="104"/>
      <c r="L639" s="104"/>
      <c r="M639" s="104"/>
      <c r="N639" s="104"/>
      <c r="O639" s="104"/>
      <c r="P639" s="104"/>
      <c r="Q639" s="104"/>
      <c r="R639" s="104"/>
      <c r="S639" s="104"/>
      <c r="T639" s="105"/>
      <c r="U639" s="100">
        <f t="shared" si="1086"/>
        <v>0</v>
      </c>
      <c r="V639" s="130"/>
      <c r="W639" s="134"/>
      <c r="X639" s="106"/>
      <c r="Y639" s="106">
        <f t="shared" si="1093"/>
        <v>0</v>
      </c>
      <c r="Z639" s="106"/>
      <c r="AA639" s="106"/>
      <c r="AB639" s="106"/>
      <c r="AC639" s="107"/>
    </row>
    <row r="640" spans="1:29" s="82" customFormat="1" ht="16.5" customHeight="1">
      <c r="A640" s="1267"/>
      <c r="B640" s="97"/>
      <c r="C640" s="98"/>
      <c r="D640" s="98"/>
      <c r="E640" s="102"/>
      <c r="F640" s="104"/>
      <c r="G640" s="104"/>
      <c r="H640" s="104"/>
      <c r="I640" s="105"/>
      <c r="J640" s="104"/>
      <c r="K640" s="104"/>
      <c r="L640" s="104"/>
      <c r="M640" s="104"/>
      <c r="N640" s="104"/>
      <c r="O640" s="104"/>
      <c r="P640" s="104"/>
      <c r="Q640" s="104"/>
      <c r="R640" s="104"/>
      <c r="S640" s="104"/>
      <c r="T640" s="105"/>
      <c r="U640" s="100">
        <f t="shared" si="1086"/>
        <v>0</v>
      </c>
      <c r="V640" s="130"/>
      <c r="W640" s="134"/>
      <c r="X640" s="106"/>
      <c r="Y640" s="106">
        <f t="shared" si="1093"/>
        <v>0</v>
      </c>
      <c r="Z640" s="106"/>
      <c r="AA640" s="106"/>
      <c r="AB640" s="106"/>
      <c r="AC640" s="107"/>
    </row>
    <row r="641" spans="1:29" s="82" customFormat="1" ht="16.5" customHeight="1">
      <c r="A641" s="1267"/>
      <c r="B641" s="97"/>
      <c r="C641" s="98"/>
      <c r="D641" s="98"/>
      <c r="E641" s="102"/>
      <c r="F641" s="104"/>
      <c r="G641" s="104"/>
      <c r="H641" s="104"/>
      <c r="I641" s="105"/>
      <c r="J641" s="104"/>
      <c r="K641" s="104"/>
      <c r="L641" s="104"/>
      <c r="M641" s="104"/>
      <c r="N641" s="104"/>
      <c r="O641" s="104"/>
      <c r="P641" s="104"/>
      <c r="Q641" s="104"/>
      <c r="R641" s="104"/>
      <c r="S641" s="104"/>
      <c r="T641" s="105"/>
      <c r="U641" s="100">
        <f t="shared" si="1086"/>
        <v>0</v>
      </c>
      <c r="V641" s="130"/>
      <c r="W641" s="134"/>
      <c r="X641" s="106"/>
      <c r="Y641" s="106">
        <f t="shared" si="1093"/>
        <v>0</v>
      </c>
      <c r="Z641" s="106"/>
      <c r="AA641" s="106"/>
      <c r="AB641" s="106"/>
      <c r="AC641" s="107"/>
    </row>
    <row r="642" spans="1:29" s="82" customFormat="1" ht="16.5" customHeight="1">
      <c r="A642" s="1267"/>
      <c r="B642" s="97"/>
      <c r="C642" s="98"/>
      <c r="D642" s="98"/>
      <c r="E642" s="102"/>
      <c r="F642" s="104"/>
      <c r="G642" s="104"/>
      <c r="H642" s="104"/>
      <c r="I642" s="105"/>
      <c r="J642" s="104"/>
      <c r="K642" s="104"/>
      <c r="L642" s="104"/>
      <c r="M642" s="104"/>
      <c r="N642" s="104"/>
      <c r="O642" s="104"/>
      <c r="P642" s="104"/>
      <c r="Q642" s="104"/>
      <c r="R642" s="104"/>
      <c r="S642" s="104"/>
      <c r="T642" s="105"/>
      <c r="U642" s="100">
        <f t="shared" si="1086"/>
        <v>0</v>
      </c>
      <c r="V642" s="130"/>
      <c r="W642" s="134"/>
      <c r="X642" s="106"/>
      <c r="Y642" s="106">
        <f t="shared" si="1093"/>
        <v>0</v>
      </c>
      <c r="Z642" s="106"/>
      <c r="AA642" s="106"/>
      <c r="AB642" s="106"/>
      <c r="AC642" s="107"/>
    </row>
    <row r="643" spans="1:29" s="82" customFormat="1" ht="16.5" customHeight="1">
      <c r="A643" s="1273"/>
      <c r="B643" s="97"/>
      <c r="C643" s="98"/>
      <c r="D643" s="98"/>
      <c r="E643" s="99"/>
      <c r="F643" s="100">
        <f t="shared" ref="F643" si="1094">SUM(F644:F655)</f>
        <v>0</v>
      </c>
      <c r="G643" s="100"/>
      <c r="H643" s="100"/>
      <c r="I643" s="100">
        <f t="shared" ref="I643" si="1095">SUM(I644:I655)</f>
        <v>0</v>
      </c>
      <c r="J643" s="100"/>
      <c r="K643" s="100"/>
      <c r="L643" s="100"/>
      <c r="M643" s="100"/>
      <c r="N643" s="100"/>
      <c r="O643" s="100">
        <f t="shared" ref="O643" si="1096">SUM(O644:O655)</f>
        <v>0</v>
      </c>
      <c r="P643" s="100"/>
      <c r="Q643" s="100"/>
      <c r="R643" s="100"/>
      <c r="S643" s="100"/>
      <c r="T643" s="100"/>
      <c r="U643" s="100">
        <f t="shared" ref="U643" si="1097">SUM(U644:U655)</f>
        <v>0</v>
      </c>
      <c r="V643" s="130"/>
      <c r="W643" s="143"/>
      <c r="X643" s="100"/>
      <c r="Y643" s="100">
        <f t="shared" ref="Y643" si="1098">SUM(Y644:Y655)</f>
        <v>0</v>
      </c>
      <c r="Z643" s="100"/>
      <c r="AA643" s="100"/>
      <c r="AB643" s="100"/>
      <c r="AC643" s="101"/>
    </row>
    <row r="644" spans="1:29" s="82" customFormat="1" ht="16.5" customHeight="1">
      <c r="A644" s="1274"/>
      <c r="B644" s="97"/>
      <c r="C644" s="98"/>
      <c r="D644" s="98"/>
      <c r="E644" s="102"/>
      <c r="F644" s="173"/>
      <c r="G644" s="104"/>
      <c r="H644" s="103"/>
      <c r="I644" s="105"/>
      <c r="J644" s="104"/>
      <c r="K644" s="104"/>
      <c r="L644" s="104"/>
      <c r="M644" s="104"/>
      <c r="N644" s="104"/>
      <c r="O644" s="104"/>
      <c r="P644" s="104"/>
      <c r="Q644" s="104"/>
      <c r="R644" s="104"/>
      <c r="S644" s="104"/>
      <c r="T644" s="105"/>
      <c r="U644" s="100">
        <f t="shared" ref="U644" si="1099">SUM(F644,M644,O644,R644,T644,S644)</f>
        <v>0</v>
      </c>
      <c r="V644" s="130"/>
      <c r="W644" s="134"/>
      <c r="X644" s="106"/>
      <c r="Y644" s="106">
        <f t="shared" ref="Y644" si="1100">ROUNDUP((U644-L644)*3.06%,-1)</f>
        <v>0</v>
      </c>
      <c r="Z644" s="106"/>
      <c r="AA644" s="106"/>
      <c r="AB644" s="106"/>
      <c r="AC644" s="107"/>
    </row>
    <row r="645" spans="1:29" s="82" customFormat="1" ht="16.5" customHeight="1">
      <c r="A645" s="1274"/>
      <c r="B645" s="97"/>
      <c r="C645" s="98"/>
      <c r="D645" s="98"/>
      <c r="E645" s="102"/>
      <c r="F645" s="104"/>
      <c r="G645" s="104"/>
      <c r="H645" s="104"/>
      <c r="I645" s="105"/>
      <c r="J645" s="104"/>
      <c r="K645" s="104"/>
      <c r="L645" s="104"/>
      <c r="M645" s="104"/>
      <c r="N645" s="104"/>
      <c r="O645" s="104"/>
      <c r="P645" s="104"/>
      <c r="Q645" s="104"/>
      <c r="R645" s="104"/>
      <c r="S645" s="104"/>
      <c r="T645" s="105"/>
      <c r="U645" s="100">
        <f t="shared" si="1086"/>
        <v>0</v>
      </c>
      <c r="V645" s="130"/>
      <c r="W645" s="134"/>
      <c r="X645" s="106"/>
      <c r="Y645" s="106">
        <f t="shared" si="1093"/>
        <v>0</v>
      </c>
      <c r="Z645" s="106"/>
      <c r="AA645" s="106"/>
      <c r="AB645" s="106"/>
      <c r="AC645" s="107"/>
    </row>
    <row r="646" spans="1:29" s="82" customFormat="1" ht="16.5" customHeight="1">
      <c r="A646" s="1274"/>
      <c r="B646" s="97"/>
      <c r="C646" s="98"/>
      <c r="D646" s="98"/>
      <c r="E646" s="102"/>
      <c r="F646" s="104"/>
      <c r="G646" s="104"/>
      <c r="H646" s="104"/>
      <c r="I646" s="105"/>
      <c r="J646" s="104"/>
      <c r="K646" s="104"/>
      <c r="L646" s="104"/>
      <c r="M646" s="104"/>
      <c r="N646" s="104"/>
      <c r="O646" s="104"/>
      <c r="P646" s="104"/>
      <c r="Q646" s="104"/>
      <c r="R646" s="104"/>
      <c r="S646" s="104"/>
      <c r="T646" s="105"/>
      <c r="U646" s="100">
        <f t="shared" si="1086"/>
        <v>0</v>
      </c>
      <c r="V646" s="130"/>
      <c r="W646" s="134"/>
      <c r="X646" s="106"/>
      <c r="Y646" s="106">
        <f t="shared" si="1093"/>
        <v>0</v>
      </c>
      <c r="Z646" s="106"/>
      <c r="AA646" s="106"/>
      <c r="AB646" s="106"/>
      <c r="AC646" s="107"/>
    </row>
    <row r="647" spans="1:29" s="82" customFormat="1" ht="16.5" customHeight="1">
      <c r="A647" s="1274"/>
      <c r="B647" s="97"/>
      <c r="C647" s="98"/>
      <c r="D647" s="98"/>
      <c r="E647" s="102"/>
      <c r="F647" s="173"/>
      <c r="G647" s="104"/>
      <c r="H647" s="104"/>
      <c r="I647" s="105"/>
      <c r="J647" s="104"/>
      <c r="K647" s="104"/>
      <c r="L647" s="104"/>
      <c r="M647" s="104"/>
      <c r="N647" s="104"/>
      <c r="O647" s="104"/>
      <c r="P647" s="104"/>
      <c r="Q647" s="104"/>
      <c r="R647" s="104"/>
      <c r="S647" s="104"/>
      <c r="T647" s="105"/>
      <c r="U647" s="100">
        <f t="shared" si="1086"/>
        <v>0</v>
      </c>
      <c r="V647" s="130"/>
      <c r="W647" s="134"/>
      <c r="X647" s="106"/>
      <c r="Y647" s="106">
        <f t="shared" si="1093"/>
        <v>0</v>
      </c>
      <c r="Z647" s="106"/>
      <c r="AA647" s="106"/>
      <c r="AB647" s="106"/>
      <c r="AC647" s="107"/>
    </row>
    <row r="648" spans="1:29" s="82" customFormat="1" ht="16.5" customHeight="1">
      <c r="A648" s="1274"/>
      <c r="B648" s="97"/>
      <c r="C648" s="98"/>
      <c r="D648" s="98"/>
      <c r="E648" s="102"/>
      <c r="F648" s="104"/>
      <c r="G648" s="104"/>
      <c r="H648" s="104"/>
      <c r="I648" s="105"/>
      <c r="J648" s="104"/>
      <c r="K648" s="104"/>
      <c r="L648" s="104"/>
      <c r="M648" s="104"/>
      <c r="N648" s="104"/>
      <c r="O648" s="104"/>
      <c r="P648" s="104"/>
      <c r="Q648" s="104"/>
      <c r="R648" s="104"/>
      <c r="S648" s="104"/>
      <c r="T648" s="105"/>
      <c r="U648" s="100">
        <f t="shared" si="1086"/>
        <v>0</v>
      </c>
      <c r="V648" s="130"/>
      <c r="W648" s="134"/>
      <c r="X648" s="106"/>
      <c r="Y648" s="106">
        <f t="shared" si="1093"/>
        <v>0</v>
      </c>
      <c r="Z648" s="106"/>
      <c r="AA648" s="106"/>
      <c r="AB648" s="106"/>
      <c r="AC648" s="107"/>
    </row>
    <row r="649" spans="1:29" s="82" customFormat="1" ht="16.5" customHeight="1">
      <c r="A649" s="1274"/>
      <c r="B649" s="97"/>
      <c r="C649" s="98"/>
      <c r="D649" s="98"/>
      <c r="E649" s="102"/>
      <c r="F649" s="104"/>
      <c r="G649" s="104"/>
      <c r="H649" s="104"/>
      <c r="I649" s="105"/>
      <c r="J649" s="104"/>
      <c r="K649" s="104"/>
      <c r="L649" s="104"/>
      <c r="M649" s="104"/>
      <c r="N649" s="104"/>
      <c r="O649" s="104"/>
      <c r="P649" s="104"/>
      <c r="Q649" s="104"/>
      <c r="R649" s="104"/>
      <c r="S649" s="104"/>
      <c r="T649" s="105"/>
      <c r="U649" s="100">
        <f t="shared" si="1086"/>
        <v>0</v>
      </c>
      <c r="V649" s="130"/>
      <c r="W649" s="134"/>
      <c r="X649" s="106"/>
      <c r="Y649" s="106">
        <f t="shared" si="1093"/>
        <v>0</v>
      </c>
      <c r="Z649" s="106"/>
      <c r="AA649" s="106"/>
      <c r="AB649" s="106"/>
      <c r="AC649" s="107"/>
    </row>
    <row r="650" spans="1:29" s="82" customFormat="1" ht="16.5" customHeight="1">
      <c r="A650" s="1274"/>
      <c r="B650" s="97"/>
      <c r="C650" s="98"/>
      <c r="D650" s="98"/>
      <c r="E650" s="102"/>
      <c r="F650" s="104"/>
      <c r="G650" s="104"/>
      <c r="H650" s="103"/>
      <c r="I650" s="105"/>
      <c r="J650" s="104"/>
      <c r="K650" s="104"/>
      <c r="L650" s="104"/>
      <c r="M650" s="104"/>
      <c r="N650" s="104"/>
      <c r="O650" s="104"/>
      <c r="P650" s="104"/>
      <c r="Q650" s="104"/>
      <c r="R650" s="104"/>
      <c r="S650" s="104"/>
      <c r="T650" s="105"/>
      <c r="U650" s="100">
        <f t="shared" si="1086"/>
        <v>0</v>
      </c>
      <c r="V650" s="130"/>
      <c r="W650" s="134"/>
      <c r="X650" s="106"/>
      <c r="Y650" s="106">
        <f t="shared" si="1093"/>
        <v>0</v>
      </c>
      <c r="Z650" s="106"/>
      <c r="AA650" s="106"/>
      <c r="AB650" s="106"/>
      <c r="AC650" s="107"/>
    </row>
    <row r="651" spans="1:29" s="82" customFormat="1" ht="16.5" customHeight="1">
      <c r="A651" s="1274"/>
      <c r="B651" s="97"/>
      <c r="C651" s="98"/>
      <c r="D651" s="98"/>
      <c r="E651" s="102"/>
      <c r="F651" s="104"/>
      <c r="G651" s="104"/>
      <c r="H651" s="104"/>
      <c r="I651" s="105"/>
      <c r="J651" s="104"/>
      <c r="K651" s="104"/>
      <c r="L651" s="104"/>
      <c r="M651" s="104"/>
      <c r="N651" s="104"/>
      <c r="O651" s="104"/>
      <c r="P651" s="104"/>
      <c r="Q651" s="104"/>
      <c r="R651" s="104"/>
      <c r="S651" s="104"/>
      <c r="T651" s="105"/>
      <c r="U651" s="100">
        <f t="shared" si="1086"/>
        <v>0</v>
      </c>
      <c r="V651" s="130"/>
      <c r="W651" s="134"/>
      <c r="X651" s="106"/>
      <c r="Y651" s="106">
        <f t="shared" si="1093"/>
        <v>0</v>
      </c>
      <c r="Z651" s="106"/>
      <c r="AA651" s="106"/>
      <c r="AB651" s="106"/>
      <c r="AC651" s="107"/>
    </row>
    <row r="652" spans="1:29" s="82" customFormat="1" ht="16.5" customHeight="1">
      <c r="A652" s="1274"/>
      <c r="B652" s="97"/>
      <c r="C652" s="98"/>
      <c r="D652" s="98"/>
      <c r="E652" s="102"/>
      <c r="F652" s="104"/>
      <c r="G652" s="104"/>
      <c r="H652" s="104"/>
      <c r="I652" s="105"/>
      <c r="J652" s="104"/>
      <c r="K652" s="104"/>
      <c r="L652" s="104"/>
      <c r="M652" s="104"/>
      <c r="N652" s="104"/>
      <c r="O652" s="104"/>
      <c r="P652" s="104"/>
      <c r="Q652" s="104"/>
      <c r="R652" s="104"/>
      <c r="S652" s="104"/>
      <c r="T652" s="105"/>
      <c r="U652" s="100">
        <f t="shared" si="1086"/>
        <v>0</v>
      </c>
      <c r="V652" s="130"/>
      <c r="W652" s="134"/>
      <c r="X652" s="106"/>
      <c r="Y652" s="106">
        <f t="shared" si="1093"/>
        <v>0</v>
      </c>
      <c r="Z652" s="106"/>
      <c r="AA652" s="106"/>
      <c r="AB652" s="106"/>
      <c r="AC652" s="107"/>
    </row>
    <row r="653" spans="1:29" s="82" customFormat="1" ht="16.5" customHeight="1">
      <c r="A653" s="1274"/>
      <c r="B653" s="97"/>
      <c r="C653" s="98"/>
      <c r="D653" s="98"/>
      <c r="E653" s="102"/>
      <c r="F653" s="104"/>
      <c r="G653" s="104"/>
      <c r="H653" s="104"/>
      <c r="I653" s="105"/>
      <c r="J653" s="104"/>
      <c r="K653" s="104"/>
      <c r="L653" s="104"/>
      <c r="M653" s="104"/>
      <c r="N653" s="104"/>
      <c r="O653" s="104"/>
      <c r="P653" s="104"/>
      <c r="Q653" s="104"/>
      <c r="R653" s="104"/>
      <c r="S653" s="104"/>
      <c r="T653" s="105"/>
      <c r="U653" s="100">
        <f t="shared" si="1086"/>
        <v>0</v>
      </c>
      <c r="V653" s="130"/>
      <c r="W653" s="134"/>
      <c r="X653" s="106"/>
      <c r="Y653" s="106">
        <f t="shared" si="1093"/>
        <v>0</v>
      </c>
      <c r="Z653" s="106"/>
      <c r="AA653" s="106"/>
      <c r="AB653" s="106"/>
      <c r="AC653" s="107"/>
    </row>
    <row r="654" spans="1:29" s="82" customFormat="1" ht="16.5" customHeight="1">
      <c r="A654" s="1274"/>
      <c r="B654" s="97"/>
      <c r="C654" s="98"/>
      <c r="D654" s="98"/>
      <c r="E654" s="102"/>
      <c r="F654" s="104"/>
      <c r="G654" s="104"/>
      <c r="H654" s="104"/>
      <c r="I654" s="104"/>
      <c r="J654" s="104"/>
      <c r="K654" s="104"/>
      <c r="L654" s="104"/>
      <c r="M654" s="104"/>
      <c r="N654" s="104"/>
      <c r="O654" s="104"/>
      <c r="P654" s="104"/>
      <c r="Q654" s="104"/>
      <c r="R654" s="104"/>
      <c r="S654" s="104"/>
      <c r="T654" s="105"/>
      <c r="U654" s="100">
        <f t="shared" si="1086"/>
        <v>0</v>
      </c>
      <c r="V654" s="130"/>
      <c r="W654" s="134"/>
      <c r="X654" s="106"/>
      <c r="Y654" s="106">
        <f t="shared" si="1093"/>
        <v>0</v>
      </c>
      <c r="Z654" s="106"/>
      <c r="AA654" s="106"/>
      <c r="AB654" s="106"/>
      <c r="AC654" s="107"/>
    </row>
    <row r="655" spans="1:29" s="82" customFormat="1" ht="16.5" customHeight="1">
      <c r="A655" s="1275"/>
      <c r="B655" s="97"/>
      <c r="C655" s="98"/>
      <c r="D655" s="98"/>
      <c r="E655" s="102"/>
      <c r="F655" s="104"/>
      <c r="G655" s="104"/>
      <c r="H655" s="104"/>
      <c r="I655" s="104"/>
      <c r="J655" s="104"/>
      <c r="K655" s="104"/>
      <c r="L655" s="104"/>
      <c r="M655" s="104"/>
      <c r="N655" s="104"/>
      <c r="O655" s="104"/>
      <c r="P655" s="104"/>
      <c r="Q655" s="104"/>
      <c r="R655" s="104"/>
      <c r="S655" s="104"/>
      <c r="T655" s="105"/>
      <c r="U655" s="100">
        <f t="shared" si="1086"/>
        <v>0</v>
      </c>
      <c r="V655" s="130"/>
      <c r="W655" s="134"/>
      <c r="X655" s="106"/>
      <c r="Y655" s="106">
        <f t="shared" si="1093"/>
        <v>0</v>
      </c>
      <c r="Z655" s="106"/>
      <c r="AA655" s="106"/>
      <c r="AB655" s="106"/>
      <c r="AC655" s="107"/>
    </row>
    <row r="656" spans="1:29" s="84" customFormat="1" ht="250.5" customHeight="1">
      <c r="A656" s="157"/>
      <c r="B656" s="157"/>
      <c r="C656" s="157"/>
      <c r="D656" s="157"/>
      <c r="E656" s="157"/>
      <c r="F656" s="154"/>
      <c r="G656" s="154"/>
      <c r="H656" s="154"/>
      <c r="I656" s="154"/>
      <c r="J656" s="154"/>
      <c r="K656" s="155"/>
      <c r="L656" s="155"/>
      <c r="M656" s="155"/>
      <c r="N656" s="156"/>
      <c r="O656" s="158"/>
      <c r="P656" s="158"/>
      <c r="Q656" s="158"/>
      <c r="R656" s="158"/>
      <c r="S656" s="158"/>
      <c r="T656" s="154"/>
      <c r="U656" s="154"/>
      <c r="V656" s="159"/>
      <c r="W656" s="154"/>
      <c r="X656" s="154"/>
      <c r="Y656" s="154"/>
      <c r="Z656" s="154"/>
      <c r="AA656" s="154"/>
      <c r="AB656" s="158"/>
      <c r="AC656" s="160"/>
    </row>
    <row r="657" spans="1:29" s="84" customFormat="1" ht="18.75" customHeight="1">
      <c r="A657" s="1264" t="s">
        <v>449</v>
      </c>
      <c r="B657" s="1264"/>
      <c r="C657" s="1264"/>
      <c r="D657" s="89"/>
      <c r="E657" s="89"/>
      <c r="F657" s="90"/>
      <c r="G657" s="90"/>
      <c r="H657" s="90"/>
      <c r="I657" s="90"/>
      <c r="J657" s="90"/>
      <c r="K657" s="91"/>
      <c r="L657" s="91"/>
      <c r="M657" s="91"/>
      <c r="N657" s="92"/>
      <c r="O657" s="113"/>
      <c r="P657" s="113"/>
      <c r="Q657" s="113"/>
      <c r="R657" s="113"/>
      <c r="S657" s="113"/>
      <c r="T657" s="90"/>
      <c r="U657" s="90"/>
      <c r="V657" s="94"/>
      <c r="W657" s="90"/>
      <c r="X657" s="90"/>
      <c r="Y657" s="90"/>
      <c r="Z657" s="90"/>
      <c r="AA657" s="90"/>
      <c r="AB657" s="113"/>
      <c r="AC657" s="95" t="s">
        <v>65</v>
      </c>
    </row>
    <row r="658" spans="1:29" s="82" customFormat="1" ht="39" customHeight="1" thickBot="1">
      <c r="A658" s="114" t="s">
        <v>66</v>
      </c>
      <c r="B658" s="115" t="s">
        <v>67</v>
      </c>
      <c r="C658" s="115" t="s">
        <v>68</v>
      </c>
      <c r="D658" s="115" t="s">
        <v>69</v>
      </c>
      <c r="E658" s="115" t="s">
        <v>70</v>
      </c>
      <c r="F658" s="116" t="s">
        <v>71</v>
      </c>
      <c r="G658" s="117" t="s">
        <v>72</v>
      </c>
      <c r="H658" s="117" t="s">
        <v>73</v>
      </c>
      <c r="I658" s="117" t="s">
        <v>843</v>
      </c>
      <c r="J658" s="117" t="s">
        <v>844</v>
      </c>
      <c r="K658" s="117" t="s">
        <v>844</v>
      </c>
      <c r="L658" s="117" t="s">
        <v>844</v>
      </c>
      <c r="M658" s="117" t="s">
        <v>76</v>
      </c>
      <c r="N658" s="118" t="s">
        <v>460</v>
      </c>
      <c r="O658" s="117" t="s">
        <v>418</v>
      </c>
      <c r="P658" s="117" t="s">
        <v>388</v>
      </c>
      <c r="Q658" s="117" t="str">
        <f>Q4</f>
        <v>운영비 보조금
시간외 
시간당수강</v>
      </c>
      <c r="R658" s="117" t="s">
        <v>461</v>
      </c>
      <c r="S658" s="117" t="s">
        <v>612</v>
      </c>
      <c r="T658" s="117" t="s">
        <v>53</v>
      </c>
      <c r="U658" s="120" t="s">
        <v>78</v>
      </c>
      <c r="V658" s="129" t="s">
        <v>79</v>
      </c>
      <c r="W658" s="135" t="s">
        <v>38</v>
      </c>
      <c r="X658" s="120" t="s">
        <v>80</v>
      </c>
      <c r="Y658" s="120" t="s">
        <v>81</v>
      </c>
      <c r="Z658" s="119" t="s">
        <v>266</v>
      </c>
      <c r="AA658" s="120" t="s">
        <v>82</v>
      </c>
      <c r="AB658" s="119" t="s">
        <v>83</v>
      </c>
      <c r="AC658" s="121" t="s">
        <v>84</v>
      </c>
    </row>
    <row r="659" spans="1:29" s="83" customFormat="1" ht="18" customHeight="1" thickTop="1">
      <c r="A659" s="1269" t="s">
        <v>85</v>
      </c>
      <c r="B659" s="1270"/>
      <c r="C659" s="1270"/>
      <c r="D659" s="1270"/>
      <c r="E659" s="1271"/>
      <c r="F659" s="96">
        <f t="shared" ref="F659:U659" si="1101">F660</f>
        <v>0</v>
      </c>
      <c r="G659" s="96">
        <f t="shared" si="1101"/>
        <v>0</v>
      </c>
      <c r="H659" s="96">
        <f t="shared" si="1101"/>
        <v>0</v>
      </c>
      <c r="I659" s="96">
        <f t="shared" si="1101"/>
        <v>0</v>
      </c>
      <c r="J659" s="96">
        <f t="shared" si="1101"/>
        <v>0</v>
      </c>
      <c r="K659" s="96">
        <f t="shared" si="1101"/>
        <v>0</v>
      </c>
      <c r="L659" s="96">
        <f t="shared" si="1101"/>
        <v>0</v>
      </c>
      <c r="M659" s="96">
        <f t="shared" si="1101"/>
        <v>0</v>
      </c>
      <c r="N659" s="96">
        <f t="shared" si="1101"/>
        <v>0</v>
      </c>
      <c r="O659" s="96">
        <f t="shared" si="1101"/>
        <v>0</v>
      </c>
      <c r="P659" s="96"/>
      <c r="Q659" s="96"/>
      <c r="R659" s="96">
        <f t="shared" si="1101"/>
        <v>0</v>
      </c>
      <c r="S659" s="96">
        <f t="shared" si="1101"/>
        <v>0</v>
      </c>
      <c r="T659" s="96">
        <f t="shared" si="1101"/>
        <v>0</v>
      </c>
      <c r="U659" s="96">
        <f t="shared" si="1101"/>
        <v>0</v>
      </c>
      <c r="V659" s="18"/>
      <c r="W659" s="96">
        <f t="shared" ref="W659:AC659" si="1102">W660</f>
        <v>0</v>
      </c>
      <c r="X659" s="96">
        <f t="shared" si="1102"/>
        <v>0</v>
      </c>
      <c r="Y659" s="96">
        <f t="shared" si="1102"/>
        <v>0</v>
      </c>
      <c r="Z659" s="96">
        <f t="shared" si="1102"/>
        <v>0</v>
      </c>
      <c r="AA659" s="96">
        <f t="shared" si="1102"/>
        <v>0</v>
      </c>
      <c r="AB659" s="96">
        <f t="shared" si="1102"/>
        <v>0</v>
      </c>
      <c r="AC659" s="21">
        <f t="shared" si="1102"/>
        <v>0</v>
      </c>
    </row>
    <row r="660" spans="1:29" s="82" customFormat="1" ht="16.5" customHeight="1">
      <c r="A660" s="1267">
        <v>1</v>
      </c>
      <c r="B660" s="108" t="s">
        <v>840</v>
      </c>
      <c r="C660" s="109" t="s">
        <v>785</v>
      </c>
      <c r="D660" s="109">
        <v>1</v>
      </c>
      <c r="E660" s="110" t="s">
        <v>86</v>
      </c>
      <c r="F660" s="111">
        <f t="shared" ref="F660:T660" si="1103">SUM(F661:F672)</f>
        <v>0</v>
      </c>
      <c r="G660" s="111">
        <f t="shared" si="1103"/>
        <v>0</v>
      </c>
      <c r="H660" s="111">
        <f t="shared" si="1103"/>
        <v>0</v>
      </c>
      <c r="I660" s="111">
        <f t="shared" ref="I660:L660" si="1104">SUM(I661:I672)</f>
        <v>0</v>
      </c>
      <c r="J660" s="111">
        <f t="shared" si="1104"/>
        <v>0</v>
      </c>
      <c r="K660" s="111">
        <f t="shared" si="1104"/>
        <v>0</v>
      </c>
      <c r="L660" s="111">
        <f t="shared" si="1104"/>
        <v>0</v>
      </c>
      <c r="M660" s="111">
        <f t="shared" si="1103"/>
        <v>0</v>
      </c>
      <c r="N660" s="111">
        <f t="shared" ref="N660" si="1105">SUM(N661:N672)</f>
        <v>0</v>
      </c>
      <c r="O660" s="111">
        <f t="shared" si="1103"/>
        <v>0</v>
      </c>
      <c r="P660" s="111"/>
      <c r="Q660" s="111"/>
      <c r="R660" s="111">
        <f t="shared" si="1103"/>
        <v>0</v>
      </c>
      <c r="S660" s="111">
        <f t="shared" si="1103"/>
        <v>0</v>
      </c>
      <c r="T660" s="111">
        <f t="shared" si="1103"/>
        <v>0</v>
      </c>
      <c r="U660" s="100">
        <f t="shared" ref="U660" si="1106">SUM(U661:U672)</f>
        <v>0</v>
      </c>
      <c r="V660" s="131"/>
      <c r="W660" s="22">
        <f t="shared" ref="W660:AB660" si="1107">SUM(W661:W672)</f>
        <v>0</v>
      </c>
      <c r="X660" s="111">
        <f t="shared" si="1107"/>
        <v>0</v>
      </c>
      <c r="Y660" s="111">
        <f t="shared" si="1107"/>
        <v>0</v>
      </c>
      <c r="Z660" s="111">
        <f t="shared" si="1107"/>
        <v>0</v>
      </c>
      <c r="AA660" s="111">
        <f t="shared" si="1107"/>
        <v>0</v>
      </c>
      <c r="AB660" s="111">
        <f t="shared" si="1107"/>
        <v>0</v>
      </c>
      <c r="AC660" s="112">
        <f>SUM(AC661:AC672)</f>
        <v>0</v>
      </c>
    </row>
    <row r="661" spans="1:29" s="82" customFormat="1" ht="16.5" customHeight="1">
      <c r="A661" s="1267"/>
      <c r="B661" s="122" t="s">
        <v>471</v>
      </c>
      <c r="C661" s="171">
        <v>10</v>
      </c>
      <c r="D661" s="171"/>
      <c r="E661" s="172" t="s">
        <v>389</v>
      </c>
      <c r="F661" s="181"/>
      <c r="G661" s="125"/>
      <c r="H661" s="124"/>
      <c r="I661" s="126"/>
      <c r="J661" s="125"/>
      <c r="K661" s="125"/>
      <c r="L661" s="125"/>
      <c r="M661" s="104">
        <f>F661*60%</f>
        <v>0</v>
      </c>
      <c r="N661" s="125"/>
      <c r="O661" s="125"/>
      <c r="P661" s="125"/>
      <c r="Q661" s="125"/>
      <c r="R661" s="104">
        <v>0</v>
      </c>
      <c r="S661" s="125"/>
      <c r="T661" s="126"/>
      <c r="U661" s="100">
        <f t="shared" ref="U661:U672" si="1108">SUM(I661,L661)</f>
        <v>0</v>
      </c>
      <c r="V661" s="133"/>
      <c r="W661" s="134">
        <f>ROUNDUP((U661+S661)*1/12,-1)</f>
        <v>0</v>
      </c>
      <c r="X661" s="106">
        <f>ROUND(U661*4.5%,-1)</f>
        <v>0</v>
      </c>
      <c r="Y661" s="106">
        <f>ROUNDUP((U661-L661+S661)*3.06%,-1)</f>
        <v>0</v>
      </c>
      <c r="Z661" s="106">
        <f t="shared" ref="Z661:Z672" si="1109">ROUNDUP(Y661*6.55%,-1)</f>
        <v>0</v>
      </c>
      <c r="AA661" s="106">
        <f>ROUND((U661+S661)*0.9%,-1)</f>
        <v>0</v>
      </c>
      <c r="AB661" s="106">
        <f>ROUND((U661+S661)*0.8%,-1)</f>
        <v>0</v>
      </c>
      <c r="AC661" s="128">
        <f>SUM(W661:AB661)</f>
        <v>0</v>
      </c>
    </row>
    <row r="662" spans="1:29" s="82" customFormat="1" ht="16.5" customHeight="1">
      <c r="A662" s="1267"/>
      <c r="B662" s="97"/>
      <c r="C662" s="98"/>
      <c r="D662" s="98"/>
      <c r="E662" s="102" t="s">
        <v>274</v>
      </c>
      <c r="F662" s="104"/>
      <c r="G662" s="104"/>
      <c r="H662" s="104"/>
      <c r="I662" s="105"/>
      <c r="J662" s="104">
        <f t="shared" ref="J662:J672" si="1110">ROUND((F661+I661+T661)*1/209*1.5,-1)</f>
        <v>0</v>
      </c>
      <c r="K662" s="104">
        <f t="shared" ref="K662:K671" si="1111">J662*20</f>
        <v>0</v>
      </c>
      <c r="L662" s="104">
        <f>K662-R662</f>
        <v>0</v>
      </c>
      <c r="M662" s="104"/>
      <c r="N662" s="104"/>
      <c r="O662" s="104"/>
      <c r="P662" s="104"/>
      <c r="Q662" s="104">
        <f t="shared" ref="Q662:Q672" si="1112">ROUND((F661+T661)*1/209*1.5,-1)</f>
        <v>0</v>
      </c>
      <c r="R662" s="104">
        <f>Q662*20</f>
        <v>0</v>
      </c>
      <c r="S662" s="104">
        <f t="shared" ref="S662:S671" si="1113">Q662*5</f>
        <v>0</v>
      </c>
      <c r="T662" s="105"/>
      <c r="U662" s="100">
        <f t="shared" si="1108"/>
        <v>0</v>
      </c>
      <c r="V662" s="130"/>
      <c r="W662" s="134">
        <f t="shared" ref="W662:W672" si="1114">ROUNDUP((U662+S662)*1/12,-1)</f>
        <v>0</v>
      </c>
      <c r="X662" s="106">
        <f t="shared" ref="X662:X672" si="1115">ROUND(U662*4.5%,-1)</f>
        <v>0</v>
      </c>
      <c r="Y662" s="106">
        <f t="shared" ref="Y662:Y672" si="1116">ROUNDUP((U662-L662+S662)*3.06%,-1)</f>
        <v>0</v>
      </c>
      <c r="Z662" s="106">
        <f t="shared" si="1109"/>
        <v>0</v>
      </c>
      <c r="AA662" s="106">
        <f t="shared" ref="AA662:AA672" si="1117">ROUND((U662+S662)*0.9%,-1)</f>
        <v>0</v>
      </c>
      <c r="AB662" s="106">
        <f t="shared" ref="AB662:AB672" si="1118">ROUND((U662+S662)*0.8%,-1)</f>
        <v>0</v>
      </c>
      <c r="AC662" s="107">
        <f t="shared" ref="AC662:AC672" si="1119">SUM(W662:AB662)</f>
        <v>0</v>
      </c>
    </row>
    <row r="663" spans="1:29" s="82" customFormat="1" ht="16.5" customHeight="1">
      <c r="A663" s="1267"/>
      <c r="B663" s="97"/>
      <c r="C663" s="98"/>
      <c r="D663" s="98"/>
      <c r="E663" s="102" t="s">
        <v>275</v>
      </c>
      <c r="F663" s="104"/>
      <c r="G663" s="104"/>
      <c r="H663" s="104"/>
      <c r="I663" s="105"/>
      <c r="J663" s="104">
        <f t="shared" si="1110"/>
        <v>0</v>
      </c>
      <c r="K663" s="104">
        <f t="shared" si="1111"/>
        <v>0</v>
      </c>
      <c r="L663" s="104">
        <f t="shared" ref="L663:L672" si="1120">K663-R663</f>
        <v>0</v>
      </c>
      <c r="M663" s="104" t="s">
        <v>60</v>
      </c>
      <c r="N663" s="104"/>
      <c r="O663" s="104"/>
      <c r="P663" s="104"/>
      <c r="Q663" s="104">
        <f t="shared" si="1112"/>
        <v>0</v>
      </c>
      <c r="R663" s="104">
        <f t="shared" ref="R663:R671" si="1121">Q663*20</f>
        <v>0</v>
      </c>
      <c r="S663" s="104">
        <f t="shared" si="1113"/>
        <v>0</v>
      </c>
      <c r="T663" s="105"/>
      <c r="U663" s="100">
        <f t="shared" si="1108"/>
        <v>0</v>
      </c>
      <c r="V663" s="130"/>
      <c r="W663" s="134">
        <f t="shared" si="1114"/>
        <v>0</v>
      </c>
      <c r="X663" s="106">
        <f t="shared" si="1115"/>
        <v>0</v>
      </c>
      <c r="Y663" s="106">
        <f t="shared" si="1116"/>
        <v>0</v>
      </c>
      <c r="Z663" s="106">
        <f t="shared" si="1109"/>
        <v>0</v>
      </c>
      <c r="AA663" s="106">
        <f t="shared" si="1117"/>
        <v>0</v>
      </c>
      <c r="AB663" s="106">
        <f t="shared" si="1118"/>
        <v>0</v>
      </c>
      <c r="AC663" s="107">
        <f t="shared" si="1119"/>
        <v>0</v>
      </c>
    </row>
    <row r="664" spans="1:29" s="82" customFormat="1" ht="16.5" customHeight="1">
      <c r="A664" s="1267"/>
      <c r="B664" s="97"/>
      <c r="C664" s="98"/>
      <c r="D664" s="98"/>
      <c r="E664" s="102" t="s">
        <v>276</v>
      </c>
      <c r="F664" s="104"/>
      <c r="G664" s="104"/>
      <c r="H664" s="104"/>
      <c r="I664" s="105"/>
      <c r="J664" s="104">
        <f t="shared" si="1110"/>
        <v>0</v>
      </c>
      <c r="K664" s="104">
        <f t="shared" si="1111"/>
        <v>0</v>
      </c>
      <c r="L664" s="104">
        <f t="shared" si="1120"/>
        <v>0</v>
      </c>
      <c r="M664" s="104">
        <v>0</v>
      </c>
      <c r="N664" s="104"/>
      <c r="O664" s="104"/>
      <c r="P664" s="104"/>
      <c r="Q664" s="104">
        <f t="shared" si="1112"/>
        <v>0</v>
      </c>
      <c r="R664" s="104">
        <f t="shared" si="1121"/>
        <v>0</v>
      </c>
      <c r="S664" s="104">
        <f t="shared" si="1113"/>
        <v>0</v>
      </c>
      <c r="T664" s="105"/>
      <c r="U664" s="100">
        <f t="shared" si="1108"/>
        <v>0</v>
      </c>
      <c r="V664" s="130"/>
      <c r="W664" s="134">
        <f t="shared" si="1114"/>
        <v>0</v>
      </c>
      <c r="X664" s="106">
        <f t="shared" si="1115"/>
        <v>0</v>
      </c>
      <c r="Y664" s="106">
        <f t="shared" si="1116"/>
        <v>0</v>
      </c>
      <c r="Z664" s="106">
        <f t="shared" si="1109"/>
        <v>0</v>
      </c>
      <c r="AA664" s="106">
        <f t="shared" si="1117"/>
        <v>0</v>
      </c>
      <c r="AB664" s="106">
        <f t="shared" si="1118"/>
        <v>0</v>
      </c>
      <c r="AC664" s="107">
        <f t="shared" si="1119"/>
        <v>0</v>
      </c>
    </row>
    <row r="665" spans="1:29" s="82" customFormat="1" ht="16.5" customHeight="1">
      <c r="A665" s="1267"/>
      <c r="B665" s="97"/>
      <c r="C665" s="98"/>
      <c r="D665" s="98"/>
      <c r="E665" s="102" t="s">
        <v>277</v>
      </c>
      <c r="F665" s="104"/>
      <c r="G665" s="104"/>
      <c r="H665" s="104"/>
      <c r="I665" s="105"/>
      <c r="J665" s="104">
        <f t="shared" si="1110"/>
        <v>0</v>
      </c>
      <c r="K665" s="104">
        <f t="shared" si="1111"/>
        <v>0</v>
      </c>
      <c r="L665" s="104">
        <f t="shared" si="1120"/>
        <v>0</v>
      </c>
      <c r="M665" s="104">
        <v>0</v>
      </c>
      <c r="N665" s="104"/>
      <c r="O665" s="104"/>
      <c r="P665" s="104"/>
      <c r="Q665" s="104">
        <f t="shared" si="1112"/>
        <v>0</v>
      </c>
      <c r="R665" s="104">
        <f t="shared" si="1121"/>
        <v>0</v>
      </c>
      <c r="S665" s="104">
        <f t="shared" si="1113"/>
        <v>0</v>
      </c>
      <c r="T665" s="105"/>
      <c r="U665" s="100">
        <f t="shared" si="1108"/>
        <v>0</v>
      </c>
      <c r="V665" s="130"/>
      <c r="W665" s="134">
        <f t="shared" si="1114"/>
        <v>0</v>
      </c>
      <c r="X665" s="106">
        <f t="shared" si="1115"/>
        <v>0</v>
      </c>
      <c r="Y665" s="106">
        <f t="shared" si="1116"/>
        <v>0</v>
      </c>
      <c r="Z665" s="106">
        <f t="shared" si="1109"/>
        <v>0</v>
      </c>
      <c r="AA665" s="106">
        <f t="shared" si="1117"/>
        <v>0</v>
      </c>
      <c r="AB665" s="106">
        <f t="shared" si="1118"/>
        <v>0</v>
      </c>
      <c r="AC665" s="107">
        <f t="shared" si="1119"/>
        <v>0</v>
      </c>
    </row>
    <row r="666" spans="1:29" s="82" customFormat="1" ht="16.5" customHeight="1">
      <c r="A666" s="1267"/>
      <c r="B666" s="97"/>
      <c r="C666" s="98"/>
      <c r="D666" s="98"/>
      <c r="E666" s="102" t="s">
        <v>278</v>
      </c>
      <c r="F666" s="104"/>
      <c r="G666" s="104"/>
      <c r="H666" s="104"/>
      <c r="I666" s="105"/>
      <c r="J666" s="104">
        <f t="shared" si="1110"/>
        <v>0</v>
      </c>
      <c r="K666" s="104">
        <f t="shared" si="1111"/>
        <v>0</v>
      </c>
      <c r="L666" s="104">
        <f t="shared" si="1120"/>
        <v>0</v>
      </c>
      <c r="M666" s="104">
        <v>0</v>
      </c>
      <c r="N666" s="104"/>
      <c r="O666" s="104"/>
      <c r="P666" s="104"/>
      <c r="Q666" s="104">
        <f t="shared" si="1112"/>
        <v>0</v>
      </c>
      <c r="R666" s="104">
        <f t="shared" si="1121"/>
        <v>0</v>
      </c>
      <c r="S666" s="104">
        <f t="shared" si="1113"/>
        <v>0</v>
      </c>
      <c r="T666" s="105"/>
      <c r="U666" s="100">
        <f t="shared" si="1108"/>
        <v>0</v>
      </c>
      <c r="V666" s="130"/>
      <c r="W666" s="134">
        <f t="shared" si="1114"/>
        <v>0</v>
      </c>
      <c r="X666" s="106">
        <f t="shared" si="1115"/>
        <v>0</v>
      </c>
      <c r="Y666" s="106">
        <f t="shared" si="1116"/>
        <v>0</v>
      </c>
      <c r="Z666" s="106">
        <f t="shared" si="1109"/>
        <v>0</v>
      </c>
      <c r="AA666" s="106">
        <f t="shared" si="1117"/>
        <v>0</v>
      </c>
      <c r="AB666" s="106">
        <f t="shared" si="1118"/>
        <v>0</v>
      </c>
      <c r="AC666" s="107">
        <f t="shared" si="1119"/>
        <v>0</v>
      </c>
    </row>
    <row r="667" spans="1:29" s="82" customFormat="1" ht="16.5" customHeight="1">
      <c r="A667" s="1267"/>
      <c r="B667" s="97"/>
      <c r="C667" s="98"/>
      <c r="D667" s="98"/>
      <c r="E667" s="102" t="s">
        <v>279</v>
      </c>
      <c r="F667" s="104"/>
      <c r="G667" s="104"/>
      <c r="H667" s="103"/>
      <c r="I667" s="105"/>
      <c r="J667" s="104">
        <f t="shared" si="1110"/>
        <v>0</v>
      </c>
      <c r="K667" s="104">
        <f t="shared" si="1111"/>
        <v>0</v>
      </c>
      <c r="L667" s="104">
        <f t="shared" si="1120"/>
        <v>0</v>
      </c>
      <c r="M667" s="104">
        <v>0</v>
      </c>
      <c r="N667" s="104"/>
      <c r="O667" s="104"/>
      <c r="P667" s="104"/>
      <c r="Q667" s="104">
        <f t="shared" si="1112"/>
        <v>0</v>
      </c>
      <c r="R667" s="104">
        <f t="shared" si="1121"/>
        <v>0</v>
      </c>
      <c r="S667" s="104">
        <f t="shared" si="1113"/>
        <v>0</v>
      </c>
      <c r="T667" s="105"/>
      <c r="U667" s="100">
        <f t="shared" si="1108"/>
        <v>0</v>
      </c>
      <c r="V667" s="130"/>
      <c r="W667" s="134">
        <f t="shared" si="1114"/>
        <v>0</v>
      </c>
      <c r="X667" s="106">
        <f t="shared" si="1115"/>
        <v>0</v>
      </c>
      <c r="Y667" s="106">
        <f t="shared" si="1116"/>
        <v>0</v>
      </c>
      <c r="Z667" s="106">
        <f t="shared" si="1109"/>
        <v>0</v>
      </c>
      <c r="AA667" s="106">
        <f t="shared" si="1117"/>
        <v>0</v>
      </c>
      <c r="AB667" s="106">
        <f t="shared" si="1118"/>
        <v>0</v>
      </c>
      <c r="AC667" s="107">
        <f t="shared" si="1119"/>
        <v>0</v>
      </c>
    </row>
    <row r="668" spans="1:29" s="82" customFormat="1" ht="16.5" customHeight="1">
      <c r="A668" s="1267"/>
      <c r="B668" s="97"/>
      <c r="C668" s="171">
        <v>11</v>
      </c>
      <c r="D668" s="171"/>
      <c r="E668" s="172" t="s">
        <v>280</v>
      </c>
      <c r="F668" s="173"/>
      <c r="G668" s="104"/>
      <c r="H668" s="104"/>
      <c r="I668" s="105"/>
      <c r="J668" s="104">
        <f t="shared" si="1110"/>
        <v>0</v>
      </c>
      <c r="K668" s="104">
        <f t="shared" si="1111"/>
        <v>0</v>
      </c>
      <c r="L668" s="104">
        <f t="shared" si="1120"/>
        <v>0</v>
      </c>
      <c r="M668" s="104">
        <v>0</v>
      </c>
      <c r="N668" s="104"/>
      <c r="O668" s="104"/>
      <c r="P668" s="104"/>
      <c r="Q668" s="104">
        <f t="shared" si="1112"/>
        <v>0</v>
      </c>
      <c r="R668" s="104">
        <f t="shared" si="1121"/>
        <v>0</v>
      </c>
      <c r="S668" s="104">
        <f t="shared" si="1113"/>
        <v>0</v>
      </c>
      <c r="T668" s="105"/>
      <c r="U668" s="100">
        <f t="shared" si="1108"/>
        <v>0</v>
      </c>
      <c r="V668" s="130"/>
      <c r="W668" s="134">
        <f t="shared" si="1114"/>
        <v>0</v>
      </c>
      <c r="X668" s="106">
        <f t="shared" si="1115"/>
        <v>0</v>
      </c>
      <c r="Y668" s="106">
        <f t="shared" si="1116"/>
        <v>0</v>
      </c>
      <c r="Z668" s="106">
        <f t="shared" si="1109"/>
        <v>0</v>
      </c>
      <c r="AA668" s="106">
        <f t="shared" si="1117"/>
        <v>0</v>
      </c>
      <c r="AB668" s="106">
        <f t="shared" si="1118"/>
        <v>0</v>
      </c>
      <c r="AC668" s="107">
        <f t="shared" si="1119"/>
        <v>0</v>
      </c>
    </row>
    <row r="669" spans="1:29" s="82" customFormat="1" ht="16.5" customHeight="1">
      <c r="A669" s="1267"/>
      <c r="B669" s="97"/>
      <c r="C669" s="98"/>
      <c r="D669" s="98"/>
      <c r="E669" s="102" t="s">
        <v>54</v>
      </c>
      <c r="F669" s="104"/>
      <c r="G669" s="104"/>
      <c r="H669" s="104"/>
      <c r="I669" s="105"/>
      <c r="J669" s="104">
        <f t="shared" si="1110"/>
        <v>0</v>
      </c>
      <c r="K669" s="104">
        <f t="shared" si="1111"/>
        <v>0</v>
      </c>
      <c r="L669" s="104">
        <f t="shared" si="1120"/>
        <v>0</v>
      </c>
      <c r="M669" s="104">
        <f>F669*60%</f>
        <v>0</v>
      </c>
      <c r="N669" s="104"/>
      <c r="O669" s="104"/>
      <c r="P669" s="104"/>
      <c r="Q669" s="104">
        <f t="shared" si="1112"/>
        <v>0</v>
      </c>
      <c r="R669" s="104">
        <f t="shared" si="1121"/>
        <v>0</v>
      </c>
      <c r="S669" s="104">
        <f t="shared" si="1113"/>
        <v>0</v>
      </c>
      <c r="T669" s="105"/>
      <c r="U669" s="100">
        <f t="shared" si="1108"/>
        <v>0</v>
      </c>
      <c r="V669" s="130"/>
      <c r="W669" s="134">
        <f t="shared" si="1114"/>
        <v>0</v>
      </c>
      <c r="X669" s="106">
        <f t="shared" si="1115"/>
        <v>0</v>
      </c>
      <c r="Y669" s="106">
        <f t="shared" si="1116"/>
        <v>0</v>
      </c>
      <c r="Z669" s="106">
        <f t="shared" si="1109"/>
        <v>0</v>
      </c>
      <c r="AA669" s="106">
        <f t="shared" si="1117"/>
        <v>0</v>
      </c>
      <c r="AB669" s="106">
        <f t="shared" si="1118"/>
        <v>0</v>
      </c>
      <c r="AC669" s="107">
        <f t="shared" si="1119"/>
        <v>0</v>
      </c>
    </row>
    <row r="670" spans="1:29" s="82" customFormat="1" ht="16.5" customHeight="1">
      <c r="A670" s="1267"/>
      <c r="B670" s="97"/>
      <c r="C670" s="98"/>
      <c r="D670" s="98"/>
      <c r="E670" s="102" t="s">
        <v>55</v>
      </c>
      <c r="F670" s="104"/>
      <c r="G670" s="104"/>
      <c r="H670" s="104"/>
      <c r="I670" s="105"/>
      <c r="J670" s="104">
        <f t="shared" si="1110"/>
        <v>0</v>
      </c>
      <c r="K670" s="104">
        <f t="shared" si="1111"/>
        <v>0</v>
      </c>
      <c r="L670" s="104">
        <f t="shared" si="1120"/>
        <v>0</v>
      </c>
      <c r="M670" s="104">
        <v>0</v>
      </c>
      <c r="N670" s="104"/>
      <c r="O670" s="104"/>
      <c r="P670" s="104"/>
      <c r="Q670" s="104">
        <f t="shared" si="1112"/>
        <v>0</v>
      </c>
      <c r="R670" s="104">
        <f t="shared" si="1121"/>
        <v>0</v>
      </c>
      <c r="S670" s="104">
        <f t="shared" si="1113"/>
        <v>0</v>
      </c>
      <c r="T670" s="105"/>
      <c r="U670" s="100">
        <f t="shared" si="1108"/>
        <v>0</v>
      </c>
      <c r="V670" s="130"/>
      <c r="W670" s="134">
        <f t="shared" si="1114"/>
        <v>0</v>
      </c>
      <c r="X670" s="106">
        <f t="shared" si="1115"/>
        <v>0</v>
      </c>
      <c r="Y670" s="106">
        <f t="shared" si="1116"/>
        <v>0</v>
      </c>
      <c r="Z670" s="106">
        <f t="shared" si="1109"/>
        <v>0</v>
      </c>
      <c r="AA670" s="106">
        <f t="shared" si="1117"/>
        <v>0</v>
      </c>
      <c r="AB670" s="106">
        <f t="shared" si="1118"/>
        <v>0</v>
      </c>
      <c r="AC670" s="107">
        <f t="shared" si="1119"/>
        <v>0</v>
      </c>
    </row>
    <row r="671" spans="1:29" s="82" customFormat="1" ht="16.5" customHeight="1">
      <c r="A671" s="1267"/>
      <c r="B671" s="97"/>
      <c r="C671" s="98"/>
      <c r="D671" s="98"/>
      <c r="E671" s="102" t="s">
        <v>56</v>
      </c>
      <c r="F671" s="104"/>
      <c r="G671" s="104"/>
      <c r="H671" s="104"/>
      <c r="I671" s="105"/>
      <c r="J671" s="104">
        <f t="shared" si="1110"/>
        <v>0</v>
      </c>
      <c r="K671" s="104">
        <f t="shared" si="1111"/>
        <v>0</v>
      </c>
      <c r="L671" s="104">
        <f t="shared" si="1120"/>
        <v>0</v>
      </c>
      <c r="M671" s="104">
        <v>0</v>
      </c>
      <c r="N671" s="104"/>
      <c r="O671" s="104"/>
      <c r="P671" s="104"/>
      <c r="Q671" s="104">
        <f t="shared" si="1112"/>
        <v>0</v>
      </c>
      <c r="R671" s="104">
        <f t="shared" si="1121"/>
        <v>0</v>
      </c>
      <c r="S671" s="104">
        <f t="shared" si="1113"/>
        <v>0</v>
      </c>
      <c r="T671" s="105"/>
      <c r="U671" s="100">
        <f t="shared" si="1108"/>
        <v>0</v>
      </c>
      <c r="V671" s="130"/>
      <c r="W671" s="134">
        <f t="shared" si="1114"/>
        <v>0</v>
      </c>
      <c r="X671" s="106">
        <f t="shared" si="1115"/>
        <v>0</v>
      </c>
      <c r="Y671" s="106">
        <f t="shared" si="1116"/>
        <v>0</v>
      </c>
      <c r="Z671" s="106">
        <f t="shared" si="1109"/>
        <v>0</v>
      </c>
      <c r="AA671" s="106">
        <f t="shared" si="1117"/>
        <v>0</v>
      </c>
      <c r="AB671" s="106">
        <f t="shared" si="1118"/>
        <v>0</v>
      </c>
      <c r="AC671" s="107">
        <f t="shared" si="1119"/>
        <v>0</v>
      </c>
    </row>
    <row r="672" spans="1:29" s="82" customFormat="1" ht="16.5" customHeight="1">
      <c r="A672" s="1268"/>
      <c r="B672" s="108"/>
      <c r="C672" s="109"/>
      <c r="D672" s="109"/>
      <c r="E672" s="136" t="s">
        <v>281</v>
      </c>
      <c r="F672" s="137">
        <f>F671</f>
        <v>0</v>
      </c>
      <c r="G672" s="137"/>
      <c r="H672" s="137"/>
      <c r="I672" s="138"/>
      <c r="J672" s="137">
        <f t="shared" si="1110"/>
        <v>0</v>
      </c>
      <c r="K672" s="137">
        <f t="shared" ref="K672" si="1122">J672*20*2</f>
        <v>0</v>
      </c>
      <c r="L672" s="137">
        <f t="shared" si="1120"/>
        <v>0</v>
      </c>
      <c r="M672" s="137">
        <v>0</v>
      </c>
      <c r="N672" s="137"/>
      <c r="O672" s="137"/>
      <c r="P672" s="137"/>
      <c r="Q672" s="137">
        <f t="shared" si="1112"/>
        <v>0</v>
      </c>
      <c r="R672" s="137">
        <f>Q672*20*2</f>
        <v>0</v>
      </c>
      <c r="S672" s="137">
        <f>Q672*5*2</f>
        <v>0</v>
      </c>
      <c r="T672" s="138"/>
      <c r="U672" s="100">
        <f t="shared" si="1108"/>
        <v>0</v>
      </c>
      <c r="V672" s="131"/>
      <c r="W672" s="23">
        <f t="shared" si="1114"/>
        <v>0</v>
      </c>
      <c r="X672" s="140">
        <f t="shared" si="1115"/>
        <v>0</v>
      </c>
      <c r="Y672" s="140">
        <f t="shared" si="1116"/>
        <v>0</v>
      </c>
      <c r="Z672" s="140">
        <f t="shared" si="1109"/>
        <v>0</v>
      </c>
      <c r="AA672" s="140">
        <f t="shared" si="1117"/>
        <v>0</v>
      </c>
      <c r="AB672" s="140">
        <f t="shared" si="1118"/>
        <v>0</v>
      </c>
      <c r="AC672" s="141">
        <f t="shared" si="1119"/>
        <v>0</v>
      </c>
    </row>
    <row r="673" spans="1:29" s="82" customFormat="1" ht="16.5" customHeight="1">
      <c r="A673" s="157"/>
      <c r="B673" s="180"/>
      <c r="C673" s="161"/>
      <c r="D673" s="161"/>
      <c r="E673" s="162"/>
      <c r="F673" s="163"/>
      <c r="G673" s="163"/>
      <c r="H673" s="163"/>
      <c r="I673" s="163"/>
      <c r="J673" s="163"/>
      <c r="K673" s="163"/>
      <c r="L673" s="163"/>
      <c r="M673" s="163"/>
      <c r="N673" s="163"/>
      <c r="O673" s="163"/>
      <c r="P673" s="163"/>
      <c r="Q673" s="163"/>
      <c r="R673" s="163"/>
      <c r="S673" s="163"/>
      <c r="T673" s="164"/>
      <c r="U673" s="165"/>
      <c r="V673" s="166"/>
      <c r="W673" s="167"/>
      <c r="X673" s="167"/>
      <c r="Y673" s="167"/>
      <c r="Z673" s="167"/>
      <c r="AA673" s="167"/>
      <c r="AB673" s="167"/>
      <c r="AC673" s="168"/>
    </row>
    <row r="674" spans="1:29" s="84" customFormat="1" ht="15.75" customHeight="1">
      <c r="A674" s="10"/>
      <c r="B674" s="10"/>
      <c r="C674" s="10"/>
      <c r="D674" s="10"/>
      <c r="E674" s="10"/>
      <c r="F674" s="11"/>
      <c r="G674" s="11"/>
      <c r="H674" s="11"/>
      <c r="I674" s="11"/>
      <c r="J674" s="11"/>
      <c r="K674" s="12"/>
      <c r="L674" s="12"/>
      <c r="M674" s="12"/>
      <c r="N674" s="13"/>
      <c r="O674" s="14"/>
      <c r="P674" s="14"/>
      <c r="Q674" s="14"/>
      <c r="R674" s="14"/>
      <c r="S674" s="14"/>
      <c r="T674" s="11"/>
      <c r="U674" s="11"/>
      <c r="V674" s="15"/>
      <c r="W674" s="11"/>
      <c r="X674" s="11"/>
      <c r="Y674" s="11"/>
      <c r="Z674" s="11"/>
      <c r="AA674" s="11"/>
      <c r="AB674" s="14"/>
      <c r="AC674" s="16"/>
    </row>
    <row r="675" spans="1:29" s="84" customFormat="1" ht="19.5" customHeight="1">
      <c r="A675" s="1264" t="s">
        <v>472</v>
      </c>
      <c r="B675" s="1264"/>
      <c r="C675" s="1264"/>
      <c r="D675" s="89"/>
      <c r="E675" s="89"/>
      <c r="F675" s="90"/>
      <c r="G675" s="90"/>
      <c r="H675" s="90"/>
      <c r="I675" s="90"/>
      <c r="J675" s="90"/>
      <c r="K675" s="91"/>
      <c r="L675" s="91"/>
      <c r="M675" s="91"/>
      <c r="N675" s="92"/>
      <c r="O675" s="113"/>
      <c r="P675" s="113"/>
      <c r="Q675" s="113"/>
      <c r="R675" s="113"/>
      <c r="S675" s="113"/>
      <c r="T675" s="90"/>
      <c r="U675" s="90"/>
      <c r="V675" s="94"/>
      <c r="W675" s="90"/>
      <c r="X675" s="90"/>
      <c r="Y675" s="90"/>
      <c r="Z675" s="90"/>
      <c r="AA675" s="90"/>
      <c r="AB675" s="113"/>
      <c r="AC675" s="95" t="s">
        <v>65</v>
      </c>
    </row>
    <row r="676" spans="1:29" s="82" customFormat="1" ht="42" customHeight="1" thickBot="1">
      <c r="A676" s="114" t="s">
        <v>66</v>
      </c>
      <c r="B676" s="115" t="s">
        <v>67</v>
      </c>
      <c r="C676" s="115" t="s">
        <v>68</v>
      </c>
      <c r="D676" s="115" t="s">
        <v>69</v>
      </c>
      <c r="E676" s="115" t="s">
        <v>70</v>
      </c>
      <c r="F676" s="116" t="s">
        <v>71</v>
      </c>
      <c r="G676" s="117" t="s">
        <v>72</v>
      </c>
      <c r="H676" s="117" t="s">
        <v>73</v>
      </c>
      <c r="I676" s="117" t="s">
        <v>843</v>
      </c>
      <c r="J676" s="117" t="s">
        <v>844</v>
      </c>
      <c r="K676" s="117" t="s">
        <v>844</v>
      </c>
      <c r="L676" s="117" t="s">
        <v>844</v>
      </c>
      <c r="M676" s="117" t="s">
        <v>76</v>
      </c>
      <c r="N676" s="118" t="s">
        <v>460</v>
      </c>
      <c r="O676" s="117" t="s">
        <v>418</v>
      </c>
      <c r="P676" s="117"/>
      <c r="Q676" s="117" t="str">
        <f>Q4</f>
        <v>운영비 보조금
시간외 
시간당수강</v>
      </c>
      <c r="R676" s="117" t="s">
        <v>461</v>
      </c>
      <c r="S676" s="117" t="s">
        <v>612</v>
      </c>
      <c r="T676" s="117" t="s">
        <v>53</v>
      </c>
      <c r="U676" s="120" t="s">
        <v>78</v>
      </c>
      <c r="V676" s="129" t="s">
        <v>79</v>
      </c>
      <c r="W676" s="135" t="s">
        <v>38</v>
      </c>
      <c r="X676" s="120" t="s">
        <v>80</v>
      </c>
      <c r="Y676" s="120" t="s">
        <v>81</v>
      </c>
      <c r="Z676" s="119" t="s">
        <v>266</v>
      </c>
      <c r="AA676" s="120" t="s">
        <v>82</v>
      </c>
      <c r="AB676" s="119" t="s">
        <v>83</v>
      </c>
      <c r="AC676" s="121" t="s">
        <v>84</v>
      </c>
    </row>
    <row r="677" spans="1:29" s="83" customFormat="1" ht="24.75" customHeight="1" thickTop="1">
      <c r="A677" s="1265" t="s">
        <v>85</v>
      </c>
      <c r="B677" s="1266"/>
      <c r="C677" s="1266"/>
      <c r="D677" s="1266"/>
      <c r="E677" s="1266"/>
      <c r="F677" s="96">
        <f t="shared" ref="F677:O677" si="1123">F678+F691+F706</f>
        <v>0</v>
      </c>
      <c r="G677" s="96">
        <f t="shared" si="1123"/>
        <v>0</v>
      </c>
      <c r="H677" s="96">
        <f t="shared" si="1123"/>
        <v>0</v>
      </c>
      <c r="I677" s="96">
        <f t="shared" si="1123"/>
        <v>0</v>
      </c>
      <c r="J677" s="96">
        <f t="shared" si="1123"/>
        <v>0</v>
      </c>
      <c r="K677" s="96">
        <f t="shared" si="1123"/>
        <v>0</v>
      </c>
      <c r="L677" s="96">
        <f t="shared" si="1123"/>
        <v>0</v>
      </c>
      <c r="M677" s="96">
        <f t="shared" si="1123"/>
        <v>0</v>
      </c>
      <c r="N677" s="96">
        <f t="shared" si="1123"/>
        <v>0</v>
      </c>
      <c r="O677" s="96">
        <f t="shared" si="1123"/>
        <v>0</v>
      </c>
      <c r="P677" s="96"/>
      <c r="Q677" s="96"/>
      <c r="R677" s="49">
        <f>R678+R691+R706</f>
        <v>0</v>
      </c>
      <c r="S677" s="96">
        <f>S678+S691+S706</f>
        <v>0</v>
      </c>
      <c r="T677" s="96">
        <f>T678+T691+T706</f>
        <v>0</v>
      </c>
      <c r="U677" s="96">
        <f>U678+U691+U706</f>
        <v>0</v>
      </c>
      <c r="V677" s="142"/>
      <c r="W677" s="48">
        <f t="shared" ref="W677:AB677" si="1124">W678+W691+W706</f>
        <v>0</v>
      </c>
      <c r="X677" s="49">
        <f t="shared" si="1124"/>
        <v>0</v>
      </c>
      <c r="Y677" s="49">
        <f t="shared" si="1124"/>
        <v>0</v>
      </c>
      <c r="Z677" s="49">
        <f t="shared" si="1124"/>
        <v>0</v>
      </c>
      <c r="AA677" s="49">
        <f t="shared" si="1124"/>
        <v>0</v>
      </c>
      <c r="AB677" s="49">
        <f t="shared" si="1124"/>
        <v>0</v>
      </c>
      <c r="AC677" s="21">
        <f>AC678+AC691</f>
        <v>0</v>
      </c>
    </row>
    <row r="678" spans="1:29" s="82" customFormat="1" ht="22.5" customHeight="1">
      <c r="A678" s="1267">
        <v>1</v>
      </c>
      <c r="B678" s="149" t="s">
        <v>447</v>
      </c>
      <c r="C678" s="150" t="s">
        <v>832</v>
      </c>
      <c r="D678" s="150">
        <v>1</v>
      </c>
      <c r="E678" s="151" t="s">
        <v>86</v>
      </c>
      <c r="F678" s="152">
        <f t="shared" ref="F678:O678" si="1125">SUM(F679:F690)</f>
        <v>0</v>
      </c>
      <c r="G678" s="152">
        <f t="shared" si="1125"/>
        <v>0</v>
      </c>
      <c r="H678" s="152">
        <f t="shared" si="1125"/>
        <v>0</v>
      </c>
      <c r="I678" s="111">
        <f t="shared" ref="I678:L678" si="1126">SUM(I679:I690)</f>
        <v>0</v>
      </c>
      <c r="J678" s="111">
        <f t="shared" si="1126"/>
        <v>0</v>
      </c>
      <c r="K678" s="111">
        <f t="shared" si="1126"/>
        <v>0</v>
      </c>
      <c r="L678" s="111">
        <f t="shared" si="1126"/>
        <v>0</v>
      </c>
      <c r="M678" s="152">
        <f t="shared" si="1125"/>
        <v>0</v>
      </c>
      <c r="N678" s="111">
        <f t="shared" ref="N678" si="1127">SUM(N679:N690)</f>
        <v>0</v>
      </c>
      <c r="O678" s="152">
        <f t="shared" si="1125"/>
        <v>0</v>
      </c>
      <c r="P678" s="111"/>
      <c r="Q678" s="111"/>
      <c r="R678" s="152">
        <f>SUM(R679:R690)</f>
        <v>0</v>
      </c>
      <c r="S678" s="152">
        <f>SUM(S679:S690)</f>
        <v>0</v>
      </c>
      <c r="T678" s="152">
        <f>SUM(T679:T690)</f>
        <v>0</v>
      </c>
      <c r="U678" s="111">
        <f>SUM(U679:U690)</f>
        <v>0</v>
      </c>
      <c r="V678" s="45"/>
      <c r="W678" s="46">
        <f t="shared" ref="W678:AC678" si="1128">SUM(W679:W690)</f>
        <v>0</v>
      </c>
      <c r="X678" s="152">
        <f t="shared" si="1128"/>
        <v>0</v>
      </c>
      <c r="Y678" s="51">
        <f t="shared" si="1128"/>
        <v>0</v>
      </c>
      <c r="Z678" s="51">
        <f t="shared" si="1128"/>
        <v>0</v>
      </c>
      <c r="AA678" s="152">
        <f t="shared" si="1128"/>
        <v>0</v>
      </c>
      <c r="AB678" s="152">
        <f t="shared" si="1128"/>
        <v>0</v>
      </c>
      <c r="AC678" s="47">
        <f t="shared" si="1128"/>
        <v>0</v>
      </c>
    </row>
    <row r="679" spans="1:29" s="82" customFormat="1" ht="16.5" customHeight="1">
      <c r="A679" s="1267"/>
      <c r="B679" s="144" t="s">
        <v>841</v>
      </c>
      <c r="C679" s="177">
        <v>2</v>
      </c>
      <c r="D679" s="177"/>
      <c r="E679" s="178" t="s">
        <v>273</v>
      </c>
      <c r="F679" s="179"/>
      <c r="G679" s="145"/>
      <c r="H679" s="146"/>
      <c r="I679" s="126"/>
      <c r="J679" s="125"/>
      <c r="K679" s="125"/>
      <c r="L679" s="125"/>
      <c r="M679" s="104">
        <f>F679*60%</f>
        <v>0</v>
      </c>
      <c r="N679" s="125"/>
      <c r="O679" s="104"/>
      <c r="P679" s="125"/>
      <c r="Q679" s="125"/>
      <c r="R679" s="104">
        <f t="shared" ref="R679:R680" si="1129">Q679*40</f>
        <v>0</v>
      </c>
      <c r="S679" s="145"/>
      <c r="T679" s="105"/>
      <c r="U679" s="127">
        <f>SUM(I679,L679)</f>
        <v>0</v>
      </c>
      <c r="V679" s="147"/>
      <c r="W679" s="134">
        <f>ROUNDUP(U679*1/12,-1)</f>
        <v>0</v>
      </c>
      <c r="X679" s="106">
        <f>ROUND(U679*4.5%,-1)</f>
        <v>0</v>
      </c>
      <c r="Y679" s="44">
        <f>ROUNDUP((U679-L679)*3.06%,-1)</f>
        <v>0</v>
      </c>
      <c r="Z679" s="106">
        <f t="shared" ref="Z679:Z690" si="1130">ROUNDUP(Y679*6.55%,-1)</f>
        <v>0</v>
      </c>
      <c r="AA679" s="106">
        <f>ROUND(U679*0.9%,-1)</f>
        <v>0</v>
      </c>
      <c r="AB679" s="106">
        <f>ROUND(U679*0.8%,-1)</f>
        <v>0</v>
      </c>
      <c r="AC679" s="148">
        <f t="shared" ref="AC679:AC690" si="1131">SUM(W679:AB679)</f>
        <v>0</v>
      </c>
    </row>
    <row r="680" spans="1:29" s="82" customFormat="1" ht="16.5" customHeight="1">
      <c r="A680" s="1267"/>
      <c r="B680" s="97"/>
      <c r="C680" s="98"/>
      <c r="D680" s="98"/>
      <c r="E680" s="102" t="s">
        <v>274</v>
      </c>
      <c r="F680" s="104"/>
      <c r="G680" s="104"/>
      <c r="H680" s="104"/>
      <c r="I680" s="105"/>
      <c r="J680" s="104">
        <f>ROUND((F679+I679+T679)*1/209*1.5,-1)</f>
        <v>0</v>
      </c>
      <c r="K680" s="104">
        <f>J680*40</f>
        <v>0</v>
      </c>
      <c r="L680" s="104">
        <f t="shared" ref="L680:L690" si="1132">K680-R680</f>
        <v>0</v>
      </c>
      <c r="M680" s="104"/>
      <c r="N680" s="104"/>
      <c r="O680" s="104"/>
      <c r="P680" s="104"/>
      <c r="Q680" s="104">
        <f t="shared" ref="Q680:Q690" si="1133">ROUND((F679+T679)*1/209*1.5,-1)</f>
        <v>0</v>
      </c>
      <c r="R680" s="104">
        <f t="shared" si="1129"/>
        <v>0</v>
      </c>
      <c r="S680" s="104"/>
      <c r="T680" s="105"/>
      <c r="U680" s="100">
        <f t="shared" ref="U680:U690" si="1134">SUM(I680,L680)</f>
        <v>0</v>
      </c>
      <c r="V680" s="130"/>
      <c r="W680" s="134">
        <f t="shared" ref="W680:W690" si="1135">ROUNDUP(U680*1/12,-1)</f>
        <v>0</v>
      </c>
      <c r="X680" s="106">
        <f t="shared" ref="X680:X690" si="1136">ROUND(U680*4.5%,-1)</f>
        <v>0</v>
      </c>
      <c r="Y680" s="106">
        <f t="shared" ref="Y680:Y690" si="1137">ROUNDUP((U680-L680)*3.06%,-1)</f>
        <v>0</v>
      </c>
      <c r="Z680" s="106">
        <f t="shared" si="1130"/>
        <v>0</v>
      </c>
      <c r="AA680" s="106">
        <f t="shared" ref="AA680:AA690" si="1138">ROUND(U680*0.9%,-1)</f>
        <v>0</v>
      </c>
      <c r="AB680" s="106">
        <f t="shared" ref="AB680:AB690" si="1139">ROUND(U680*0.8%,-1)</f>
        <v>0</v>
      </c>
      <c r="AC680" s="107">
        <f t="shared" si="1131"/>
        <v>0</v>
      </c>
    </row>
    <row r="681" spans="1:29" s="82" customFormat="1" ht="16.5" customHeight="1">
      <c r="A681" s="1267"/>
      <c r="B681" s="97"/>
      <c r="C681" s="171">
        <v>3</v>
      </c>
      <c r="D681" s="171"/>
      <c r="E681" s="172" t="s">
        <v>275</v>
      </c>
      <c r="F681" s="173"/>
      <c r="G681" s="104"/>
      <c r="H681" s="104"/>
      <c r="I681" s="105"/>
      <c r="J681" s="104">
        <f t="shared" ref="J681:J690" si="1140">ROUND((F680+I680+T680)*1/209*1.5,-1)</f>
        <v>0</v>
      </c>
      <c r="K681" s="104">
        <f t="shared" ref="K681:K689" si="1141">J681*40</f>
        <v>0</v>
      </c>
      <c r="L681" s="104">
        <f t="shared" si="1132"/>
        <v>0</v>
      </c>
      <c r="M681" s="104" t="s">
        <v>60</v>
      </c>
      <c r="N681" s="104"/>
      <c r="O681" s="104"/>
      <c r="P681" s="104">
        <f>P680</f>
        <v>0</v>
      </c>
      <c r="Q681" s="104">
        <f t="shared" si="1133"/>
        <v>0</v>
      </c>
      <c r="R681" s="104">
        <f>Q681*40</f>
        <v>0</v>
      </c>
      <c r="S681" s="104"/>
      <c r="T681" s="105"/>
      <c r="U681" s="100">
        <f t="shared" si="1134"/>
        <v>0</v>
      </c>
      <c r="V681" s="130"/>
      <c r="W681" s="134">
        <f t="shared" si="1135"/>
        <v>0</v>
      </c>
      <c r="X681" s="106">
        <f t="shared" si="1136"/>
        <v>0</v>
      </c>
      <c r="Y681" s="106">
        <f t="shared" si="1137"/>
        <v>0</v>
      </c>
      <c r="Z681" s="106">
        <f t="shared" si="1130"/>
        <v>0</v>
      </c>
      <c r="AA681" s="106">
        <f t="shared" si="1138"/>
        <v>0</v>
      </c>
      <c r="AB681" s="106">
        <f t="shared" si="1139"/>
        <v>0</v>
      </c>
      <c r="AC681" s="107">
        <f t="shared" si="1131"/>
        <v>0</v>
      </c>
    </row>
    <row r="682" spans="1:29" s="82" customFormat="1" ht="16.5" customHeight="1">
      <c r="A682" s="1267"/>
      <c r="B682" s="97"/>
      <c r="C682" s="98"/>
      <c r="D682" s="98"/>
      <c r="E682" s="102" t="s">
        <v>276</v>
      </c>
      <c r="F682" s="104"/>
      <c r="G682" s="104"/>
      <c r="H682" s="104"/>
      <c r="I682" s="105"/>
      <c r="J682" s="104">
        <f t="shared" si="1140"/>
        <v>0</v>
      </c>
      <c r="K682" s="104">
        <f t="shared" si="1141"/>
        <v>0</v>
      </c>
      <c r="L682" s="104">
        <f t="shared" si="1132"/>
        <v>0</v>
      </c>
      <c r="M682" s="104">
        <v>0</v>
      </c>
      <c r="N682" s="104"/>
      <c r="O682" s="104"/>
      <c r="P682" s="104">
        <f t="shared" ref="P682:P690" si="1142">P681</f>
        <v>0</v>
      </c>
      <c r="Q682" s="104">
        <f t="shared" si="1133"/>
        <v>0</v>
      </c>
      <c r="R682" s="104">
        <f>Q682*40</f>
        <v>0</v>
      </c>
      <c r="S682" s="104"/>
      <c r="T682" s="105"/>
      <c r="U682" s="100">
        <f t="shared" si="1134"/>
        <v>0</v>
      </c>
      <c r="V682" s="130"/>
      <c r="W682" s="134">
        <f t="shared" si="1135"/>
        <v>0</v>
      </c>
      <c r="X682" s="106">
        <f t="shared" si="1136"/>
        <v>0</v>
      </c>
      <c r="Y682" s="106">
        <f t="shared" si="1137"/>
        <v>0</v>
      </c>
      <c r="Z682" s="106">
        <f t="shared" si="1130"/>
        <v>0</v>
      </c>
      <c r="AA682" s="106">
        <f t="shared" si="1138"/>
        <v>0</v>
      </c>
      <c r="AB682" s="106">
        <f t="shared" si="1139"/>
        <v>0</v>
      </c>
      <c r="AC682" s="107">
        <f t="shared" si="1131"/>
        <v>0</v>
      </c>
    </row>
    <row r="683" spans="1:29" s="82" customFormat="1" ht="16.5" customHeight="1">
      <c r="A683" s="1267"/>
      <c r="B683" s="97"/>
      <c r="C683" s="98"/>
      <c r="D683" s="98"/>
      <c r="E683" s="102" t="s">
        <v>277</v>
      </c>
      <c r="F683" s="104"/>
      <c r="G683" s="104"/>
      <c r="H683" s="104"/>
      <c r="I683" s="105"/>
      <c r="J683" s="104">
        <f t="shared" si="1140"/>
        <v>0</v>
      </c>
      <c r="K683" s="104">
        <f t="shared" si="1141"/>
        <v>0</v>
      </c>
      <c r="L683" s="104">
        <f t="shared" si="1132"/>
        <v>0</v>
      </c>
      <c r="M683" s="104">
        <v>0</v>
      </c>
      <c r="N683" s="104"/>
      <c r="O683" s="104"/>
      <c r="P683" s="104">
        <f t="shared" si="1142"/>
        <v>0</v>
      </c>
      <c r="Q683" s="104">
        <f t="shared" si="1133"/>
        <v>0</v>
      </c>
      <c r="R683" s="104">
        <f t="shared" ref="R683:R689" si="1143">Q683*40</f>
        <v>0</v>
      </c>
      <c r="S683" s="104"/>
      <c r="T683" s="105"/>
      <c r="U683" s="100">
        <f t="shared" si="1134"/>
        <v>0</v>
      </c>
      <c r="V683" s="130"/>
      <c r="W683" s="134">
        <f t="shared" si="1135"/>
        <v>0</v>
      </c>
      <c r="X683" s="106">
        <f t="shared" si="1136"/>
        <v>0</v>
      </c>
      <c r="Y683" s="106">
        <f t="shared" si="1137"/>
        <v>0</v>
      </c>
      <c r="Z683" s="106">
        <f t="shared" si="1130"/>
        <v>0</v>
      </c>
      <c r="AA683" s="106">
        <f t="shared" si="1138"/>
        <v>0</v>
      </c>
      <c r="AB683" s="106">
        <f t="shared" si="1139"/>
        <v>0</v>
      </c>
      <c r="AC683" s="107">
        <f t="shared" si="1131"/>
        <v>0</v>
      </c>
    </row>
    <row r="684" spans="1:29" s="82" customFormat="1" ht="16.5" customHeight="1">
      <c r="A684" s="1267"/>
      <c r="B684" s="97"/>
      <c r="C684" s="98"/>
      <c r="D684" s="98"/>
      <c r="E684" s="102" t="s">
        <v>278</v>
      </c>
      <c r="F684" s="104"/>
      <c r="G684" s="104"/>
      <c r="H684" s="104"/>
      <c r="I684" s="105"/>
      <c r="J684" s="104">
        <f t="shared" si="1140"/>
        <v>0</v>
      </c>
      <c r="K684" s="104">
        <f t="shared" si="1141"/>
        <v>0</v>
      </c>
      <c r="L684" s="104">
        <f t="shared" si="1132"/>
        <v>0</v>
      </c>
      <c r="M684" s="104">
        <v>0</v>
      </c>
      <c r="N684" s="104"/>
      <c r="O684" s="104"/>
      <c r="P684" s="104">
        <f t="shared" si="1142"/>
        <v>0</v>
      </c>
      <c r="Q684" s="104">
        <f t="shared" si="1133"/>
        <v>0</v>
      </c>
      <c r="R684" s="104">
        <f t="shared" si="1143"/>
        <v>0</v>
      </c>
      <c r="S684" s="104"/>
      <c r="T684" s="105"/>
      <c r="U684" s="100">
        <f t="shared" si="1134"/>
        <v>0</v>
      </c>
      <c r="V684" s="130"/>
      <c r="W684" s="134">
        <f t="shared" si="1135"/>
        <v>0</v>
      </c>
      <c r="X684" s="106">
        <f t="shared" si="1136"/>
        <v>0</v>
      </c>
      <c r="Y684" s="106">
        <f t="shared" si="1137"/>
        <v>0</v>
      </c>
      <c r="Z684" s="106">
        <f t="shared" si="1130"/>
        <v>0</v>
      </c>
      <c r="AA684" s="106">
        <f t="shared" si="1138"/>
        <v>0</v>
      </c>
      <c r="AB684" s="106">
        <f t="shared" si="1139"/>
        <v>0</v>
      </c>
      <c r="AC684" s="107">
        <f t="shared" si="1131"/>
        <v>0</v>
      </c>
    </row>
    <row r="685" spans="1:29" s="82" customFormat="1" ht="16.5" customHeight="1">
      <c r="A685" s="1267"/>
      <c r="B685" s="97"/>
      <c r="C685" s="98"/>
      <c r="D685" s="98"/>
      <c r="E685" s="102" t="s">
        <v>279</v>
      </c>
      <c r="F685" s="106"/>
      <c r="G685" s="104"/>
      <c r="H685" s="103"/>
      <c r="I685" s="105"/>
      <c r="J685" s="104">
        <f t="shared" si="1140"/>
        <v>0</v>
      </c>
      <c r="K685" s="104">
        <f t="shared" si="1141"/>
        <v>0</v>
      </c>
      <c r="L685" s="104">
        <f t="shared" si="1132"/>
        <v>0</v>
      </c>
      <c r="M685" s="104">
        <v>0</v>
      </c>
      <c r="N685" s="104"/>
      <c r="O685" s="104"/>
      <c r="P685" s="104">
        <f t="shared" si="1142"/>
        <v>0</v>
      </c>
      <c r="Q685" s="104">
        <f t="shared" si="1133"/>
        <v>0</v>
      </c>
      <c r="R685" s="104">
        <f t="shared" si="1143"/>
        <v>0</v>
      </c>
      <c r="S685" s="104"/>
      <c r="T685" s="105"/>
      <c r="U685" s="100">
        <f t="shared" si="1134"/>
        <v>0</v>
      </c>
      <c r="V685" s="130"/>
      <c r="W685" s="134">
        <f t="shared" si="1135"/>
        <v>0</v>
      </c>
      <c r="X685" s="106">
        <f t="shared" si="1136"/>
        <v>0</v>
      </c>
      <c r="Y685" s="106">
        <f t="shared" si="1137"/>
        <v>0</v>
      </c>
      <c r="Z685" s="106">
        <f t="shared" si="1130"/>
        <v>0</v>
      </c>
      <c r="AA685" s="106">
        <f t="shared" si="1138"/>
        <v>0</v>
      </c>
      <c r="AB685" s="106">
        <f t="shared" si="1139"/>
        <v>0</v>
      </c>
      <c r="AC685" s="107">
        <f t="shared" si="1131"/>
        <v>0</v>
      </c>
    </row>
    <row r="686" spans="1:29" s="82" customFormat="1" ht="16.5" customHeight="1">
      <c r="A686" s="1267"/>
      <c r="B686" s="97"/>
      <c r="C686" s="98"/>
      <c r="D686" s="98"/>
      <c r="E686" s="102" t="s">
        <v>280</v>
      </c>
      <c r="F686" s="104"/>
      <c r="G686" s="104"/>
      <c r="H686" s="104"/>
      <c r="I686" s="105"/>
      <c r="J686" s="104">
        <f t="shared" si="1140"/>
        <v>0</v>
      </c>
      <c r="K686" s="104">
        <f t="shared" si="1141"/>
        <v>0</v>
      </c>
      <c r="L686" s="104">
        <f t="shared" si="1132"/>
        <v>0</v>
      </c>
      <c r="M686" s="104">
        <v>0</v>
      </c>
      <c r="N686" s="104"/>
      <c r="O686" s="104"/>
      <c r="P686" s="104">
        <f t="shared" si="1142"/>
        <v>0</v>
      </c>
      <c r="Q686" s="104">
        <f t="shared" si="1133"/>
        <v>0</v>
      </c>
      <c r="R686" s="104">
        <f t="shared" si="1143"/>
        <v>0</v>
      </c>
      <c r="S686" s="104"/>
      <c r="T686" s="105"/>
      <c r="U686" s="100">
        <f t="shared" si="1134"/>
        <v>0</v>
      </c>
      <c r="V686" s="130"/>
      <c r="W686" s="134">
        <f t="shared" si="1135"/>
        <v>0</v>
      </c>
      <c r="X686" s="106">
        <f t="shared" si="1136"/>
        <v>0</v>
      </c>
      <c r="Y686" s="106">
        <f t="shared" si="1137"/>
        <v>0</v>
      </c>
      <c r="Z686" s="106">
        <f t="shared" si="1130"/>
        <v>0</v>
      </c>
      <c r="AA686" s="106">
        <f t="shared" si="1138"/>
        <v>0</v>
      </c>
      <c r="AB686" s="106">
        <f t="shared" si="1139"/>
        <v>0</v>
      </c>
      <c r="AC686" s="107">
        <f t="shared" si="1131"/>
        <v>0</v>
      </c>
    </row>
    <row r="687" spans="1:29" s="82" customFormat="1" ht="16.5" customHeight="1">
      <c r="A687" s="1267"/>
      <c r="B687" s="97"/>
      <c r="C687" s="98"/>
      <c r="D687" s="98"/>
      <c r="E687" s="102" t="s">
        <v>54</v>
      </c>
      <c r="F687" s="104"/>
      <c r="G687" s="104"/>
      <c r="H687" s="104"/>
      <c r="I687" s="105"/>
      <c r="J687" s="104">
        <f t="shared" si="1140"/>
        <v>0</v>
      </c>
      <c r="K687" s="104">
        <f t="shared" si="1141"/>
        <v>0</v>
      </c>
      <c r="L687" s="104">
        <f t="shared" si="1132"/>
        <v>0</v>
      </c>
      <c r="M687" s="104">
        <f>F687*60%</f>
        <v>0</v>
      </c>
      <c r="N687" s="104"/>
      <c r="O687" s="104"/>
      <c r="P687" s="104">
        <f t="shared" si="1142"/>
        <v>0</v>
      </c>
      <c r="Q687" s="104">
        <f t="shared" si="1133"/>
        <v>0</v>
      </c>
      <c r="R687" s="104">
        <f t="shared" si="1143"/>
        <v>0</v>
      </c>
      <c r="S687" s="104"/>
      <c r="T687" s="105"/>
      <c r="U687" s="100">
        <f t="shared" si="1134"/>
        <v>0</v>
      </c>
      <c r="V687" s="130"/>
      <c r="W687" s="134">
        <f t="shared" si="1135"/>
        <v>0</v>
      </c>
      <c r="X687" s="106">
        <f t="shared" si="1136"/>
        <v>0</v>
      </c>
      <c r="Y687" s="106">
        <f t="shared" si="1137"/>
        <v>0</v>
      </c>
      <c r="Z687" s="106">
        <f t="shared" si="1130"/>
        <v>0</v>
      </c>
      <c r="AA687" s="106">
        <f t="shared" si="1138"/>
        <v>0</v>
      </c>
      <c r="AB687" s="106">
        <f t="shared" si="1139"/>
        <v>0</v>
      </c>
      <c r="AC687" s="107">
        <f t="shared" si="1131"/>
        <v>0</v>
      </c>
    </row>
    <row r="688" spans="1:29" s="82" customFormat="1" ht="16.5" customHeight="1">
      <c r="A688" s="1267"/>
      <c r="B688" s="97"/>
      <c r="C688" s="98"/>
      <c r="D688" s="98"/>
      <c r="E688" s="102" t="s">
        <v>55</v>
      </c>
      <c r="F688" s="105"/>
      <c r="G688" s="104"/>
      <c r="H688" s="104"/>
      <c r="I688" s="105"/>
      <c r="J688" s="104">
        <f t="shared" si="1140"/>
        <v>0</v>
      </c>
      <c r="K688" s="104">
        <f t="shared" si="1141"/>
        <v>0</v>
      </c>
      <c r="L688" s="104">
        <f t="shared" si="1132"/>
        <v>0</v>
      </c>
      <c r="M688" s="104">
        <v>0</v>
      </c>
      <c r="N688" s="104"/>
      <c r="O688" s="104"/>
      <c r="P688" s="104">
        <f t="shared" si="1142"/>
        <v>0</v>
      </c>
      <c r="Q688" s="104">
        <f t="shared" si="1133"/>
        <v>0</v>
      </c>
      <c r="R688" s="104">
        <f t="shared" si="1143"/>
        <v>0</v>
      </c>
      <c r="S688" s="104"/>
      <c r="T688" s="105"/>
      <c r="U688" s="100">
        <f t="shared" si="1134"/>
        <v>0</v>
      </c>
      <c r="V688" s="130"/>
      <c r="W688" s="134">
        <f t="shared" si="1135"/>
        <v>0</v>
      </c>
      <c r="X688" s="106">
        <f t="shared" si="1136"/>
        <v>0</v>
      </c>
      <c r="Y688" s="106">
        <f t="shared" si="1137"/>
        <v>0</v>
      </c>
      <c r="Z688" s="106">
        <f t="shared" si="1130"/>
        <v>0</v>
      </c>
      <c r="AA688" s="106">
        <f t="shared" si="1138"/>
        <v>0</v>
      </c>
      <c r="AB688" s="106">
        <f t="shared" si="1139"/>
        <v>0</v>
      </c>
      <c r="AC688" s="107">
        <f t="shared" si="1131"/>
        <v>0</v>
      </c>
    </row>
    <row r="689" spans="1:29" s="82" customFormat="1" ht="16.5" customHeight="1">
      <c r="A689" s="1267"/>
      <c r="B689" s="97"/>
      <c r="C689" s="98"/>
      <c r="D689" s="98"/>
      <c r="E689" s="102" t="s">
        <v>56</v>
      </c>
      <c r="F689" s="104"/>
      <c r="G689" s="104"/>
      <c r="H689" s="104"/>
      <c r="I689" s="105"/>
      <c r="J689" s="104">
        <f t="shared" si="1140"/>
        <v>0</v>
      </c>
      <c r="K689" s="104">
        <f t="shared" si="1141"/>
        <v>0</v>
      </c>
      <c r="L689" s="104">
        <f t="shared" si="1132"/>
        <v>0</v>
      </c>
      <c r="M689" s="104">
        <v>0</v>
      </c>
      <c r="N689" s="104"/>
      <c r="O689" s="104"/>
      <c r="P689" s="104">
        <f t="shared" si="1142"/>
        <v>0</v>
      </c>
      <c r="Q689" s="104">
        <f t="shared" si="1133"/>
        <v>0</v>
      </c>
      <c r="R689" s="104">
        <f t="shared" si="1143"/>
        <v>0</v>
      </c>
      <c r="S689" s="104"/>
      <c r="T689" s="105"/>
      <c r="U689" s="100">
        <f t="shared" si="1134"/>
        <v>0</v>
      </c>
      <c r="V689" s="130"/>
      <c r="W689" s="134">
        <f t="shared" si="1135"/>
        <v>0</v>
      </c>
      <c r="X689" s="106">
        <f t="shared" si="1136"/>
        <v>0</v>
      </c>
      <c r="Y689" s="106">
        <f t="shared" si="1137"/>
        <v>0</v>
      </c>
      <c r="Z689" s="106">
        <f t="shared" si="1130"/>
        <v>0</v>
      </c>
      <c r="AA689" s="106">
        <f t="shared" si="1138"/>
        <v>0</v>
      </c>
      <c r="AB689" s="106">
        <f t="shared" si="1139"/>
        <v>0</v>
      </c>
      <c r="AC689" s="107">
        <f t="shared" si="1131"/>
        <v>0</v>
      </c>
    </row>
    <row r="690" spans="1:29" s="82" customFormat="1" ht="16.5" customHeight="1">
      <c r="A690" s="1268"/>
      <c r="B690" s="108"/>
      <c r="C690" s="109"/>
      <c r="D690" s="109"/>
      <c r="E690" s="136" t="s">
        <v>281</v>
      </c>
      <c r="F690" s="137"/>
      <c r="G690" s="137"/>
      <c r="H690" s="137"/>
      <c r="I690" s="138"/>
      <c r="J690" s="137">
        <f t="shared" si="1140"/>
        <v>0</v>
      </c>
      <c r="K690" s="137">
        <f>J690*40*2</f>
        <v>0</v>
      </c>
      <c r="L690" s="137">
        <f t="shared" si="1132"/>
        <v>0</v>
      </c>
      <c r="M690" s="137">
        <v>0</v>
      </c>
      <c r="N690" s="137"/>
      <c r="O690" s="137"/>
      <c r="P690" s="137">
        <f t="shared" si="1142"/>
        <v>0</v>
      </c>
      <c r="Q690" s="137">
        <f t="shared" si="1133"/>
        <v>0</v>
      </c>
      <c r="R690" s="137">
        <f>Q690*40*2</f>
        <v>0</v>
      </c>
      <c r="S690" s="137"/>
      <c r="T690" s="138"/>
      <c r="U690" s="111">
        <f t="shared" si="1134"/>
        <v>0</v>
      </c>
      <c r="V690" s="131"/>
      <c r="W690" s="139">
        <f t="shared" si="1135"/>
        <v>0</v>
      </c>
      <c r="X690" s="140">
        <f t="shared" si="1136"/>
        <v>0</v>
      </c>
      <c r="Y690" s="140">
        <f t="shared" si="1137"/>
        <v>0</v>
      </c>
      <c r="Z690" s="140">
        <f t="shared" si="1130"/>
        <v>0</v>
      </c>
      <c r="AA690" s="140">
        <f t="shared" si="1138"/>
        <v>0</v>
      </c>
      <c r="AB690" s="140">
        <f t="shared" si="1139"/>
        <v>0</v>
      </c>
      <c r="AC690" s="141">
        <f t="shared" si="1131"/>
        <v>0</v>
      </c>
    </row>
    <row r="691" spans="1:29" s="82" customFormat="1" ht="22.5" customHeight="1">
      <c r="A691" s="1272">
        <v>2</v>
      </c>
      <c r="B691" s="149" t="s">
        <v>447</v>
      </c>
      <c r="C691" s="150">
        <v>2</v>
      </c>
      <c r="D691" s="150">
        <v>1</v>
      </c>
      <c r="E691" s="151" t="s">
        <v>86</v>
      </c>
      <c r="F691" s="152">
        <f t="shared" ref="F691:U691" si="1144">SUM(F692:F703)</f>
        <v>0</v>
      </c>
      <c r="G691" s="152">
        <f t="shared" si="1144"/>
        <v>0</v>
      </c>
      <c r="H691" s="152">
        <f t="shared" si="1144"/>
        <v>0</v>
      </c>
      <c r="I691" s="126"/>
      <c r="J691" s="125"/>
      <c r="K691" s="125"/>
      <c r="L691" s="125"/>
      <c r="M691" s="152">
        <f t="shared" si="1144"/>
        <v>0</v>
      </c>
      <c r="N691" s="152">
        <f t="shared" si="1144"/>
        <v>0</v>
      </c>
      <c r="O691" s="152">
        <f t="shared" si="1144"/>
        <v>0</v>
      </c>
      <c r="P691" s="152"/>
      <c r="Q691" s="152"/>
      <c r="R691" s="152">
        <f>SUM(R692:R703)</f>
        <v>0</v>
      </c>
      <c r="S691" s="152">
        <f t="shared" si="1144"/>
        <v>0</v>
      </c>
      <c r="T691" s="152">
        <f t="shared" si="1144"/>
        <v>0</v>
      </c>
      <c r="U691" s="152">
        <f t="shared" si="1144"/>
        <v>0</v>
      </c>
      <c r="V691" s="45"/>
      <c r="W691" s="46">
        <f t="shared" ref="W691:AC691" si="1145">SUM(W692:W703)</f>
        <v>0</v>
      </c>
      <c r="X691" s="152">
        <f t="shared" si="1145"/>
        <v>0</v>
      </c>
      <c r="Y691" s="152">
        <f t="shared" si="1145"/>
        <v>0</v>
      </c>
      <c r="Z691" s="152">
        <f t="shared" si="1145"/>
        <v>0</v>
      </c>
      <c r="AA691" s="152">
        <f t="shared" si="1145"/>
        <v>0</v>
      </c>
      <c r="AB691" s="152">
        <f t="shared" si="1145"/>
        <v>0</v>
      </c>
      <c r="AC691" s="47">
        <f t="shared" si="1145"/>
        <v>0</v>
      </c>
    </row>
    <row r="692" spans="1:29" s="82" customFormat="1" ht="17.25" customHeight="1">
      <c r="A692" s="1267"/>
      <c r="B692" s="144"/>
      <c r="C692" s="41"/>
      <c r="D692" s="41"/>
      <c r="E692" s="42" t="s">
        <v>273</v>
      </c>
      <c r="F692" s="146"/>
      <c r="G692" s="145"/>
      <c r="H692" s="146"/>
      <c r="I692" s="43"/>
      <c r="J692" s="145"/>
      <c r="K692" s="145"/>
      <c r="L692" s="145"/>
      <c r="M692" s="104">
        <f>F692*50%</f>
        <v>0</v>
      </c>
      <c r="N692" s="145"/>
      <c r="O692" s="145"/>
      <c r="P692" s="125"/>
      <c r="Q692" s="125"/>
      <c r="R692" s="104"/>
      <c r="S692" s="145"/>
      <c r="T692" s="43"/>
      <c r="U692" s="100">
        <f>SUM(F692:T692)-Q692</f>
        <v>0</v>
      </c>
      <c r="V692" s="147"/>
      <c r="W692" s="50">
        <f>ROUNDUP(U692*1/12,-1)</f>
        <v>0</v>
      </c>
      <c r="X692" s="44">
        <f t="shared" ref="X692:X703" si="1146">ROUND(U692*4.5%,-1)</f>
        <v>0</v>
      </c>
      <c r="Y692" s="106">
        <f>ROUNDUP((U692-L692)*2.82%,-1)</f>
        <v>0</v>
      </c>
      <c r="Z692" s="106">
        <f>ROUNDUP(Y692*6.55%,-1)</f>
        <v>0</v>
      </c>
      <c r="AA692" s="68">
        <f>ROUND(U692*0.8%,-1)</f>
        <v>0</v>
      </c>
      <c r="AB692" s="44">
        <f>ROUND(U692*0.785%,-1)</f>
        <v>0</v>
      </c>
      <c r="AC692" s="148">
        <f t="shared" ref="AC692:AC703" si="1147">SUM(W692:AB692)</f>
        <v>0</v>
      </c>
    </row>
    <row r="693" spans="1:29" s="82" customFormat="1" ht="17.25" customHeight="1">
      <c r="A693" s="1267"/>
      <c r="B693" s="97"/>
      <c r="C693" s="98"/>
      <c r="D693" s="98"/>
      <c r="E693" s="102" t="s">
        <v>274</v>
      </c>
      <c r="F693" s="104">
        <f>F692</f>
        <v>0</v>
      </c>
      <c r="G693" s="104"/>
      <c r="H693" s="104"/>
      <c r="I693" s="104"/>
      <c r="J693" s="104"/>
      <c r="K693" s="104"/>
      <c r="L693" s="104"/>
      <c r="M693" s="104"/>
      <c r="N693" s="104"/>
      <c r="O693" s="104"/>
      <c r="P693" s="104">
        <f>(M692+M700)/12</f>
        <v>0</v>
      </c>
      <c r="Q693" s="104">
        <f>ROUND((F692+P693+T693)*1/209*1.5,-1)</f>
        <v>0</v>
      </c>
      <c r="R693" s="104"/>
      <c r="S693" s="104"/>
      <c r="T693" s="105"/>
      <c r="U693" s="100">
        <f t="shared" ref="U693:U703" si="1148">SUM(F693:T693)-Q693</f>
        <v>0</v>
      </c>
      <c r="V693" s="130"/>
      <c r="W693" s="20">
        <f t="shared" ref="W693:W703" si="1149">ROUNDUP(U693*1/12,-1)</f>
        <v>0</v>
      </c>
      <c r="X693" s="106">
        <f t="shared" si="1146"/>
        <v>0</v>
      </c>
      <c r="Y693" s="106">
        <f t="shared" ref="Y693:Y703" si="1150">ROUNDUP((U693-L693)*2.82%,-1)</f>
        <v>0</v>
      </c>
      <c r="Z693" s="106">
        <f t="shared" ref="Z693:Z703" si="1151">ROUNDUP(Y693*6.55%,-1)</f>
        <v>0</v>
      </c>
      <c r="AA693" s="106">
        <f t="shared" ref="AA693:AA703" si="1152">ROUND(U693*0.8%,-1)</f>
        <v>0</v>
      </c>
      <c r="AB693" s="106">
        <f t="shared" ref="AB693:AB703" si="1153">ROUND(U693*0.785%,-1)</f>
        <v>0</v>
      </c>
      <c r="AC693" s="107">
        <f t="shared" si="1147"/>
        <v>0</v>
      </c>
    </row>
    <row r="694" spans="1:29" s="82" customFormat="1" ht="17.25" customHeight="1">
      <c r="A694" s="1267"/>
      <c r="B694" s="97"/>
      <c r="C694" s="98"/>
      <c r="D694" s="98"/>
      <c r="E694" s="102" t="s">
        <v>275</v>
      </c>
      <c r="F694" s="104">
        <f>F692</f>
        <v>0</v>
      </c>
      <c r="G694" s="104"/>
      <c r="H694" s="104"/>
      <c r="I694" s="104"/>
      <c r="J694" s="104"/>
      <c r="K694" s="104"/>
      <c r="L694" s="104"/>
      <c r="M694" s="104" t="s">
        <v>60</v>
      </c>
      <c r="N694" s="104"/>
      <c r="O694" s="104"/>
      <c r="P694" s="104">
        <f t="shared" ref="P694:P703" si="1154">P693</f>
        <v>0</v>
      </c>
      <c r="Q694" s="104">
        <f t="shared" ref="Q694:Q703" si="1155">ROUND((F693+P694+T694)*1/209*1.5,-1)</f>
        <v>0</v>
      </c>
      <c r="R694" s="104"/>
      <c r="S694" s="104"/>
      <c r="T694" s="105"/>
      <c r="U694" s="100">
        <f t="shared" si="1148"/>
        <v>0</v>
      </c>
      <c r="V694" s="130"/>
      <c r="W694" s="20">
        <f t="shared" si="1149"/>
        <v>0</v>
      </c>
      <c r="X694" s="106">
        <f t="shared" si="1146"/>
        <v>0</v>
      </c>
      <c r="Y694" s="106">
        <f t="shared" si="1150"/>
        <v>0</v>
      </c>
      <c r="Z694" s="106">
        <f t="shared" si="1151"/>
        <v>0</v>
      </c>
      <c r="AA694" s="106">
        <f t="shared" si="1152"/>
        <v>0</v>
      </c>
      <c r="AB694" s="106">
        <f t="shared" si="1153"/>
        <v>0</v>
      </c>
      <c r="AC694" s="107">
        <f t="shared" si="1147"/>
        <v>0</v>
      </c>
    </row>
    <row r="695" spans="1:29" s="82" customFormat="1" ht="17.25" customHeight="1">
      <c r="A695" s="1267"/>
      <c r="B695" s="97"/>
      <c r="C695" s="98"/>
      <c r="D695" s="98"/>
      <c r="E695" s="102" t="s">
        <v>276</v>
      </c>
      <c r="F695" s="104">
        <f>F692</f>
        <v>0</v>
      </c>
      <c r="G695" s="104"/>
      <c r="H695" s="104"/>
      <c r="I695" s="104"/>
      <c r="J695" s="104"/>
      <c r="K695" s="104"/>
      <c r="L695" s="104"/>
      <c r="M695" s="104">
        <v>0</v>
      </c>
      <c r="N695" s="104"/>
      <c r="O695" s="104"/>
      <c r="P695" s="104">
        <f t="shared" si="1154"/>
        <v>0</v>
      </c>
      <c r="Q695" s="104">
        <f t="shared" si="1155"/>
        <v>0</v>
      </c>
      <c r="R695" s="104"/>
      <c r="S695" s="104"/>
      <c r="T695" s="105"/>
      <c r="U695" s="100">
        <f t="shared" si="1148"/>
        <v>0</v>
      </c>
      <c r="V695" s="130"/>
      <c r="W695" s="20">
        <f t="shared" si="1149"/>
        <v>0</v>
      </c>
      <c r="X695" s="106">
        <f t="shared" si="1146"/>
        <v>0</v>
      </c>
      <c r="Y695" s="106">
        <f t="shared" si="1150"/>
        <v>0</v>
      </c>
      <c r="Z695" s="106">
        <f t="shared" si="1151"/>
        <v>0</v>
      </c>
      <c r="AA695" s="106">
        <f t="shared" si="1152"/>
        <v>0</v>
      </c>
      <c r="AB695" s="106">
        <f t="shared" si="1153"/>
        <v>0</v>
      </c>
      <c r="AC695" s="107">
        <f t="shared" si="1147"/>
        <v>0</v>
      </c>
    </row>
    <row r="696" spans="1:29" s="82" customFormat="1" ht="17.25" customHeight="1">
      <c r="A696" s="1267"/>
      <c r="B696" s="97"/>
      <c r="C696" s="98"/>
      <c r="D696" s="98"/>
      <c r="E696" s="102" t="s">
        <v>277</v>
      </c>
      <c r="F696" s="104">
        <f>F692</f>
        <v>0</v>
      </c>
      <c r="G696" s="104"/>
      <c r="H696" s="104"/>
      <c r="I696" s="104"/>
      <c r="J696" s="104"/>
      <c r="K696" s="104"/>
      <c r="L696" s="104"/>
      <c r="M696" s="104">
        <v>0</v>
      </c>
      <c r="N696" s="104"/>
      <c r="O696" s="104"/>
      <c r="P696" s="104">
        <f t="shared" si="1154"/>
        <v>0</v>
      </c>
      <c r="Q696" s="104">
        <f t="shared" si="1155"/>
        <v>0</v>
      </c>
      <c r="R696" s="104"/>
      <c r="S696" s="104"/>
      <c r="T696" s="105"/>
      <c r="U696" s="100">
        <f t="shared" si="1148"/>
        <v>0</v>
      </c>
      <c r="V696" s="130"/>
      <c r="W696" s="20">
        <f t="shared" si="1149"/>
        <v>0</v>
      </c>
      <c r="X696" s="106">
        <f t="shared" si="1146"/>
        <v>0</v>
      </c>
      <c r="Y696" s="106">
        <f t="shared" si="1150"/>
        <v>0</v>
      </c>
      <c r="Z696" s="106">
        <f t="shared" si="1151"/>
        <v>0</v>
      </c>
      <c r="AA696" s="106">
        <f t="shared" si="1152"/>
        <v>0</v>
      </c>
      <c r="AB696" s="106">
        <f t="shared" si="1153"/>
        <v>0</v>
      </c>
      <c r="AC696" s="107">
        <f t="shared" si="1147"/>
        <v>0</v>
      </c>
    </row>
    <row r="697" spans="1:29" s="82" customFormat="1" ht="17.25" customHeight="1">
      <c r="A697" s="1267"/>
      <c r="B697" s="97"/>
      <c r="C697" s="98"/>
      <c r="D697" s="98"/>
      <c r="E697" s="102" t="s">
        <v>278</v>
      </c>
      <c r="F697" s="104">
        <f>F692</f>
        <v>0</v>
      </c>
      <c r="G697" s="104"/>
      <c r="H697" s="104"/>
      <c r="I697" s="104"/>
      <c r="J697" s="104"/>
      <c r="K697" s="104"/>
      <c r="L697" s="104"/>
      <c r="M697" s="104">
        <v>0</v>
      </c>
      <c r="N697" s="104"/>
      <c r="O697" s="104"/>
      <c r="P697" s="104">
        <f t="shared" si="1154"/>
        <v>0</v>
      </c>
      <c r="Q697" s="104">
        <f t="shared" si="1155"/>
        <v>0</v>
      </c>
      <c r="R697" s="104"/>
      <c r="S697" s="104"/>
      <c r="T697" s="105"/>
      <c r="U697" s="100">
        <f t="shared" si="1148"/>
        <v>0</v>
      </c>
      <c r="V697" s="130"/>
      <c r="W697" s="20">
        <f t="shared" si="1149"/>
        <v>0</v>
      </c>
      <c r="X697" s="106">
        <f t="shared" si="1146"/>
        <v>0</v>
      </c>
      <c r="Y697" s="106">
        <f t="shared" si="1150"/>
        <v>0</v>
      </c>
      <c r="Z697" s="106">
        <f t="shared" si="1151"/>
        <v>0</v>
      </c>
      <c r="AA697" s="106">
        <f t="shared" si="1152"/>
        <v>0</v>
      </c>
      <c r="AB697" s="106">
        <f t="shared" si="1153"/>
        <v>0</v>
      </c>
      <c r="AC697" s="107">
        <f t="shared" si="1147"/>
        <v>0</v>
      </c>
    </row>
    <row r="698" spans="1:29" s="82" customFormat="1" ht="17.25" customHeight="1">
      <c r="A698" s="1267"/>
      <c r="B698" s="97"/>
      <c r="C698" s="98"/>
      <c r="D698" s="98"/>
      <c r="E698" s="102" t="s">
        <v>279</v>
      </c>
      <c r="F698" s="106">
        <f t="shared" ref="F698:F703" si="1156">F697</f>
        <v>0</v>
      </c>
      <c r="G698" s="104"/>
      <c r="H698" s="103"/>
      <c r="I698" s="105"/>
      <c r="J698" s="104"/>
      <c r="K698" s="104"/>
      <c r="L698" s="104"/>
      <c r="M698" s="104">
        <v>0</v>
      </c>
      <c r="N698" s="104"/>
      <c r="O698" s="104"/>
      <c r="P698" s="104">
        <f t="shared" si="1154"/>
        <v>0</v>
      </c>
      <c r="Q698" s="104">
        <f t="shared" si="1155"/>
        <v>0</v>
      </c>
      <c r="R698" s="104"/>
      <c r="S698" s="104"/>
      <c r="T698" s="105"/>
      <c r="U698" s="100">
        <f t="shared" si="1148"/>
        <v>0</v>
      </c>
      <c r="V698" s="130"/>
      <c r="W698" s="20">
        <f t="shared" si="1149"/>
        <v>0</v>
      </c>
      <c r="X698" s="106">
        <f t="shared" si="1146"/>
        <v>0</v>
      </c>
      <c r="Y698" s="106">
        <f t="shared" si="1150"/>
        <v>0</v>
      </c>
      <c r="Z698" s="106">
        <f t="shared" si="1151"/>
        <v>0</v>
      </c>
      <c r="AA698" s="106">
        <f t="shared" si="1152"/>
        <v>0</v>
      </c>
      <c r="AB698" s="106">
        <f t="shared" si="1153"/>
        <v>0</v>
      </c>
      <c r="AC698" s="107">
        <f t="shared" si="1147"/>
        <v>0</v>
      </c>
    </row>
    <row r="699" spans="1:29" s="82" customFormat="1" ht="17.25" customHeight="1">
      <c r="A699" s="1267"/>
      <c r="B699" s="97"/>
      <c r="C699" s="98"/>
      <c r="D699" s="98"/>
      <c r="E699" s="102" t="s">
        <v>280</v>
      </c>
      <c r="F699" s="104">
        <f t="shared" si="1156"/>
        <v>0</v>
      </c>
      <c r="G699" s="104"/>
      <c r="H699" s="104"/>
      <c r="I699" s="104"/>
      <c r="J699" s="104"/>
      <c r="K699" s="104"/>
      <c r="L699" s="104"/>
      <c r="M699" s="104">
        <v>0</v>
      </c>
      <c r="N699" s="104"/>
      <c r="O699" s="104"/>
      <c r="P699" s="104">
        <f t="shared" si="1154"/>
        <v>0</v>
      </c>
      <c r="Q699" s="104">
        <f t="shared" si="1155"/>
        <v>0</v>
      </c>
      <c r="R699" s="104"/>
      <c r="S699" s="104"/>
      <c r="T699" s="105"/>
      <c r="U699" s="100">
        <f t="shared" si="1148"/>
        <v>0</v>
      </c>
      <c r="V699" s="130"/>
      <c r="W699" s="20">
        <f t="shared" si="1149"/>
        <v>0</v>
      </c>
      <c r="X699" s="106">
        <f t="shared" si="1146"/>
        <v>0</v>
      </c>
      <c r="Y699" s="106">
        <f t="shared" si="1150"/>
        <v>0</v>
      </c>
      <c r="Z699" s="106">
        <f t="shared" si="1151"/>
        <v>0</v>
      </c>
      <c r="AA699" s="106">
        <f t="shared" si="1152"/>
        <v>0</v>
      </c>
      <c r="AB699" s="106">
        <f t="shared" si="1153"/>
        <v>0</v>
      </c>
      <c r="AC699" s="107">
        <f t="shared" si="1147"/>
        <v>0</v>
      </c>
    </row>
    <row r="700" spans="1:29" s="82" customFormat="1" ht="17.25" customHeight="1">
      <c r="A700" s="1267"/>
      <c r="B700" s="97"/>
      <c r="C700" s="98"/>
      <c r="D700" s="98"/>
      <c r="E700" s="102" t="s">
        <v>54</v>
      </c>
      <c r="F700" s="104">
        <f t="shared" si="1156"/>
        <v>0</v>
      </c>
      <c r="G700" s="104"/>
      <c r="H700" s="104"/>
      <c r="I700" s="104"/>
      <c r="J700" s="104"/>
      <c r="K700" s="104"/>
      <c r="L700" s="104"/>
      <c r="M700" s="104">
        <f>F700*50%</f>
        <v>0</v>
      </c>
      <c r="N700" s="104"/>
      <c r="O700" s="104"/>
      <c r="P700" s="104">
        <f t="shared" si="1154"/>
        <v>0</v>
      </c>
      <c r="Q700" s="104">
        <f t="shared" si="1155"/>
        <v>0</v>
      </c>
      <c r="R700" s="104"/>
      <c r="S700" s="104"/>
      <c r="T700" s="105"/>
      <c r="U700" s="100">
        <f t="shared" si="1148"/>
        <v>0</v>
      </c>
      <c r="V700" s="130"/>
      <c r="W700" s="20">
        <f t="shared" si="1149"/>
        <v>0</v>
      </c>
      <c r="X700" s="106">
        <f t="shared" si="1146"/>
        <v>0</v>
      </c>
      <c r="Y700" s="106">
        <f t="shared" si="1150"/>
        <v>0</v>
      </c>
      <c r="Z700" s="106">
        <f t="shared" si="1151"/>
        <v>0</v>
      </c>
      <c r="AA700" s="106">
        <f t="shared" si="1152"/>
        <v>0</v>
      </c>
      <c r="AB700" s="106">
        <f t="shared" si="1153"/>
        <v>0</v>
      </c>
      <c r="AC700" s="107">
        <f t="shared" si="1147"/>
        <v>0</v>
      </c>
    </row>
    <row r="701" spans="1:29" s="82" customFormat="1" ht="17.25" customHeight="1">
      <c r="A701" s="1267"/>
      <c r="B701" s="97"/>
      <c r="C701" s="98"/>
      <c r="D701" s="98"/>
      <c r="E701" s="102" t="s">
        <v>55</v>
      </c>
      <c r="F701" s="103">
        <f t="shared" si="1156"/>
        <v>0</v>
      </c>
      <c r="G701" s="104"/>
      <c r="H701" s="104"/>
      <c r="I701" s="103"/>
      <c r="J701" s="104"/>
      <c r="K701" s="104"/>
      <c r="L701" s="104"/>
      <c r="M701" s="104">
        <v>0</v>
      </c>
      <c r="N701" s="104"/>
      <c r="O701" s="104"/>
      <c r="P701" s="104">
        <f t="shared" si="1154"/>
        <v>0</v>
      </c>
      <c r="Q701" s="104">
        <f t="shared" si="1155"/>
        <v>0</v>
      </c>
      <c r="R701" s="104"/>
      <c r="S701" s="104"/>
      <c r="T701" s="105"/>
      <c r="U701" s="100">
        <f t="shared" si="1148"/>
        <v>0</v>
      </c>
      <c r="V701" s="130"/>
      <c r="W701" s="20">
        <f t="shared" si="1149"/>
        <v>0</v>
      </c>
      <c r="X701" s="106">
        <f t="shared" si="1146"/>
        <v>0</v>
      </c>
      <c r="Y701" s="106">
        <f t="shared" si="1150"/>
        <v>0</v>
      </c>
      <c r="Z701" s="106">
        <f t="shared" si="1151"/>
        <v>0</v>
      </c>
      <c r="AA701" s="106">
        <f t="shared" si="1152"/>
        <v>0</v>
      </c>
      <c r="AB701" s="106">
        <f t="shared" si="1153"/>
        <v>0</v>
      </c>
      <c r="AC701" s="107">
        <f t="shared" si="1147"/>
        <v>0</v>
      </c>
    </row>
    <row r="702" spans="1:29" s="82" customFormat="1" ht="17.25" customHeight="1">
      <c r="A702" s="1267"/>
      <c r="B702" s="97"/>
      <c r="C702" s="98"/>
      <c r="D702" s="98"/>
      <c r="E702" s="102" t="s">
        <v>56</v>
      </c>
      <c r="F702" s="104">
        <f t="shared" si="1156"/>
        <v>0</v>
      </c>
      <c r="G702" s="104"/>
      <c r="H702" s="104"/>
      <c r="I702" s="104"/>
      <c r="J702" s="104"/>
      <c r="K702" s="104"/>
      <c r="L702" s="104"/>
      <c r="M702" s="104">
        <v>0</v>
      </c>
      <c r="N702" s="104"/>
      <c r="O702" s="104"/>
      <c r="P702" s="104">
        <f t="shared" si="1154"/>
        <v>0</v>
      </c>
      <c r="Q702" s="104">
        <f t="shared" si="1155"/>
        <v>0</v>
      </c>
      <c r="R702" s="104"/>
      <c r="S702" s="104"/>
      <c r="T702" s="105"/>
      <c r="U702" s="100">
        <f t="shared" si="1148"/>
        <v>0</v>
      </c>
      <c r="V702" s="130"/>
      <c r="W702" s="20">
        <f t="shared" si="1149"/>
        <v>0</v>
      </c>
      <c r="X702" s="106">
        <f t="shared" si="1146"/>
        <v>0</v>
      </c>
      <c r="Y702" s="106">
        <f t="shared" si="1150"/>
        <v>0</v>
      </c>
      <c r="Z702" s="106">
        <f t="shared" si="1151"/>
        <v>0</v>
      </c>
      <c r="AA702" s="106">
        <f t="shared" si="1152"/>
        <v>0</v>
      </c>
      <c r="AB702" s="106">
        <f t="shared" si="1153"/>
        <v>0</v>
      </c>
      <c r="AC702" s="107">
        <f t="shared" si="1147"/>
        <v>0</v>
      </c>
    </row>
    <row r="703" spans="1:29" s="82" customFormat="1" ht="17.25" customHeight="1">
      <c r="A703" s="1268"/>
      <c r="B703" s="108"/>
      <c r="C703" s="109"/>
      <c r="D703" s="109"/>
      <c r="E703" s="136" t="s">
        <v>281</v>
      </c>
      <c r="F703" s="137">
        <f t="shared" si="1156"/>
        <v>0</v>
      </c>
      <c r="G703" s="137"/>
      <c r="H703" s="137"/>
      <c r="I703" s="137"/>
      <c r="J703" s="137"/>
      <c r="K703" s="137"/>
      <c r="L703" s="137"/>
      <c r="M703" s="137">
        <v>0</v>
      </c>
      <c r="N703" s="137"/>
      <c r="O703" s="137"/>
      <c r="P703" s="104">
        <f t="shared" si="1154"/>
        <v>0</v>
      </c>
      <c r="Q703" s="137">
        <f t="shared" si="1155"/>
        <v>0</v>
      </c>
      <c r="R703" s="137"/>
      <c r="S703" s="137"/>
      <c r="T703" s="138"/>
      <c r="U703" s="111">
        <f t="shared" si="1148"/>
        <v>0</v>
      </c>
      <c r="V703" s="131"/>
      <c r="W703" s="23">
        <f t="shared" si="1149"/>
        <v>0</v>
      </c>
      <c r="X703" s="140">
        <f t="shared" si="1146"/>
        <v>0</v>
      </c>
      <c r="Y703" s="140">
        <f t="shared" si="1150"/>
        <v>0</v>
      </c>
      <c r="Z703" s="140">
        <f t="shared" si="1151"/>
        <v>0</v>
      </c>
      <c r="AA703" s="67">
        <f t="shared" si="1152"/>
        <v>0</v>
      </c>
      <c r="AB703" s="140">
        <f t="shared" si="1153"/>
        <v>0</v>
      </c>
      <c r="AC703" s="141">
        <f t="shared" si="1147"/>
        <v>0</v>
      </c>
    </row>
    <row r="704" spans="1:29" s="82" customFormat="1" ht="17.25" customHeight="1">
      <c r="A704" s="10"/>
      <c r="B704" s="169"/>
      <c r="C704" s="170"/>
      <c r="D704" s="161"/>
      <c r="E704" s="162"/>
      <c r="F704" s="163"/>
      <c r="G704" s="163"/>
      <c r="H704" s="163"/>
      <c r="I704" s="163"/>
      <c r="J704" s="163"/>
      <c r="K704" s="163"/>
      <c r="L704" s="163"/>
      <c r="M704" s="163"/>
      <c r="N704" s="163"/>
      <c r="O704" s="163"/>
      <c r="P704" s="163"/>
      <c r="Q704" s="163"/>
      <c r="R704" s="163"/>
      <c r="S704" s="163"/>
      <c r="T704" s="163"/>
      <c r="U704" s="163"/>
      <c r="V704" s="166"/>
      <c r="W704" s="167"/>
      <c r="X704" s="167"/>
      <c r="Y704" s="167"/>
      <c r="Z704" s="167"/>
      <c r="AA704" s="167"/>
      <c r="AB704" s="167"/>
      <c r="AC704" s="168"/>
    </row>
    <row r="705" spans="1:29" s="82" customFormat="1" ht="15" customHeight="1">
      <c r="A705" s="157"/>
      <c r="B705" s="180"/>
      <c r="C705" s="161"/>
      <c r="D705" s="161"/>
      <c r="E705" s="162"/>
      <c r="F705" s="163"/>
      <c r="G705" s="163"/>
      <c r="H705" s="163"/>
      <c r="I705" s="163"/>
      <c r="J705" s="163"/>
      <c r="K705" s="163"/>
      <c r="L705" s="163"/>
      <c r="M705" s="163"/>
      <c r="N705" s="163"/>
      <c r="O705" s="163"/>
      <c r="P705" s="163"/>
      <c r="Q705" s="163"/>
      <c r="R705" s="163"/>
      <c r="S705" s="163"/>
      <c r="T705" s="163"/>
      <c r="U705" s="163"/>
      <c r="V705" s="166"/>
      <c r="W705" s="167"/>
      <c r="X705" s="167"/>
      <c r="Y705" s="167"/>
      <c r="Z705" s="167"/>
      <c r="AA705" s="167"/>
      <c r="AB705" s="167"/>
      <c r="AC705" s="168"/>
    </row>
    <row r="706" spans="1:29" s="82" customFormat="1" ht="21" customHeight="1">
      <c r="A706" s="1264" t="s">
        <v>614</v>
      </c>
      <c r="B706" s="1264"/>
      <c r="C706" s="1264"/>
      <c r="D706" s="89"/>
      <c r="E706" s="89"/>
      <c r="F706" s="90"/>
      <c r="G706" s="90"/>
      <c r="H706" s="90"/>
      <c r="I706" s="90"/>
      <c r="J706" s="90"/>
      <c r="K706" s="91"/>
      <c r="L706" s="91"/>
      <c r="M706" s="91"/>
      <c r="N706" s="92"/>
      <c r="O706" s="113"/>
      <c r="P706" s="113"/>
      <c r="Q706" s="113"/>
      <c r="R706" s="113"/>
      <c r="S706" s="113"/>
      <c r="T706" s="90"/>
      <c r="U706" s="90"/>
      <c r="V706" s="94"/>
      <c r="W706" s="90"/>
      <c r="X706" s="90"/>
      <c r="Y706" s="90"/>
      <c r="Z706" s="90"/>
      <c r="AA706" s="90"/>
      <c r="AB706" s="113"/>
      <c r="AC706" s="95" t="s">
        <v>615</v>
      </c>
    </row>
    <row r="707" spans="1:29" s="82" customFormat="1" ht="33.75" customHeight="1" thickBot="1">
      <c r="A707" s="114" t="s">
        <v>616</v>
      </c>
      <c r="B707" s="115" t="s">
        <v>617</v>
      </c>
      <c r="C707" s="115" t="s">
        <v>618</v>
      </c>
      <c r="D707" s="115" t="s">
        <v>619</v>
      </c>
      <c r="E707" s="115" t="s">
        <v>620</v>
      </c>
      <c r="F707" s="116" t="s">
        <v>621</v>
      </c>
      <c r="G707" s="117" t="s">
        <v>622</v>
      </c>
      <c r="H707" s="117" t="s">
        <v>623</v>
      </c>
      <c r="I707" s="117" t="s">
        <v>843</v>
      </c>
      <c r="J707" s="117" t="s">
        <v>844</v>
      </c>
      <c r="K707" s="117" t="s">
        <v>844</v>
      </c>
      <c r="L707" s="117" t="s">
        <v>844</v>
      </c>
      <c r="M707" s="117" t="s">
        <v>624</v>
      </c>
      <c r="N707" s="118" t="s">
        <v>625</v>
      </c>
      <c r="O707" s="117" t="s">
        <v>626</v>
      </c>
      <c r="P707" s="117"/>
      <c r="Q707" s="117" t="s">
        <v>40</v>
      </c>
      <c r="R707" s="117" t="s">
        <v>627</v>
      </c>
      <c r="S707" s="117" t="s">
        <v>612</v>
      </c>
      <c r="T707" s="117" t="s">
        <v>628</v>
      </c>
      <c r="U707" s="120" t="s">
        <v>629</v>
      </c>
      <c r="V707" s="129" t="s">
        <v>630</v>
      </c>
      <c r="W707" s="135" t="s">
        <v>631</v>
      </c>
      <c r="X707" s="120" t="s">
        <v>632</v>
      </c>
      <c r="Y707" s="120" t="s">
        <v>633</v>
      </c>
      <c r="Z707" s="119" t="s">
        <v>634</v>
      </c>
      <c r="AA707" s="120" t="s">
        <v>635</v>
      </c>
      <c r="AB707" s="119" t="s">
        <v>636</v>
      </c>
      <c r="AC707" s="121" t="s">
        <v>637</v>
      </c>
    </row>
    <row r="708" spans="1:29" s="82" customFormat="1" ht="16.5" customHeight="1" thickTop="1">
      <c r="A708" s="1265" t="s">
        <v>638</v>
      </c>
      <c r="B708" s="1266"/>
      <c r="C708" s="1266"/>
      <c r="D708" s="1266"/>
      <c r="E708" s="1266"/>
      <c r="F708" s="96">
        <f>F709</f>
        <v>0</v>
      </c>
      <c r="G708" s="96">
        <f t="shared" ref="G708:T708" si="1157">G709</f>
        <v>0</v>
      </c>
      <c r="H708" s="96">
        <f t="shared" si="1157"/>
        <v>0</v>
      </c>
      <c r="I708" s="49">
        <f t="shared" si="1157"/>
        <v>0</v>
      </c>
      <c r="J708" s="49">
        <f t="shared" si="1157"/>
        <v>0</v>
      </c>
      <c r="K708" s="49">
        <f t="shared" si="1157"/>
        <v>0</v>
      </c>
      <c r="L708" s="49">
        <f t="shared" si="1157"/>
        <v>0</v>
      </c>
      <c r="M708" s="96">
        <f t="shared" si="1157"/>
        <v>0</v>
      </c>
      <c r="N708" s="96">
        <f t="shared" si="1157"/>
        <v>600000</v>
      </c>
      <c r="O708" s="96">
        <f t="shared" si="1157"/>
        <v>480000</v>
      </c>
      <c r="P708" s="96">
        <f t="shared" si="1157"/>
        <v>0</v>
      </c>
      <c r="Q708" s="96">
        <f t="shared" si="1157"/>
        <v>0</v>
      </c>
      <c r="R708" s="96">
        <f t="shared" si="1157"/>
        <v>0</v>
      </c>
      <c r="S708" s="96">
        <f t="shared" si="1157"/>
        <v>0</v>
      </c>
      <c r="T708" s="96">
        <f t="shared" si="1157"/>
        <v>0</v>
      </c>
      <c r="U708" s="96">
        <f>U709</f>
        <v>0</v>
      </c>
      <c r="V708" s="96">
        <f t="shared" ref="V708:AC708" si="1158">V709</f>
        <v>0</v>
      </c>
      <c r="W708" s="96">
        <f t="shared" si="1158"/>
        <v>0</v>
      </c>
      <c r="X708" s="96">
        <f t="shared" si="1158"/>
        <v>142430</v>
      </c>
      <c r="Y708" s="96">
        <f t="shared" si="1158"/>
        <v>0</v>
      </c>
      <c r="Z708" s="96">
        <f t="shared" si="1158"/>
        <v>6300</v>
      </c>
      <c r="AA708" s="96">
        <f t="shared" si="1158"/>
        <v>0</v>
      </c>
      <c r="AB708" s="96">
        <f t="shared" si="1158"/>
        <v>0</v>
      </c>
      <c r="AC708" s="96">
        <f t="shared" si="1158"/>
        <v>562350</v>
      </c>
    </row>
    <row r="709" spans="1:29" s="82" customFormat="1" ht="15.75" customHeight="1">
      <c r="A709" s="1267">
        <v>1</v>
      </c>
      <c r="B709" s="149" t="s">
        <v>639</v>
      </c>
      <c r="C709" s="150" t="s">
        <v>525</v>
      </c>
      <c r="D709" s="150">
        <v>1</v>
      </c>
      <c r="E709" s="151" t="s">
        <v>640</v>
      </c>
      <c r="F709" s="152">
        <f>SUM(F710:F721)</f>
        <v>0</v>
      </c>
      <c r="G709" s="152">
        <f t="shared" ref="G709:U709" si="1159">SUM(G710:G721)</f>
        <v>0</v>
      </c>
      <c r="H709" s="152">
        <f t="shared" si="1159"/>
        <v>0</v>
      </c>
      <c r="I709" s="111">
        <f t="shared" si="1159"/>
        <v>0</v>
      </c>
      <c r="J709" s="111">
        <f t="shared" si="1159"/>
        <v>0</v>
      </c>
      <c r="K709" s="111">
        <f t="shared" si="1159"/>
        <v>0</v>
      </c>
      <c r="L709" s="111">
        <f t="shared" si="1159"/>
        <v>0</v>
      </c>
      <c r="M709" s="152">
        <f t="shared" si="1159"/>
        <v>0</v>
      </c>
      <c r="N709" s="111">
        <f t="shared" si="1159"/>
        <v>600000</v>
      </c>
      <c r="O709" s="152">
        <f t="shared" si="1159"/>
        <v>480000</v>
      </c>
      <c r="P709" s="152">
        <f t="shared" si="1159"/>
        <v>0</v>
      </c>
      <c r="Q709" s="111"/>
      <c r="R709" s="152">
        <f t="shared" si="1159"/>
        <v>0</v>
      </c>
      <c r="S709" s="152">
        <f t="shared" si="1159"/>
        <v>0</v>
      </c>
      <c r="T709" s="152">
        <f t="shared" si="1159"/>
        <v>0</v>
      </c>
      <c r="U709" s="111">
        <f t="shared" si="1159"/>
        <v>0</v>
      </c>
      <c r="V709" s="152">
        <f t="shared" ref="V709:AC709" si="1160">SUM(V710:V721)</f>
        <v>0</v>
      </c>
      <c r="W709" s="152">
        <f t="shared" si="1160"/>
        <v>0</v>
      </c>
      <c r="X709" s="152">
        <f t="shared" si="1160"/>
        <v>142430</v>
      </c>
      <c r="Y709" s="152">
        <f t="shared" si="1160"/>
        <v>0</v>
      </c>
      <c r="Z709" s="152">
        <f t="shared" si="1160"/>
        <v>6300</v>
      </c>
      <c r="AA709" s="152">
        <f t="shared" si="1160"/>
        <v>0</v>
      </c>
      <c r="AB709" s="152">
        <f t="shared" si="1160"/>
        <v>0</v>
      </c>
      <c r="AC709" s="152">
        <f t="shared" si="1160"/>
        <v>562350</v>
      </c>
    </row>
    <row r="710" spans="1:29" s="82" customFormat="1" ht="14.25" customHeight="1">
      <c r="A710" s="1267"/>
      <c r="B710" s="144" t="s">
        <v>842</v>
      </c>
      <c r="C710" s="177">
        <v>4</v>
      </c>
      <c r="D710" s="177"/>
      <c r="E710" s="178" t="s">
        <v>389</v>
      </c>
      <c r="F710" s="179"/>
      <c r="G710" s="145"/>
      <c r="H710" s="146"/>
      <c r="I710" s="126"/>
      <c r="J710" s="125"/>
      <c r="K710" s="125"/>
      <c r="L710" s="125"/>
      <c r="M710" s="104">
        <f>F710*60%</f>
        <v>0</v>
      </c>
      <c r="N710" s="125">
        <v>50000</v>
      </c>
      <c r="O710" s="145">
        <v>40000</v>
      </c>
      <c r="P710" s="125"/>
      <c r="Q710" s="125"/>
      <c r="R710" s="104"/>
      <c r="S710" s="145"/>
      <c r="T710" s="105"/>
      <c r="U710" s="127">
        <f t="shared" ref="U710:U721" si="1161">SUM(I710,L710)</f>
        <v>0</v>
      </c>
      <c r="V710" s="147"/>
      <c r="W710" s="134">
        <f>ROUNDUP((U710+S710)*1/12,-1)</f>
        <v>0</v>
      </c>
      <c r="X710" s="106">
        <f t="shared" ref="X710:X720" si="1162">ROUND(U710*4.5%,-1)</f>
        <v>0</v>
      </c>
      <c r="Y710" s="106">
        <f>ROUNDUP((U710-L710+S710)*3.06%,-1)</f>
        <v>0</v>
      </c>
      <c r="Z710" s="106">
        <f t="shared" ref="Z710:Z720" si="1163">ROUNDUP(Y710*6.55%,-1)</f>
        <v>0</v>
      </c>
      <c r="AA710" s="106">
        <f>ROUND((U710+S710)*0.9%,-1)</f>
        <v>0</v>
      </c>
      <c r="AB710" s="106">
        <f>ROUND((U710+S710)*0.8%,-1)</f>
        <v>0</v>
      </c>
      <c r="AC710" s="107">
        <f t="shared" ref="AC710:AC720" si="1164">SUM(W710:AB710)</f>
        <v>0</v>
      </c>
    </row>
    <row r="711" spans="1:29" s="82" customFormat="1" ht="16.5" customHeight="1">
      <c r="A711" s="1267"/>
      <c r="B711" s="97"/>
      <c r="C711" s="171">
        <v>5</v>
      </c>
      <c r="D711" s="171"/>
      <c r="E711" s="172" t="s">
        <v>274</v>
      </c>
      <c r="F711" s="173"/>
      <c r="G711" s="104"/>
      <c r="H711" s="104"/>
      <c r="I711" s="105"/>
      <c r="J711" s="104">
        <f t="shared" ref="J711:J721" si="1165">ROUND((F710+I710+T710)*1/209*1.5,-1)</f>
        <v>0</v>
      </c>
      <c r="K711" s="104">
        <f t="shared" ref="K711:K720" si="1166">J711*25</f>
        <v>0</v>
      </c>
      <c r="L711" s="104">
        <f t="shared" ref="L711:L721" si="1167">K711-R711-S711</f>
        <v>0</v>
      </c>
      <c r="M711" s="104"/>
      <c r="N711" s="104">
        <v>50000</v>
      </c>
      <c r="O711" s="104">
        <v>40000</v>
      </c>
      <c r="P711" s="104"/>
      <c r="Q711" s="104">
        <f t="shared" ref="Q711:Q721" si="1168">ROUND((F710+T710)*1/209*1.5,-1)</f>
        <v>0</v>
      </c>
      <c r="R711" s="104">
        <f>Q711*20</f>
        <v>0</v>
      </c>
      <c r="S711" s="104">
        <f>Q711*5</f>
        <v>0</v>
      </c>
      <c r="T711" s="105"/>
      <c r="U711" s="100">
        <f t="shared" si="1161"/>
        <v>0</v>
      </c>
      <c r="V711" s="130"/>
      <c r="W711" s="134">
        <f t="shared" ref="W711:W721" si="1169">ROUNDUP((U711+S711)*1/12,-1)</f>
        <v>0</v>
      </c>
      <c r="X711" s="106">
        <f t="shared" si="1162"/>
        <v>0</v>
      </c>
      <c r="Y711" s="106">
        <f t="shared" ref="Y711:Y721" si="1170">ROUNDUP((U711-L711+S711)*3.06%,-1)</f>
        <v>0</v>
      </c>
      <c r="Z711" s="106">
        <f t="shared" si="1163"/>
        <v>0</v>
      </c>
      <c r="AA711" s="106">
        <f t="shared" ref="AA711:AA721" si="1171">ROUND((U711+S711)*0.9%,-1)</f>
        <v>0</v>
      </c>
      <c r="AB711" s="106">
        <f t="shared" ref="AB711:AB721" si="1172">ROUND((U711+S711)*0.8%,-1)</f>
        <v>0</v>
      </c>
      <c r="AC711" s="107">
        <f t="shared" si="1164"/>
        <v>0</v>
      </c>
    </row>
    <row r="712" spans="1:29" s="82" customFormat="1" ht="16.5" customHeight="1">
      <c r="A712" s="1267"/>
      <c r="B712" s="97"/>
      <c r="C712" s="98"/>
      <c r="D712" s="98"/>
      <c r="E712" s="102" t="s">
        <v>391</v>
      </c>
      <c r="F712" s="104"/>
      <c r="G712" s="104"/>
      <c r="H712" s="104"/>
      <c r="I712" s="105"/>
      <c r="J712" s="104">
        <f t="shared" si="1165"/>
        <v>0</v>
      </c>
      <c r="K712" s="104">
        <f t="shared" si="1166"/>
        <v>0</v>
      </c>
      <c r="L712" s="104">
        <f t="shared" si="1167"/>
        <v>0</v>
      </c>
      <c r="M712" s="104"/>
      <c r="N712" s="104">
        <v>50000</v>
      </c>
      <c r="O712" s="104">
        <f t="shared" ref="O712:O720" si="1173">O711</f>
        <v>40000</v>
      </c>
      <c r="P712" s="104"/>
      <c r="Q712" s="104">
        <f t="shared" si="1168"/>
        <v>0</v>
      </c>
      <c r="R712" s="104">
        <f>Q712*20</f>
        <v>0</v>
      </c>
      <c r="S712" s="104">
        <f t="shared" ref="S712:S720" si="1174">Q712*5</f>
        <v>0</v>
      </c>
      <c r="T712" s="105"/>
      <c r="U712" s="100">
        <f t="shared" si="1161"/>
        <v>0</v>
      </c>
      <c r="V712" s="130"/>
      <c r="W712" s="134">
        <f t="shared" si="1169"/>
        <v>0</v>
      </c>
      <c r="X712" s="106">
        <f t="shared" si="1162"/>
        <v>0</v>
      </c>
      <c r="Y712" s="106">
        <f t="shared" si="1170"/>
        <v>0</v>
      </c>
      <c r="Z712" s="106">
        <f t="shared" si="1163"/>
        <v>0</v>
      </c>
      <c r="AA712" s="106">
        <f t="shared" si="1171"/>
        <v>0</v>
      </c>
      <c r="AB712" s="106">
        <f t="shared" si="1172"/>
        <v>0</v>
      </c>
      <c r="AC712" s="107">
        <f t="shared" si="1164"/>
        <v>0</v>
      </c>
    </row>
    <row r="713" spans="1:29" s="82" customFormat="1" ht="16.5" customHeight="1">
      <c r="A713" s="1267"/>
      <c r="B713" s="97"/>
      <c r="C713" s="98"/>
      <c r="D713" s="98"/>
      <c r="E713" s="102" t="s">
        <v>392</v>
      </c>
      <c r="F713" s="104"/>
      <c r="G713" s="104"/>
      <c r="H713" s="104"/>
      <c r="I713" s="105"/>
      <c r="J713" s="104">
        <f t="shared" si="1165"/>
        <v>0</v>
      </c>
      <c r="K713" s="104">
        <f t="shared" si="1166"/>
        <v>0</v>
      </c>
      <c r="L713" s="104">
        <f t="shared" si="1167"/>
        <v>0</v>
      </c>
      <c r="M713" s="104"/>
      <c r="N713" s="104">
        <v>50000</v>
      </c>
      <c r="O713" s="104">
        <f t="shared" si="1173"/>
        <v>40000</v>
      </c>
      <c r="P713" s="104"/>
      <c r="Q713" s="104">
        <f t="shared" si="1168"/>
        <v>0</v>
      </c>
      <c r="R713" s="104">
        <f t="shared" ref="R713:R720" si="1175">Q713*20</f>
        <v>0</v>
      </c>
      <c r="S713" s="104">
        <f t="shared" si="1174"/>
        <v>0</v>
      </c>
      <c r="T713" s="105"/>
      <c r="U713" s="100">
        <f t="shared" si="1161"/>
        <v>0</v>
      </c>
      <c r="V713" s="130"/>
      <c r="W713" s="134">
        <f t="shared" si="1169"/>
        <v>0</v>
      </c>
      <c r="X713" s="106">
        <f t="shared" si="1162"/>
        <v>0</v>
      </c>
      <c r="Y713" s="106">
        <f t="shared" si="1170"/>
        <v>0</v>
      </c>
      <c r="Z713" s="106">
        <f t="shared" si="1163"/>
        <v>0</v>
      </c>
      <c r="AA713" s="106">
        <f t="shared" si="1171"/>
        <v>0</v>
      </c>
      <c r="AB713" s="106">
        <f t="shared" si="1172"/>
        <v>0</v>
      </c>
      <c r="AC713" s="107">
        <f t="shared" si="1164"/>
        <v>0</v>
      </c>
    </row>
    <row r="714" spans="1:29" s="82" customFormat="1" ht="16.5" customHeight="1">
      <c r="A714" s="1267"/>
      <c r="B714" s="97"/>
      <c r="C714" s="98"/>
      <c r="D714" s="98"/>
      <c r="E714" s="102" t="s">
        <v>393</v>
      </c>
      <c r="F714" s="104"/>
      <c r="G714" s="104"/>
      <c r="H714" s="104"/>
      <c r="I714" s="105"/>
      <c r="J714" s="104">
        <f t="shared" si="1165"/>
        <v>0</v>
      </c>
      <c r="K714" s="104">
        <f t="shared" si="1166"/>
        <v>0</v>
      </c>
      <c r="L714" s="104">
        <f t="shared" si="1167"/>
        <v>0</v>
      </c>
      <c r="M714" s="104"/>
      <c r="N714" s="104">
        <v>50000</v>
      </c>
      <c r="O714" s="104">
        <f t="shared" si="1173"/>
        <v>40000</v>
      </c>
      <c r="P714" s="104"/>
      <c r="Q714" s="104">
        <f t="shared" si="1168"/>
        <v>0</v>
      </c>
      <c r="R714" s="104">
        <f t="shared" si="1175"/>
        <v>0</v>
      </c>
      <c r="S714" s="104">
        <f t="shared" si="1174"/>
        <v>0</v>
      </c>
      <c r="T714" s="105"/>
      <c r="U714" s="100">
        <f t="shared" si="1161"/>
        <v>0</v>
      </c>
      <c r="V714" s="130"/>
      <c r="W714" s="134">
        <f t="shared" si="1169"/>
        <v>0</v>
      </c>
      <c r="X714" s="106">
        <f t="shared" si="1162"/>
        <v>0</v>
      </c>
      <c r="Y714" s="106">
        <f t="shared" si="1170"/>
        <v>0</v>
      </c>
      <c r="Z714" s="106">
        <f t="shared" si="1163"/>
        <v>0</v>
      </c>
      <c r="AA714" s="106">
        <f t="shared" si="1171"/>
        <v>0</v>
      </c>
      <c r="AB714" s="106">
        <f t="shared" si="1172"/>
        <v>0</v>
      </c>
      <c r="AC714" s="107">
        <f t="shared" si="1164"/>
        <v>0</v>
      </c>
    </row>
    <row r="715" spans="1:29" s="82" customFormat="1" ht="16.5" customHeight="1">
      <c r="A715" s="1267"/>
      <c r="B715" s="97"/>
      <c r="C715" s="98"/>
      <c r="D715" s="98"/>
      <c r="E715" s="102" t="s">
        <v>394</v>
      </c>
      <c r="F715" s="104"/>
      <c r="G715" s="104"/>
      <c r="H715" s="103"/>
      <c r="I715" s="105"/>
      <c r="J715" s="104">
        <f t="shared" si="1165"/>
        <v>0</v>
      </c>
      <c r="K715" s="104">
        <f t="shared" si="1166"/>
        <v>0</v>
      </c>
      <c r="L715" s="104">
        <f t="shared" si="1167"/>
        <v>0</v>
      </c>
      <c r="M715" s="104"/>
      <c r="N715" s="104">
        <v>50000</v>
      </c>
      <c r="O715" s="104">
        <f t="shared" si="1173"/>
        <v>40000</v>
      </c>
      <c r="P715" s="104"/>
      <c r="Q715" s="104">
        <f t="shared" si="1168"/>
        <v>0</v>
      </c>
      <c r="R715" s="104">
        <f t="shared" si="1175"/>
        <v>0</v>
      </c>
      <c r="S715" s="104">
        <f t="shared" si="1174"/>
        <v>0</v>
      </c>
      <c r="T715" s="105"/>
      <c r="U715" s="100">
        <f t="shared" si="1161"/>
        <v>0</v>
      </c>
      <c r="V715" s="130"/>
      <c r="W715" s="134">
        <f t="shared" si="1169"/>
        <v>0</v>
      </c>
      <c r="X715" s="106">
        <f t="shared" si="1162"/>
        <v>0</v>
      </c>
      <c r="Y715" s="106">
        <f t="shared" si="1170"/>
        <v>0</v>
      </c>
      <c r="Z715" s="106">
        <f t="shared" si="1163"/>
        <v>0</v>
      </c>
      <c r="AA715" s="106">
        <f t="shared" si="1171"/>
        <v>0</v>
      </c>
      <c r="AB715" s="106">
        <f t="shared" si="1172"/>
        <v>0</v>
      </c>
      <c r="AC715" s="107">
        <f t="shared" si="1164"/>
        <v>0</v>
      </c>
    </row>
    <row r="716" spans="1:29" s="82" customFormat="1" ht="16.5" customHeight="1">
      <c r="A716" s="1267"/>
      <c r="B716" s="97"/>
      <c r="C716" s="98"/>
      <c r="D716" s="98"/>
      <c r="E716" s="102" t="s">
        <v>279</v>
      </c>
      <c r="F716" s="104"/>
      <c r="G716" s="104"/>
      <c r="H716" s="104"/>
      <c r="I716" s="105"/>
      <c r="J716" s="104">
        <f t="shared" si="1165"/>
        <v>0</v>
      </c>
      <c r="K716" s="104">
        <f t="shared" si="1166"/>
        <v>0</v>
      </c>
      <c r="L716" s="104">
        <f t="shared" si="1167"/>
        <v>0</v>
      </c>
      <c r="M716" s="104"/>
      <c r="N716" s="104">
        <v>50000</v>
      </c>
      <c r="O716" s="104">
        <f t="shared" si="1173"/>
        <v>40000</v>
      </c>
      <c r="P716" s="104"/>
      <c r="Q716" s="104">
        <f t="shared" si="1168"/>
        <v>0</v>
      </c>
      <c r="R716" s="104">
        <f t="shared" si="1175"/>
        <v>0</v>
      </c>
      <c r="S716" s="104">
        <f t="shared" si="1174"/>
        <v>0</v>
      </c>
      <c r="T716" s="105"/>
      <c r="U716" s="100">
        <f t="shared" si="1161"/>
        <v>0</v>
      </c>
      <c r="V716" s="130"/>
      <c r="W716" s="134">
        <f t="shared" si="1169"/>
        <v>0</v>
      </c>
      <c r="X716" s="106">
        <f t="shared" si="1162"/>
        <v>0</v>
      </c>
      <c r="Y716" s="106">
        <f t="shared" si="1170"/>
        <v>0</v>
      </c>
      <c r="Z716" s="106">
        <f t="shared" si="1163"/>
        <v>0</v>
      </c>
      <c r="AA716" s="106">
        <f t="shared" si="1171"/>
        <v>0</v>
      </c>
      <c r="AB716" s="106">
        <f t="shared" si="1172"/>
        <v>0</v>
      </c>
      <c r="AC716" s="107">
        <f t="shared" si="1164"/>
        <v>0</v>
      </c>
    </row>
    <row r="717" spans="1:29" s="82" customFormat="1" ht="16.5" customHeight="1">
      <c r="A717" s="1267"/>
      <c r="B717" s="97"/>
      <c r="C717" s="98"/>
      <c r="D717" s="98"/>
      <c r="E717" s="102" t="s">
        <v>280</v>
      </c>
      <c r="F717" s="104"/>
      <c r="G717" s="104"/>
      <c r="H717" s="104"/>
      <c r="I717" s="105"/>
      <c r="J717" s="104">
        <f t="shared" si="1165"/>
        <v>0</v>
      </c>
      <c r="K717" s="104">
        <f t="shared" si="1166"/>
        <v>0</v>
      </c>
      <c r="L717" s="104">
        <f t="shared" si="1167"/>
        <v>0</v>
      </c>
      <c r="M717" s="104">
        <f>F717*60%</f>
        <v>0</v>
      </c>
      <c r="N717" s="104">
        <v>50000</v>
      </c>
      <c r="O717" s="104">
        <f t="shared" si="1173"/>
        <v>40000</v>
      </c>
      <c r="P717" s="104"/>
      <c r="Q717" s="104">
        <f t="shared" si="1168"/>
        <v>0</v>
      </c>
      <c r="R717" s="104">
        <f t="shared" si="1175"/>
        <v>0</v>
      </c>
      <c r="S717" s="104">
        <f t="shared" si="1174"/>
        <v>0</v>
      </c>
      <c r="T717" s="105"/>
      <c r="U717" s="100">
        <f t="shared" si="1161"/>
        <v>0</v>
      </c>
      <c r="V717" s="130"/>
      <c r="W717" s="134">
        <f t="shared" si="1169"/>
        <v>0</v>
      </c>
      <c r="X717" s="106">
        <f t="shared" si="1162"/>
        <v>0</v>
      </c>
      <c r="Y717" s="106">
        <f t="shared" si="1170"/>
        <v>0</v>
      </c>
      <c r="Z717" s="106">
        <f t="shared" si="1163"/>
        <v>0</v>
      </c>
      <c r="AA717" s="106">
        <f t="shared" si="1171"/>
        <v>0</v>
      </c>
      <c r="AB717" s="106">
        <f t="shared" si="1172"/>
        <v>0</v>
      </c>
      <c r="AC717" s="107">
        <f t="shared" si="1164"/>
        <v>0</v>
      </c>
    </row>
    <row r="718" spans="1:29" s="82" customFormat="1" ht="16.5" customHeight="1">
      <c r="A718" s="1267"/>
      <c r="B718" s="97"/>
      <c r="C718" s="98"/>
      <c r="D718" s="98"/>
      <c r="E718" s="102" t="s">
        <v>54</v>
      </c>
      <c r="F718" s="104"/>
      <c r="G718" s="104"/>
      <c r="H718" s="104"/>
      <c r="I718" s="105"/>
      <c r="J718" s="104">
        <f t="shared" si="1165"/>
        <v>0</v>
      </c>
      <c r="K718" s="104">
        <f t="shared" si="1166"/>
        <v>0</v>
      </c>
      <c r="L718" s="104">
        <f t="shared" si="1167"/>
        <v>0</v>
      </c>
      <c r="M718" s="104"/>
      <c r="N718" s="104">
        <v>50000</v>
      </c>
      <c r="O718" s="104">
        <f t="shared" si="1173"/>
        <v>40000</v>
      </c>
      <c r="P718" s="104"/>
      <c r="Q718" s="104">
        <f t="shared" si="1168"/>
        <v>0</v>
      </c>
      <c r="R718" s="104">
        <f t="shared" si="1175"/>
        <v>0</v>
      </c>
      <c r="S718" s="104">
        <f t="shared" si="1174"/>
        <v>0</v>
      </c>
      <c r="T718" s="105"/>
      <c r="U718" s="100">
        <f t="shared" si="1161"/>
        <v>0</v>
      </c>
      <c r="V718" s="130"/>
      <c r="W718" s="134">
        <f t="shared" si="1169"/>
        <v>0</v>
      </c>
      <c r="X718" s="106">
        <f t="shared" si="1162"/>
        <v>0</v>
      </c>
      <c r="Y718" s="106">
        <f t="shared" si="1170"/>
        <v>0</v>
      </c>
      <c r="Z718" s="106">
        <f t="shared" si="1163"/>
        <v>0</v>
      </c>
      <c r="AA718" s="106">
        <f t="shared" si="1171"/>
        <v>0</v>
      </c>
      <c r="AB718" s="106">
        <f t="shared" si="1172"/>
        <v>0</v>
      </c>
      <c r="AC718" s="107">
        <f t="shared" si="1164"/>
        <v>0</v>
      </c>
    </row>
    <row r="719" spans="1:29" s="82" customFormat="1" ht="16.5" customHeight="1">
      <c r="A719" s="1267"/>
      <c r="B719" s="97"/>
      <c r="C719" s="98"/>
      <c r="D719" s="98"/>
      <c r="E719" s="102" t="s">
        <v>55</v>
      </c>
      <c r="F719" s="104"/>
      <c r="G719" s="104"/>
      <c r="H719" s="104"/>
      <c r="I719" s="105"/>
      <c r="J719" s="104">
        <f t="shared" si="1165"/>
        <v>0</v>
      </c>
      <c r="K719" s="104">
        <f t="shared" si="1166"/>
        <v>0</v>
      </c>
      <c r="L719" s="104">
        <f t="shared" si="1167"/>
        <v>0</v>
      </c>
      <c r="M719" s="104"/>
      <c r="N719" s="104">
        <v>50000</v>
      </c>
      <c r="O719" s="104">
        <f t="shared" si="1173"/>
        <v>40000</v>
      </c>
      <c r="P719" s="104"/>
      <c r="Q719" s="104">
        <f t="shared" si="1168"/>
        <v>0</v>
      </c>
      <c r="R719" s="104">
        <f t="shared" si="1175"/>
        <v>0</v>
      </c>
      <c r="S719" s="104">
        <f t="shared" si="1174"/>
        <v>0</v>
      </c>
      <c r="T719" s="105"/>
      <c r="U719" s="100">
        <f t="shared" si="1161"/>
        <v>0</v>
      </c>
      <c r="V719" s="130"/>
      <c r="W719" s="134">
        <f t="shared" si="1169"/>
        <v>0</v>
      </c>
      <c r="X719" s="106">
        <f t="shared" si="1162"/>
        <v>0</v>
      </c>
      <c r="Y719" s="106">
        <f t="shared" si="1170"/>
        <v>0</v>
      </c>
      <c r="Z719" s="106">
        <f t="shared" si="1163"/>
        <v>0</v>
      </c>
      <c r="AA719" s="106">
        <f t="shared" si="1171"/>
        <v>0</v>
      </c>
      <c r="AB719" s="106">
        <f t="shared" si="1172"/>
        <v>0</v>
      </c>
      <c r="AC719" s="107">
        <f t="shared" si="1164"/>
        <v>0</v>
      </c>
    </row>
    <row r="720" spans="1:29" s="82" customFormat="1" ht="16.5" customHeight="1">
      <c r="A720" s="1267"/>
      <c r="B720" s="97"/>
      <c r="C720" s="98"/>
      <c r="D720" s="98"/>
      <c r="E720" s="102" t="s">
        <v>56</v>
      </c>
      <c r="F720" s="104"/>
      <c r="G720" s="104"/>
      <c r="H720" s="104"/>
      <c r="I720" s="105"/>
      <c r="J720" s="104">
        <f t="shared" si="1165"/>
        <v>0</v>
      </c>
      <c r="K720" s="104">
        <f t="shared" si="1166"/>
        <v>0</v>
      </c>
      <c r="L720" s="104">
        <f t="shared" si="1167"/>
        <v>0</v>
      </c>
      <c r="M720" s="104"/>
      <c r="N720" s="104">
        <v>50000</v>
      </c>
      <c r="O720" s="104">
        <f t="shared" si="1173"/>
        <v>40000</v>
      </c>
      <c r="P720" s="104"/>
      <c r="Q720" s="104">
        <f t="shared" si="1168"/>
        <v>0</v>
      </c>
      <c r="R720" s="104">
        <f t="shared" si="1175"/>
        <v>0</v>
      </c>
      <c r="S720" s="104">
        <f t="shared" si="1174"/>
        <v>0</v>
      </c>
      <c r="T720" s="105"/>
      <c r="U720" s="100">
        <f t="shared" si="1161"/>
        <v>0</v>
      </c>
      <c r="V720" s="130"/>
      <c r="W720" s="134">
        <f t="shared" si="1169"/>
        <v>0</v>
      </c>
      <c r="X720" s="106">
        <f t="shared" si="1162"/>
        <v>0</v>
      </c>
      <c r="Y720" s="106">
        <f t="shared" si="1170"/>
        <v>0</v>
      </c>
      <c r="Z720" s="106">
        <f t="shared" si="1163"/>
        <v>0</v>
      </c>
      <c r="AA720" s="106">
        <f t="shared" si="1171"/>
        <v>0</v>
      </c>
      <c r="AB720" s="106">
        <f t="shared" si="1172"/>
        <v>0</v>
      </c>
      <c r="AC720" s="107">
        <f t="shared" si="1164"/>
        <v>0</v>
      </c>
    </row>
    <row r="721" spans="1:29" ht="16.5" customHeight="1">
      <c r="A721" s="1268"/>
      <c r="B721" s="108"/>
      <c r="C721" s="109"/>
      <c r="D721" s="109"/>
      <c r="E721" s="136" t="s">
        <v>395</v>
      </c>
      <c r="F721" s="137"/>
      <c r="G721" s="137"/>
      <c r="H721" s="137"/>
      <c r="I721" s="105"/>
      <c r="J721" s="137">
        <f t="shared" si="1165"/>
        <v>0</v>
      </c>
      <c r="K721" s="137">
        <f t="shared" ref="K721" si="1176">J721*25*2</f>
        <v>0</v>
      </c>
      <c r="L721" s="137">
        <f t="shared" si="1167"/>
        <v>0</v>
      </c>
      <c r="M721" s="137">
        <v>0</v>
      </c>
      <c r="N721" s="137">
        <v>50000</v>
      </c>
      <c r="O721" s="137">
        <v>40000</v>
      </c>
      <c r="P721" s="137">
        <v>0</v>
      </c>
      <c r="Q721" s="137">
        <f t="shared" si="1168"/>
        <v>0</v>
      </c>
      <c r="R721" s="137">
        <f>Q721*20*2</f>
        <v>0</v>
      </c>
      <c r="S721" s="137">
        <f>(Q721*5)*2</f>
        <v>0</v>
      </c>
      <c r="T721" s="138"/>
      <c r="U721" s="111">
        <f t="shared" si="1161"/>
        <v>0</v>
      </c>
      <c r="V721" s="131"/>
      <c r="W721" s="23">
        <f t="shared" si="1169"/>
        <v>0</v>
      </c>
      <c r="X721" s="140">
        <v>142430</v>
      </c>
      <c r="Y721" s="140">
        <f t="shared" si="1170"/>
        <v>0</v>
      </c>
      <c r="Z721" s="140">
        <v>6300</v>
      </c>
      <c r="AA721" s="140">
        <f t="shared" si="1171"/>
        <v>0</v>
      </c>
      <c r="AB721" s="140">
        <f t="shared" si="1172"/>
        <v>0</v>
      </c>
      <c r="AC721" s="141">
        <v>562350</v>
      </c>
    </row>
  </sheetData>
  <mergeCells count="61">
    <mergeCell ref="A32:A44"/>
    <mergeCell ref="A5:E5"/>
    <mergeCell ref="A6:A18"/>
    <mergeCell ref="A19:A31"/>
    <mergeCell ref="A188:A200"/>
    <mergeCell ref="A45:A57"/>
    <mergeCell ref="A58:A70"/>
    <mergeCell ref="A71:A83"/>
    <mergeCell ref="A84:A96"/>
    <mergeCell ref="A97:A109"/>
    <mergeCell ref="A110:A122"/>
    <mergeCell ref="A123:A135"/>
    <mergeCell ref="A136:A148"/>
    <mergeCell ref="A149:A161"/>
    <mergeCell ref="A162:A174"/>
    <mergeCell ref="A175:A187"/>
    <mergeCell ref="A344:A356"/>
    <mergeCell ref="A201:A213"/>
    <mergeCell ref="A214:A226"/>
    <mergeCell ref="A227:A239"/>
    <mergeCell ref="A240:A252"/>
    <mergeCell ref="A253:A265"/>
    <mergeCell ref="A266:A278"/>
    <mergeCell ref="A279:A291"/>
    <mergeCell ref="A292:A304"/>
    <mergeCell ref="A305:A317"/>
    <mergeCell ref="A318:A330"/>
    <mergeCell ref="A331:A343"/>
    <mergeCell ref="A500:A512"/>
    <mergeCell ref="A357:A369"/>
    <mergeCell ref="A370:A382"/>
    <mergeCell ref="A383:A395"/>
    <mergeCell ref="A396:A408"/>
    <mergeCell ref="A409:A421"/>
    <mergeCell ref="A422:A434"/>
    <mergeCell ref="A435:A447"/>
    <mergeCell ref="A448:A460"/>
    <mergeCell ref="A461:A473"/>
    <mergeCell ref="A474:A486"/>
    <mergeCell ref="A487:A499"/>
    <mergeCell ref="A657:C657"/>
    <mergeCell ref="A513:A525"/>
    <mergeCell ref="A526:A538"/>
    <mergeCell ref="A539:A551"/>
    <mergeCell ref="A552:A564"/>
    <mergeCell ref="A565:A577"/>
    <mergeCell ref="A578:A590"/>
    <mergeCell ref="A591:A603"/>
    <mergeCell ref="A604:A616"/>
    <mergeCell ref="A617:A629"/>
    <mergeCell ref="A630:A642"/>
    <mergeCell ref="A643:A655"/>
    <mergeCell ref="A706:C706"/>
    <mergeCell ref="A708:E708"/>
    <mergeCell ref="A709:A721"/>
    <mergeCell ref="A659:E659"/>
    <mergeCell ref="A660:A672"/>
    <mergeCell ref="A675:C675"/>
    <mergeCell ref="A677:E677"/>
    <mergeCell ref="A678:A690"/>
    <mergeCell ref="A691:A703"/>
  </mergeCells>
  <phoneticPr fontId="2" type="noConversion"/>
  <pageMargins left="0.78" right="0.15748031496062992" top="0.36" bottom="0.19685039370078741" header="0.15748031496062992" footer="0.15748031496062992"/>
  <pageSetup paperSize="9" scale="80" orientation="landscape" horizontalDpi="4294967293" verticalDpi="4294967293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topLeftCell="A16" workbookViewId="0">
      <selection activeCell="K121" sqref="K121"/>
    </sheetView>
  </sheetViews>
  <sheetFormatPr defaultRowHeight="13.5"/>
  <cols>
    <col min="1" max="1" width="3.88671875" style="409" customWidth="1"/>
    <col min="2" max="2" width="5.88671875" style="410" customWidth="1"/>
    <col min="3" max="3" width="8.109375" style="410" customWidth="1"/>
    <col min="4" max="4" width="9.77734375" style="411" hidden="1" customWidth="1"/>
    <col min="5" max="6" width="5.88671875" style="409" hidden="1" customWidth="1"/>
    <col min="7" max="7" width="8.44140625" style="413" customWidth="1"/>
    <col min="8" max="8" width="6.6640625" style="475" customWidth="1"/>
    <col min="9" max="9" width="2.109375" style="475" customWidth="1"/>
    <col min="10" max="10" width="2" style="411" customWidth="1"/>
    <col min="11" max="11" width="2.21875" style="475" customWidth="1"/>
    <col min="12" max="13" width="2.109375" style="411" customWidth="1"/>
    <col min="14" max="14" width="2.33203125" style="413" customWidth="1"/>
    <col min="15" max="15" width="3" style="411" customWidth="1"/>
    <col min="16" max="16" width="2" style="411" customWidth="1"/>
    <col min="17" max="17" width="4.109375" style="476" hidden="1" customWidth="1"/>
    <col min="18" max="18" width="8.21875" style="475" customWidth="1"/>
    <col min="19" max="19" width="8.88671875" style="475" hidden="1" customWidth="1"/>
    <col min="20" max="20" width="6.77734375" style="475" hidden="1" customWidth="1"/>
    <col min="21" max="21" width="9.88671875" style="475" hidden="1" customWidth="1"/>
    <col min="22" max="22" width="8.6640625" style="475" hidden="1" customWidth="1"/>
    <col min="23" max="25" width="9.77734375" style="475" hidden="1" customWidth="1"/>
    <col min="26" max="26" width="8.88671875" style="475" hidden="1" customWidth="1"/>
    <col min="27" max="27" width="7.88671875" style="475" hidden="1" customWidth="1"/>
    <col min="28" max="28" width="9.44140625" style="475" hidden="1" customWidth="1"/>
    <col min="29" max="29" width="7.44140625" style="475" hidden="1" customWidth="1"/>
    <col min="30" max="30" width="1.6640625" style="475" hidden="1" customWidth="1"/>
    <col min="31" max="31" width="19.88671875" style="415" customWidth="1"/>
    <col min="32" max="32" width="10.5546875" style="350" hidden="1" customWidth="1"/>
    <col min="33" max="33" width="6.21875" style="350" hidden="1" customWidth="1"/>
    <col min="34" max="34" width="4.77734375" style="350" hidden="1" customWidth="1"/>
    <col min="35" max="35" width="11.5546875" style="350" customWidth="1"/>
    <col min="36" max="36" width="13.44140625" style="350" customWidth="1"/>
    <col min="37" max="37" width="22.88671875" style="304" customWidth="1"/>
    <col min="38" max="38" width="11.21875" style="350" customWidth="1"/>
    <col min="39" max="39" width="11.44140625" style="350" customWidth="1"/>
    <col min="40" max="40" width="10" style="350" customWidth="1"/>
    <col min="41" max="42" width="8.88671875" style="350"/>
    <col min="43" max="43" width="9.33203125" style="271" bestFit="1" customWidth="1"/>
    <col min="44" max="16384" width="8.88671875" style="271"/>
  </cols>
  <sheetData>
    <row r="2" spans="1:42" s="304" customFormat="1" ht="21.75" customHeight="1">
      <c r="A2" s="1283" t="s">
        <v>526</v>
      </c>
      <c r="B2" s="1283"/>
      <c r="C2" s="1283"/>
      <c r="D2" s="1283"/>
      <c r="E2" s="1283"/>
      <c r="F2" s="1283"/>
      <c r="G2" s="1283"/>
      <c r="H2" s="1283"/>
      <c r="I2" s="1283"/>
      <c r="J2" s="1283"/>
      <c r="K2" s="1283"/>
      <c r="L2" s="1283"/>
      <c r="M2" s="1283"/>
      <c r="N2" s="1283"/>
      <c r="O2" s="1283"/>
      <c r="P2" s="1283"/>
      <c r="Q2" s="414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5"/>
      <c r="AF2" s="359"/>
      <c r="AG2" s="359"/>
      <c r="AH2" s="359"/>
      <c r="AI2" s="359"/>
      <c r="AJ2" s="359"/>
      <c r="AL2" s="359"/>
      <c r="AM2" s="359"/>
      <c r="AN2" s="359"/>
      <c r="AO2" s="359"/>
      <c r="AP2" s="359"/>
    </row>
    <row r="3" spans="1:42" s="304" customFormat="1" ht="22.5" customHeight="1" thickBot="1">
      <c r="A3" s="352"/>
      <c r="B3" s="352"/>
      <c r="C3" s="352"/>
      <c r="D3" s="352"/>
      <c r="E3" s="352"/>
      <c r="F3" s="352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414"/>
      <c r="R3" s="411"/>
      <c r="S3" s="411"/>
      <c r="T3" s="411"/>
      <c r="U3" s="411"/>
      <c r="V3" s="411"/>
      <c r="W3" s="411"/>
      <c r="X3" s="411"/>
      <c r="Y3" s="411"/>
      <c r="Z3" s="411"/>
      <c r="AA3" s="411"/>
      <c r="AB3" s="411"/>
      <c r="AC3" s="411"/>
      <c r="AD3" s="411"/>
      <c r="AE3" s="413" t="s">
        <v>527</v>
      </c>
      <c r="AF3" s="359"/>
      <c r="AG3" s="359"/>
      <c r="AH3" s="359"/>
      <c r="AI3" s="359"/>
      <c r="AJ3" s="359"/>
      <c r="AL3" s="359"/>
      <c r="AM3" s="359"/>
      <c r="AN3" s="359"/>
      <c r="AO3" s="359"/>
      <c r="AP3" s="359"/>
    </row>
    <row r="4" spans="1:42" s="304" customFormat="1" ht="20.25" customHeight="1" thickBot="1">
      <c r="A4" s="416" t="s">
        <v>528</v>
      </c>
      <c r="B4" s="1284" t="s">
        <v>529</v>
      </c>
      <c r="C4" s="1285"/>
      <c r="D4" s="417"/>
      <c r="E4" s="418"/>
      <c r="F4" s="418"/>
      <c r="G4" s="417" t="s">
        <v>530</v>
      </c>
      <c r="H4" s="1286"/>
      <c r="I4" s="1286"/>
      <c r="J4" s="1286"/>
      <c r="K4" s="1286"/>
      <c r="L4" s="1286"/>
      <c r="M4" s="1286"/>
      <c r="N4" s="1286"/>
      <c r="O4" s="1286"/>
      <c r="P4" s="1286"/>
      <c r="Q4" s="1286"/>
      <c r="R4" s="1287"/>
      <c r="S4" s="417"/>
      <c r="T4" s="417"/>
      <c r="U4" s="417"/>
      <c r="V4" s="417"/>
      <c r="W4" s="417"/>
      <c r="X4" s="417"/>
      <c r="Y4" s="417"/>
      <c r="Z4" s="417"/>
      <c r="AA4" s="417"/>
      <c r="AB4" s="417"/>
      <c r="AC4" s="417"/>
      <c r="AD4" s="417"/>
      <c r="AE4" s="419" t="s">
        <v>531</v>
      </c>
      <c r="AF4" s="359"/>
      <c r="AG4" s="359"/>
      <c r="AH4" s="359"/>
      <c r="AI4" s="359"/>
      <c r="AJ4" s="359"/>
      <c r="AL4" s="359"/>
      <c r="AM4" s="359"/>
      <c r="AN4" s="359"/>
      <c r="AO4" s="359"/>
      <c r="AP4" s="359"/>
    </row>
    <row r="5" spans="1:42" s="304" customFormat="1" ht="15.75" customHeight="1" thickTop="1">
      <c r="A5" s="1288" t="s">
        <v>532</v>
      </c>
      <c r="B5" s="1289"/>
      <c r="C5" s="1290"/>
      <c r="D5" s="420"/>
      <c r="E5" s="421"/>
      <c r="F5" s="421"/>
      <c r="G5" s="422">
        <f>ROUND(G16+G25+G34+G43+G52+G61+G70+G79+G88+G97+G107+G116,-1)</f>
        <v>134362640</v>
      </c>
      <c r="H5" s="423"/>
      <c r="I5" s="423"/>
      <c r="J5" s="423"/>
      <c r="K5" s="423"/>
      <c r="L5" s="423"/>
      <c r="M5" s="423"/>
      <c r="N5" s="423"/>
      <c r="O5" s="423"/>
      <c r="P5" s="423"/>
      <c r="Q5" s="423"/>
      <c r="R5" s="424"/>
      <c r="S5" s="420"/>
      <c r="T5" s="420"/>
      <c r="U5" s="420"/>
      <c r="V5" s="420"/>
      <c r="W5" s="420"/>
      <c r="X5" s="420"/>
      <c r="Y5" s="420"/>
      <c r="Z5" s="420"/>
      <c r="AA5" s="420"/>
      <c r="AB5" s="420"/>
      <c r="AC5" s="420"/>
      <c r="AD5" s="420"/>
      <c r="AE5" s="425"/>
      <c r="AF5" s="359"/>
      <c r="AG5" s="359"/>
      <c r="AH5" s="359"/>
      <c r="AI5" s="359"/>
      <c r="AJ5" s="359"/>
      <c r="AL5" s="359"/>
      <c r="AM5" s="359"/>
      <c r="AN5" s="359"/>
      <c r="AO5" s="359"/>
      <c r="AP5" s="359"/>
    </row>
    <row r="6" spans="1:42" s="433" customFormat="1" ht="15.75" customHeight="1">
      <c r="A6" s="1293" t="s">
        <v>533</v>
      </c>
      <c r="B6" s="1291" t="s">
        <v>534</v>
      </c>
      <c r="C6" s="1292"/>
      <c r="D6" s="426"/>
      <c r="E6" s="427"/>
      <c r="F6" s="427"/>
      <c r="G6" s="428">
        <f>G7+G9+G11+G13</f>
        <v>134362640</v>
      </c>
      <c r="H6" s="429"/>
      <c r="I6" s="429"/>
      <c r="J6" s="429"/>
      <c r="K6" s="429"/>
      <c r="L6" s="429"/>
      <c r="M6" s="429"/>
      <c r="N6" s="429"/>
      <c r="O6" s="429"/>
      <c r="P6" s="429"/>
      <c r="Q6" s="429"/>
      <c r="R6" s="430"/>
      <c r="S6" s="426"/>
      <c r="T6" s="426"/>
      <c r="U6" s="426"/>
      <c r="V6" s="426"/>
      <c r="W6" s="426"/>
      <c r="X6" s="426"/>
      <c r="Y6" s="426"/>
      <c r="Z6" s="426"/>
      <c r="AA6" s="426"/>
      <c r="AB6" s="426"/>
      <c r="AC6" s="426"/>
      <c r="AD6" s="426"/>
      <c r="AE6" s="431" t="s">
        <v>926</v>
      </c>
      <c r="AF6" s="432"/>
      <c r="AG6" s="432"/>
      <c r="AH6" s="432"/>
      <c r="AI6" s="432"/>
      <c r="AJ6" s="432"/>
      <c r="AL6" s="432"/>
      <c r="AM6" s="432"/>
      <c r="AN6" s="432"/>
      <c r="AO6" s="432"/>
      <c r="AP6" s="432"/>
    </row>
    <row r="7" spans="1:42" s="433" customFormat="1" ht="15.75" customHeight="1">
      <c r="A7" s="1276"/>
      <c r="B7" s="1280" t="s">
        <v>535</v>
      </c>
      <c r="C7" s="427" t="s">
        <v>534</v>
      </c>
      <c r="D7" s="426"/>
      <c r="E7" s="427"/>
      <c r="F7" s="427"/>
      <c r="G7" s="428">
        <f>G8</f>
        <v>3412200</v>
      </c>
      <c r="H7" s="429"/>
      <c r="I7" s="429"/>
      <c r="J7" s="429"/>
      <c r="K7" s="429"/>
      <c r="L7" s="429"/>
      <c r="M7" s="429"/>
      <c r="N7" s="429"/>
      <c r="O7" s="429"/>
      <c r="P7" s="429"/>
      <c r="Q7" s="429"/>
      <c r="R7" s="430"/>
      <c r="S7" s="426"/>
      <c r="T7" s="426"/>
      <c r="U7" s="426"/>
      <c r="V7" s="426"/>
      <c r="W7" s="426"/>
      <c r="X7" s="426"/>
      <c r="Y7" s="426"/>
      <c r="Z7" s="426"/>
      <c r="AA7" s="426"/>
      <c r="AB7" s="426"/>
      <c r="AC7" s="426"/>
      <c r="AD7" s="426"/>
      <c r="AE7" s="434"/>
      <c r="AF7" s="432"/>
      <c r="AG7" s="432"/>
      <c r="AH7" s="432"/>
      <c r="AI7" s="432"/>
      <c r="AJ7" s="432"/>
      <c r="AL7" s="432"/>
      <c r="AM7" s="432"/>
      <c r="AN7" s="432"/>
      <c r="AO7" s="432"/>
      <c r="AP7" s="432"/>
    </row>
    <row r="8" spans="1:42" ht="15.75" customHeight="1">
      <c r="A8" s="1276"/>
      <c r="B8" s="1282"/>
      <c r="C8" s="427" t="s">
        <v>536</v>
      </c>
      <c r="D8" s="435"/>
      <c r="E8" s="436"/>
      <c r="F8" s="436"/>
      <c r="G8" s="428">
        <f>G18+G27+G36+G45+G54+G63+G72+G81+G90+G99+G109+G118</f>
        <v>3412200</v>
      </c>
      <c r="H8" s="437">
        <v>36300</v>
      </c>
      <c r="I8" s="437" t="s">
        <v>339</v>
      </c>
      <c r="J8" s="438"/>
      <c r="K8" s="437"/>
      <c r="L8" s="438"/>
      <c r="M8" s="438"/>
      <c r="N8" s="439"/>
      <c r="O8" s="438"/>
      <c r="P8" s="438"/>
      <c r="Q8" s="440"/>
      <c r="R8" s="441">
        <f>G8</f>
        <v>3412200</v>
      </c>
      <c r="S8" s="442"/>
      <c r="T8" s="442"/>
      <c r="U8" s="442"/>
      <c r="V8" s="442"/>
      <c r="W8" s="442"/>
      <c r="X8" s="442"/>
      <c r="Y8" s="442"/>
      <c r="Z8" s="442"/>
      <c r="AA8" s="442"/>
      <c r="AB8" s="442"/>
      <c r="AC8" s="442"/>
      <c r="AD8" s="442"/>
      <c r="AE8" s="434" t="s">
        <v>537</v>
      </c>
    </row>
    <row r="9" spans="1:42" ht="15.75" customHeight="1">
      <c r="A9" s="1276"/>
      <c r="B9" s="1295" t="s">
        <v>32</v>
      </c>
      <c r="C9" s="427" t="s">
        <v>6</v>
      </c>
      <c r="D9" s="435"/>
      <c r="E9" s="436"/>
      <c r="F9" s="436"/>
      <c r="G9" s="428">
        <f>G10</f>
        <v>129440280</v>
      </c>
      <c r="H9" s="437"/>
      <c r="I9" s="437"/>
      <c r="J9" s="438"/>
      <c r="K9" s="437"/>
      <c r="L9" s="438"/>
      <c r="M9" s="438"/>
      <c r="N9" s="439"/>
      <c r="O9" s="438"/>
      <c r="P9" s="438"/>
      <c r="Q9" s="440"/>
      <c r="R9" s="441"/>
      <c r="S9" s="442"/>
      <c r="T9" s="442"/>
      <c r="U9" s="442"/>
      <c r="V9" s="442"/>
      <c r="W9" s="442"/>
      <c r="X9" s="442"/>
      <c r="Y9" s="442"/>
      <c r="Z9" s="442"/>
      <c r="AA9" s="442"/>
      <c r="AB9" s="442"/>
      <c r="AC9" s="442"/>
      <c r="AD9" s="442"/>
      <c r="AE9" s="434"/>
    </row>
    <row r="10" spans="1:42" ht="15.75" customHeight="1">
      <c r="A10" s="1276"/>
      <c r="B10" s="1296"/>
      <c r="C10" s="443" t="s">
        <v>32</v>
      </c>
      <c r="D10" s="435"/>
      <c r="E10" s="436"/>
      <c r="F10" s="436"/>
      <c r="G10" s="444">
        <f>ROUND(G20+G29+G38+G47+G56+G65+G74+G83+G92+G101+G111+G120,-1)</f>
        <v>129440280</v>
      </c>
      <c r="H10" s="445">
        <v>22950</v>
      </c>
      <c r="I10" s="445" t="s">
        <v>339</v>
      </c>
      <c r="J10" s="438"/>
      <c r="K10" s="445"/>
      <c r="L10" s="438"/>
      <c r="M10" s="438"/>
      <c r="N10" s="439"/>
      <c r="O10" s="438"/>
      <c r="P10" s="438"/>
      <c r="Q10" s="440"/>
      <c r="R10" s="441">
        <f>G10</f>
        <v>129440280</v>
      </c>
      <c r="S10" s="442"/>
      <c r="T10" s="442"/>
      <c r="U10" s="442"/>
      <c r="V10" s="442"/>
      <c r="W10" s="442"/>
      <c r="X10" s="442"/>
      <c r="Y10" s="442"/>
      <c r="Z10" s="442"/>
      <c r="AA10" s="442"/>
      <c r="AB10" s="442"/>
      <c r="AC10" s="442"/>
      <c r="AD10" s="442"/>
      <c r="AE10" s="434" t="s">
        <v>477</v>
      </c>
    </row>
    <row r="11" spans="1:42" ht="15.75" customHeight="1">
      <c r="A11" s="1276"/>
      <c r="B11" s="1297" t="s">
        <v>126</v>
      </c>
      <c r="C11" s="427" t="s">
        <v>6</v>
      </c>
      <c r="D11" s="435"/>
      <c r="E11" s="436"/>
      <c r="F11" s="436"/>
      <c r="G11" s="444">
        <f>G12</f>
        <v>1510160</v>
      </c>
      <c r="H11" s="445"/>
      <c r="I11" s="445"/>
      <c r="J11" s="438"/>
      <c r="K11" s="445"/>
      <c r="L11" s="438"/>
      <c r="M11" s="438"/>
      <c r="N11" s="439"/>
      <c r="O11" s="438"/>
      <c r="P11" s="438"/>
      <c r="Q11" s="440"/>
      <c r="R11" s="441"/>
      <c r="S11" s="442"/>
      <c r="T11" s="442"/>
      <c r="U11" s="442"/>
      <c r="V11" s="442"/>
      <c r="W11" s="442"/>
      <c r="X11" s="442"/>
      <c r="Y11" s="442"/>
      <c r="Z11" s="442"/>
      <c r="AA11" s="442"/>
      <c r="AB11" s="442"/>
      <c r="AC11" s="442"/>
      <c r="AD11" s="442"/>
      <c r="AE11" s="434"/>
    </row>
    <row r="12" spans="1:42" ht="15.75" customHeight="1">
      <c r="A12" s="1276"/>
      <c r="B12" s="1298"/>
      <c r="C12" s="427" t="s">
        <v>126</v>
      </c>
      <c r="D12" s="435"/>
      <c r="E12" s="436"/>
      <c r="F12" s="436"/>
      <c r="G12" s="428">
        <f>G21+G30+G39+G48+G57+G66+G75+G84+G93+G103+G112+G121</f>
        <v>1510160</v>
      </c>
      <c r="H12" s="437">
        <v>32131</v>
      </c>
      <c r="I12" s="445" t="s">
        <v>339</v>
      </c>
      <c r="J12" s="438"/>
      <c r="K12" s="445"/>
      <c r="L12" s="438"/>
      <c r="M12" s="438"/>
      <c r="N12" s="439"/>
      <c r="O12" s="438"/>
      <c r="P12" s="438"/>
      <c r="Q12" s="440"/>
      <c r="R12" s="441">
        <f>G12</f>
        <v>1510160</v>
      </c>
      <c r="S12" s="442"/>
      <c r="T12" s="442"/>
      <c r="U12" s="442"/>
      <c r="V12" s="442"/>
      <c r="W12" s="442"/>
      <c r="X12" s="442"/>
      <c r="Y12" s="442"/>
      <c r="Z12" s="442"/>
      <c r="AA12" s="442"/>
      <c r="AB12" s="442"/>
      <c r="AC12" s="442"/>
      <c r="AD12" s="442"/>
      <c r="AE12" s="434" t="s">
        <v>478</v>
      </c>
    </row>
    <row r="13" spans="1:42" ht="15.75" customHeight="1">
      <c r="A13" s="1276"/>
      <c r="B13" s="427" t="s">
        <v>6</v>
      </c>
      <c r="C13" s="427" t="s">
        <v>6</v>
      </c>
      <c r="D13" s="435"/>
      <c r="E13" s="436"/>
      <c r="F13" s="436"/>
      <c r="G13" s="428">
        <f>G14+G15</f>
        <v>0</v>
      </c>
      <c r="H13" s="437"/>
      <c r="I13" s="437"/>
      <c r="J13" s="438"/>
      <c r="K13" s="437"/>
      <c r="L13" s="438"/>
      <c r="M13" s="438"/>
      <c r="N13" s="439"/>
      <c r="O13" s="438"/>
      <c r="P13" s="438"/>
      <c r="Q13" s="440"/>
      <c r="R13" s="441"/>
      <c r="S13" s="442"/>
      <c r="T13" s="442"/>
      <c r="U13" s="442"/>
      <c r="V13" s="442"/>
      <c r="W13" s="442"/>
      <c r="X13" s="442"/>
      <c r="Y13" s="442"/>
      <c r="Z13" s="442"/>
      <c r="AA13" s="442"/>
      <c r="AB13" s="442"/>
      <c r="AC13" s="442"/>
      <c r="AD13" s="442"/>
      <c r="AE13" s="434"/>
    </row>
    <row r="14" spans="1:42" ht="15.75" customHeight="1">
      <c r="A14" s="1276"/>
      <c r="B14" s="427" t="s">
        <v>24</v>
      </c>
      <c r="C14" s="427" t="s">
        <v>24</v>
      </c>
      <c r="D14" s="435"/>
      <c r="E14" s="436"/>
      <c r="F14" s="436"/>
      <c r="G14" s="428"/>
      <c r="H14" s="437">
        <f>G14/12/51</f>
        <v>0</v>
      </c>
      <c r="I14" s="437"/>
      <c r="J14" s="438"/>
      <c r="K14" s="437"/>
      <c r="L14" s="438"/>
      <c r="M14" s="438"/>
      <c r="N14" s="439"/>
      <c r="O14" s="438"/>
      <c r="P14" s="438"/>
      <c r="Q14" s="440"/>
      <c r="R14" s="441">
        <f>G14</f>
        <v>0</v>
      </c>
      <c r="S14" s="442"/>
      <c r="T14" s="442"/>
      <c r="U14" s="442"/>
      <c r="V14" s="442"/>
      <c r="W14" s="442"/>
      <c r="X14" s="442"/>
      <c r="Y14" s="442"/>
      <c r="Z14" s="442"/>
      <c r="AA14" s="442"/>
      <c r="AB14" s="442"/>
      <c r="AC14" s="442"/>
      <c r="AD14" s="442"/>
      <c r="AE14" s="434" t="s">
        <v>477</v>
      </c>
    </row>
    <row r="15" spans="1:42" ht="15.75" customHeight="1">
      <c r="A15" s="1294"/>
      <c r="B15" s="446"/>
      <c r="C15" s="446"/>
      <c r="D15" s="447"/>
      <c r="E15" s="448"/>
      <c r="F15" s="448"/>
      <c r="G15" s="449"/>
      <c r="H15" s="450"/>
      <c r="I15" s="450"/>
      <c r="J15" s="451"/>
      <c r="K15" s="450"/>
      <c r="L15" s="451"/>
      <c r="M15" s="451"/>
      <c r="N15" s="452"/>
      <c r="O15" s="451"/>
      <c r="P15" s="451"/>
      <c r="Q15" s="453"/>
      <c r="R15" s="454"/>
      <c r="S15" s="455"/>
      <c r="T15" s="455"/>
      <c r="U15" s="455"/>
      <c r="V15" s="455"/>
      <c r="W15" s="455"/>
      <c r="X15" s="455"/>
      <c r="Y15" s="455"/>
      <c r="Z15" s="455"/>
      <c r="AA15" s="455"/>
      <c r="AB15" s="455"/>
      <c r="AC15" s="455"/>
      <c r="AD15" s="455"/>
      <c r="AE15" s="456"/>
    </row>
    <row r="16" spans="1:42" s="433" customFormat="1" ht="15.75" customHeight="1">
      <c r="A16" s="1276" t="s">
        <v>538</v>
      </c>
      <c r="B16" s="1278" t="s">
        <v>534</v>
      </c>
      <c r="C16" s="1279"/>
      <c r="D16" s="457"/>
      <c r="E16" s="458"/>
      <c r="F16" s="458"/>
      <c r="G16" s="459">
        <f>G17+G19+G22</f>
        <v>12492790</v>
      </c>
      <c r="H16" s="460"/>
      <c r="I16" s="460"/>
      <c r="J16" s="460"/>
      <c r="K16" s="460"/>
      <c r="L16" s="460"/>
      <c r="M16" s="460"/>
      <c r="N16" s="460"/>
      <c r="O16" s="460"/>
      <c r="P16" s="460"/>
      <c r="Q16" s="460"/>
      <c r="R16" s="461"/>
      <c r="S16" s="457"/>
      <c r="T16" s="457"/>
      <c r="U16" s="457"/>
      <c r="V16" s="457"/>
      <c r="W16" s="457"/>
      <c r="X16" s="457"/>
      <c r="Y16" s="457"/>
      <c r="Z16" s="457"/>
      <c r="AA16" s="457"/>
      <c r="AB16" s="457"/>
      <c r="AC16" s="457"/>
      <c r="AD16" s="457"/>
      <c r="AE16" s="431" t="s">
        <v>926</v>
      </c>
      <c r="AF16" s="432"/>
      <c r="AG16" s="432"/>
      <c r="AH16" s="432"/>
      <c r="AI16" s="432"/>
      <c r="AJ16" s="432"/>
      <c r="AL16" s="432"/>
      <c r="AM16" s="432"/>
      <c r="AN16" s="432"/>
      <c r="AO16" s="432"/>
      <c r="AP16" s="432"/>
    </row>
    <row r="17" spans="1:42" s="433" customFormat="1" ht="15.75" customHeight="1">
      <c r="A17" s="1276"/>
      <c r="B17" s="1280" t="s">
        <v>535</v>
      </c>
      <c r="C17" s="427" t="s">
        <v>534</v>
      </c>
      <c r="D17" s="426"/>
      <c r="E17" s="427"/>
      <c r="F17" s="427"/>
      <c r="G17" s="428">
        <f>G18</f>
        <v>1706100</v>
      </c>
      <c r="H17" s="429"/>
      <c r="I17" s="429"/>
      <c r="J17" s="429"/>
      <c r="K17" s="429"/>
      <c r="L17" s="429"/>
      <c r="M17" s="429"/>
      <c r="N17" s="429"/>
      <c r="O17" s="429"/>
      <c r="P17" s="429"/>
      <c r="Q17" s="429"/>
      <c r="R17" s="430"/>
      <c r="S17" s="426"/>
      <c r="T17" s="426"/>
      <c r="U17" s="426"/>
      <c r="V17" s="426"/>
      <c r="W17" s="426"/>
      <c r="X17" s="426"/>
      <c r="Y17" s="426"/>
      <c r="Z17" s="426"/>
      <c r="AA17" s="426"/>
      <c r="AB17" s="426"/>
      <c r="AC17" s="426"/>
      <c r="AD17" s="426"/>
      <c r="AE17" s="434"/>
      <c r="AF17" s="432"/>
      <c r="AG17" s="432"/>
      <c r="AH17" s="432"/>
      <c r="AI17" s="432"/>
      <c r="AJ17" s="432"/>
      <c r="AL17" s="432"/>
      <c r="AM17" s="432"/>
      <c r="AN17" s="432"/>
      <c r="AO17" s="432"/>
      <c r="AP17" s="432"/>
    </row>
    <row r="18" spans="1:42" ht="15.75" customHeight="1">
      <c r="A18" s="1276"/>
      <c r="B18" s="1282"/>
      <c r="C18" s="427" t="s">
        <v>536</v>
      </c>
      <c r="D18" s="435"/>
      <c r="E18" s="436"/>
      <c r="F18" s="436"/>
      <c r="G18" s="428">
        <f>R18</f>
        <v>1706100</v>
      </c>
      <c r="H18" s="437">
        <f>H8</f>
        <v>36300</v>
      </c>
      <c r="I18" s="437" t="s">
        <v>539</v>
      </c>
      <c r="J18" s="438" t="s">
        <v>540</v>
      </c>
      <c r="K18" s="437">
        <v>47</v>
      </c>
      <c r="L18" s="438" t="s">
        <v>541</v>
      </c>
      <c r="M18" s="438" t="s">
        <v>540</v>
      </c>
      <c r="N18" s="439">
        <v>1</v>
      </c>
      <c r="O18" s="438" t="s">
        <v>542</v>
      </c>
      <c r="P18" s="438" t="s">
        <v>543</v>
      </c>
      <c r="Q18" s="440"/>
      <c r="R18" s="441">
        <f>H18*K18*N18</f>
        <v>1706100</v>
      </c>
      <c r="S18" s="442"/>
      <c r="T18" s="442"/>
      <c r="U18" s="442"/>
      <c r="V18" s="442"/>
      <c r="W18" s="442"/>
      <c r="X18" s="442"/>
      <c r="Y18" s="442"/>
      <c r="Z18" s="442"/>
      <c r="AA18" s="442"/>
      <c r="AB18" s="442"/>
      <c r="AC18" s="442"/>
      <c r="AD18" s="442"/>
      <c r="AE18" s="434"/>
    </row>
    <row r="19" spans="1:42" ht="15.75" customHeight="1">
      <c r="A19" s="1276"/>
      <c r="B19" s="1280" t="s">
        <v>544</v>
      </c>
      <c r="C19" s="427" t="s">
        <v>534</v>
      </c>
      <c r="D19" s="435"/>
      <c r="E19" s="436"/>
      <c r="F19" s="436"/>
      <c r="G19" s="428">
        <f>SUM(G20:G21)</f>
        <v>10786690</v>
      </c>
      <c r="H19" s="437"/>
      <c r="I19" s="437"/>
      <c r="J19" s="438"/>
      <c r="K19" s="437"/>
      <c r="L19" s="438"/>
      <c r="M19" s="438"/>
      <c r="N19" s="439"/>
      <c r="O19" s="438"/>
      <c r="P19" s="438"/>
      <c r="Q19" s="440"/>
      <c r="R19" s="441"/>
      <c r="S19" s="442"/>
      <c r="T19" s="442"/>
      <c r="U19" s="442"/>
      <c r="V19" s="442"/>
      <c r="W19" s="442"/>
      <c r="X19" s="442"/>
      <c r="Y19" s="442"/>
      <c r="Z19" s="442"/>
      <c r="AA19" s="442"/>
      <c r="AB19" s="442"/>
      <c r="AC19" s="442"/>
      <c r="AD19" s="442"/>
      <c r="AE19" s="434"/>
    </row>
    <row r="20" spans="1:42" ht="18" customHeight="1">
      <c r="A20" s="1276"/>
      <c r="B20" s="1281"/>
      <c r="C20" s="462" t="s">
        <v>544</v>
      </c>
      <c r="D20" s="435"/>
      <c r="E20" s="436"/>
      <c r="F20" s="436"/>
      <c r="G20" s="444">
        <f>R20</f>
        <v>10786690</v>
      </c>
      <c r="H20" s="445">
        <v>229504</v>
      </c>
      <c r="I20" s="445" t="s">
        <v>539</v>
      </c>
      <c r="J20" s="438" t="s">
        <v>540</v>
      </c>
      <c r="K20" s="445">
        <v>47</v>
      </c>
      <c r="L20" s="438" t="s">
        <v>541</v>
      </c>
      <c r="M20" s="438" t="s">
        <v>35</v>
      </c>
      <c r="N20" s="439">
        <v>1</v>
      </c>
      <c r="O20" s="438" t="s">
        <v>528</v>
      </c>
      <c r="P20" s="438" t="s">
        <v>30</v>
      </c>
      <c r="Q20" s="440"/>
      <c r="R20" s="441">
        <f>ROUND(H20*K20*N20,-1)</f>
        <v>10786690</v>
      </c>
      <c r="S20" s="442"/>
      <c r="T20" s="442"/>
      <c r="U20" s="442"/>
      <c r="V20" s="442"/>
      <c r="W20" s="442"/>
      <c r="X20" s="442"/>
      <c r="Y20" s="442"/>
      <c r="Z20" s="442"/>
      <c r="AA20" s="442"/>
      <c r="AB20" s="442"/>
      <c r="AC20" s="442"/>
      <c r="AD20" s="442"/>
      <c r="AE20" s="434"/>
    </row>
    <row r="21" spans="1:42" ht="15.75" customHeight="1">
      <c r="A21" s="1276"/>
      <c r="B21" s="1282"/>
      <c r="C21" s="427" t="s">
        <v>545</v>
      </c>
      <c r="D21" s="435"/>
      <c r="E21" s="436"/>
      <c r="F21" s="436"/>
      <c r="G21" s="428"/>
      <c r="H21" s="437"/>
      <c r="I21" s="437"/>
      <c r="J21" s="438"/>
      <c r="K21" s="437"/>
      <c r="L21" s="438"/>
      <c r="M21" s="438"/>
      <c r="N21" s="439"/>
      <c r="O21" s="438"/>
      <c r="P21" s="438"/>
      <c r="Q21" s="440"/>
      <c r="R21" s="441"/>
      <c r="S21" s="442"/>
      <c r="T21" s="442"/>
      <c r="U21" s="442"/>
      <c r="V21" s="442"/>
      <c r="W21" s="442"/>
      <c r="X21" s="442"/>
      <c r="Y21" s="442"/>
      <c r="Z21" s="442"/>
      <c r="AA21" s="442"/>
      <c r="AB21" s="442"/>
      <c r="AC21" s="442"/>
      <c r="AD21" s="442"/>
      <c r="AE21" s="434"/>
    </row>
    <row r="22" spans="1:42" ht="15.75" hidden="1" customHeight="1">
      <c r="A22" s="1276"/>
      <c r="B22" s="1280" t="s">
        <v>24</v>
      </c>
      <c r="C22" s="427" t="s">
        <v>534</v>
      </c>
      <c r="D22" s="435"/>
      <c r="E22" s="436"/>
      <c r="F22" s="436"/>
      <c r="G22" s="428">
        <f>SUM(G23:G24)</f>
        <v>0</v>
      </c>
      <c r="H22" s="437"/>
      <c r="I22" s="437"/>
      <c r="J22" s="438"/>
      <c r="K22" s="437"/>
      <c r="L22" s="438"/>
      <c r="M22" s="438"/>
      <c r="N22" s="439"/>
      <c r="O22" s="438"/>
      <c r="P22" s="438"/>
      <c r="Q22" s="440"/>
      <c r="R22" s="441"/>
      <c r="S22" s="442"/>
      <c r="T22" s="442"/>
      <c r="U22" s="442"/>
      <c r="V22" s="442"/>
      <c r="W22" s="442"/>
      <c r="X22" s="442"/>
      <c r="Y22" s="442"/>
      <c r="Z22" s="442"/>
      <c r="AA22" s="442"/>
      <c r="AB22" s="442"/>
      <c r="AC22" s="442"/>
      <c r="AD22" s="442"/>
      <c r="AE22" s="434"/>
    </row>
    <row r="23" spans="1:42" ht="15.75" hidden="1" customHeight="1">
      <c r="A23" s="1276"/>
      <c r="B23" s="1281"/>
      <c r="C23" s="427" t="s">
        <v>24</v>
      </c>
      <c r="D23" s="435"/>
      <c r="E23" s="436"/>
      <c r="F23" s="436"/>
      <c r="G23" s="428">
        <f>R23</f>
        <v>0</v>
      </c>
      <c r="H23" s="437"/>
      <c r="I23" s="437" t="s">
        <v>539</v>
      </c>
      <c r="J23" s="438" t="s">
        <v>35</v>
      </c>
      <c r="K23" s="437">
        <v>51</v>
      </c>
      <c r="L23" s="438" t="s">
        <v>541</v>
      </c>
      <c r="M23" s="438" t="s">
        <v>35</v>
      </c>
      <c r="N23" s="439">
        <v>1</v>
      </c>
      <c r="O23" s="438" t="s">
        <v>546</v>
      </c>
      <c r="P23" s="438" t="s">
        <v>30</v>
      </c>
      <c r="Q23" s="440"/>
      <c r="R23" s="441">
        <f>ROUND(H23*K23*N23,-1)</f>
        <v>0</v>
      </c>
      <c r="S23" s="442"/>
      <c r="T23" s="442"/>
      <c r="U23" s="442"/>
      <c r="V23" s="442"/>
      <c r="W23" s="442"/>
      <c r="X23" s="442"/>
      <c r="Y23" s="442"/>
      <c r="Z23" s="442"/>
      <c r="AA23" s="442"/>
      <c r="AB23" s="442"/>
      <c r="AC23" s="442"/>
      <c r="AD23" s="442"/>
      <c r="AE23" s="434"/>
    </row>
    <row r="24" spans="1:42" ht="15.75" hidden="1" customHeight="1">
      <c r="A24" s="1277"/>
      <c r="B24" s="1282"/>
      <c r="C24" s="427" t="s">
        <v>547</v>
      </c>
      <c r="D24" s="435"/>
      <c r="E24" s="436"/>
      <c r="F24" s="436"/>
      <c r="G24" s="428">
        <f>R24</f>
        <v>0</v>
      </c>
      <c r="H24" s="437"/>
      <c r="I24" s="437" t="s">
        <v>34</v>
      </c>
      <c r="J24" s="438" t="s">
        <v>540</v>
      </c>
      <c r="K24" s="437"/>
      <c r="L24" s="438" t="s">
        <v>36</v>
      </c>
      <c r="M24" s="438" t="s">
        <v>540</v>
      </c>
      <c r="N24" s="439"/>
      <c r="O24" s="438" t="s">
        <v>486</v>
      </c>
      <c r="P24" s="438" t="s">
        <v>543</v>
      </c>
      <c r="Q24" s="440"/>
      <c r="R24" s="441">
        <f>H24*K24*N24</f>
        <v>0</v>
      </c>
      <c r="S24" s="442"/>
      <c r="T24" s="442"/>
      <c r="U24" s="442"/>
      <c r="V24" s="442"/>
      <c r="W24" s="442"/>
      <c r="X24" s="442"/>
      <c r="Y24" s="442"/>
      <c r="Z24" s="442"/>
      <c r="AA24" s="442"/>
      <c r="AB24" s="442"/>
      <c r="AC24" s="442"/>
      <c r="AD24" s="442"/>
      <c r="AE24" s="434"/>
    </row>
    <row r="25" spans="1:42" s="433" customFormat="1" ht="15.75" customHeight="1">
      <c r="A25" s="1293" t="s">
        <v>274</v>
      </c>
      <c r="B25" s="1291" t="s">
        <v>534</v>
      </c>
      <c r="C25" s="1292"/>
      <c r="D25" s="457"/>
      <c r="E25" s="458"/>
      <c r="F25" s="458"/>
      <c r="G25" s="459">
        <f>G26+G28+G31</f>
        <v>10786690</v>
      </c>
      <c r="H25" s="460"/>
      <c r="I25" s="460"/>
      <c r="J25" s="460"/>
      <c r="K25" s="460"/>
      <c r="L25" s="460"/>
      <c r="M25" s="460"/>
      <c r="N25" s="460"/>
      <c r="O25" s="460"/>
      <c r="P25" s="460"/>
      <c r="Q25" s="460"/>
      <c r="R25" s="461"/>
      <c r="S25" s="457"/>
      <c r="T25" s="457"/>
      <c r="U25" s="457"/>
      <c r="V25" s="457"/>
      <c r="W25" s="457"/>
      <c r="X25" s="457"/>
      <c r="Y25" s="457"/>
      <c r="Z25" s="457"/>
      <c r="AA25" s="457"/>
      <c r="AB25" s="457"/>
      <c r="AC25" s="457"/>
      <c r="AD25" s="457"/>
      <c r="AE25" s="431" t="s">
        <v>926</v>
      </c>
      <c r="AF25" s="432"/>
      <c r="AG25" s="432"/>
      <c r="AH25" s="432"/>
      <c r="AI25" s="432"/>
      <c r="AJ25" s="432"/>
      <c r="AL25" s="432"/>
      <c r="AM25" s="432"/>
      <c r="AN25" s="432"/>
      <c r="AO25" s="432"/>
      <c r="AP25" s="432"/>
    </row>
    <row r="26" spans="1:42" s="433" customFormat="1" ht="15.75" customHeight="1">
      <c r="A26" s="1276"/>
      <c r="B26" s="1280" t="s">
        <v>535</v>
      </c>
      <c r="C26" s="427" t="s">
        <v>6</v>
      </c>
      <c r="D26" s="426"/>
      <c r="E26" s="427"/>
      <c r="F26" s="427"/>
      <c r="G26" s="428">
        <f>G27</f>
        <v>0</v>
      </c>
      <c r="H26" s="429"/>
      <c r="I26" s="429"/>
      <c r="J26" s="429"/>
      <c r="K26" s="429"/>
      <c r="L26" s="429"/>
      <c r="M26" s="429"/>
      <c r="N26" s="429"/>
      <c r="O26" s="429"/>
      <c r="P26" s="429"/>
      <c r="Q26" s="429"/>
      <c r="R26" s="430"/>
      <c r="S26" s="426"/>
      <c r="T26" s="426"/>
      <c r="U26" s="426"/>
      <c r="V26" s="426"/>
      <c r="W26" s="426"/>
      <c r="X26" s="426"/>
      <c r="Y26" s="426"/>
      <c r="Z26" s="426"/>
      <c r="AA26" s="426"/>
      <c r="AB26" s="426"/>
      <c r="AC26" s="426"/>
      <c r="AD26" s="426"/>
      <c r="AE26" s="434"/>
      <c r="AF26" s="432"/>
      <c r="AG26" s="432"/>
      <c r="AH26" s="432"/>
      <c r="AI26" s="432"/>
      <c r="AJ26" s="432"/>
      <c r="AL26" s="432"/>
      <c r="AM26" s="432"/>
      <c r="AN26" s="432"/>
      <c r="AO26" s="432"/>
      <c r="AP26" s="432"/>
    </row>
    <row r="27" spans="1:42" ht="15.75" customHeight="1">
      <c r="A27" s="1276"/>
      <c r="B27" s="1282"/>
      <c r="C27" s="427" t="s">
        <v>536</v>
      </c>
      <c r="D27" s="435"/>
      <c r="E27" s="436"/>
      <c r="F27" s="436"/>
      <c r="G27" s="428">
        <f>R27</f>
        <v>0</v>
      </c>
      <c r="H27" s="437"/>
      <c r="I27" s="437" t="s">
        <v>34</v>
      </c>
      <c r="J27" s="438" t="s">
        <v>540</v>
      </c>
      <c r="K27" s="437"/>
      <c r="L27" s="438" t="s">
        <v>36</v>
      </c>
      <c r="M27" s="438" t="s">
        <v>540</v>
      </c>
      <c r="N27" s="439">
        <v>1</v>
      </c>
      <c r="O27" s="438" t="s">
        <v>37</v>
      </c>
      <c r="P27" s="438" t="s">
        <v>543</v>
      </c>
      <c r="Q27" s="440"/>
      <c r="R27" s="441">
        <f>H27*K27*N27</f>
        <v>0</v>
      </c>
      <c r="S27" s="442"/>
      <c r="T27" s="442"/>
      <c r="U27" s="442"/>
      <c r="V27" s="442"/>
      <c r="W27" s="442"/>
      <c r="X27" s="442"/>
      <c r="Y27" s="442"/>
      <c r="Z27" s="442"/>
      <c r="AA27" s="442"/>
      <c r="AB27" s="442"/>
      <c r="AC27" s="442"/>
      <c r="AD27" s="442"/>
      <c r="AE27" s="434" t="s">
        <v>487</v>
      </c>
    </row>
    <row r="28" spans="1:42" ht="15.75" customHeight="1">
      <c r="A28" s="1276"/>
      <c r="B28" s="1280" t="s">
        <v>544</v>
      </c>
      <c r="C28" s="427" t="s">
        <v>6</v>
      </c>
      <c r="D28" s="435"/>
      <c r="E28" s="436"/>
      <c r="F28" s="436"/>
      <c r="G28" s="428">
        <f>SUM(G29:G30)</f>
        <v>10786690</v>
      </c>
      <c r="H28" s="437"/>
      <c r="I28" s="437"/>
      <c r="J28" s="438"/>
      <c r="K28" s="437"/>
      <c r="L28" s="438"/>
      <c r="M28" s="438"/>
      <c r="N28" s="439"/>
      <c r="O28" s="438"/>
      <c r="P28" s="438"/>
      <c r="Q28" s="440"/>
      <c r="R28" s="441"/>
      <c r="S28" s="442"/>
      <c r="T28" s="442"/>
      <c r="U28" s="442"/>
      <c r="V28" s="442"/>
      <c r="W28" s="442"/>
      <c r="X28" s="442"/>
      <c r="Y28" s="442"/>
      <c r="Z28" s="442"/>
      <c r="AA28" s="442"/>
      <c r="AB28" s="442"/>
      <c r="AC28" s="442"/>
      <c r="AD28" s="442"/>
      <c r="AE28" s="434"/>
    </row>
    <row r="29" spans="1:42" ht="21.75" customHeight="1">
      <c r="A29" s="1276"/>
      <c r="B29" s="1281"/>
      <c r="C29" s="462" t="s">
        <v>544</v>
      </c>
      <c r="D29" s="435"/>
      <c r="E29" s="436"/>
      <c r="F29" s="436"/>
      <c r="G29" s="444">
        <f>R29</f>
        <v>10786690</v>
      </c>
      <c r="H29" s="445">
        <f>H20</f>
        <v>229504</v>
      </c>
      <c r="I29" s="445" t="s">
        <v>34</v>
      </c>
      <c r="J29" s="438" t="s">
        <v>540</v>
      </c>
      <c r="K29" s="445">
        <v>47</v>
      </c>
      <c r="L29" s="438" t="s">
        <v>36</v>
      </c>
      <c r="M29" s="438" t="s">
        <v>540</v>
      </c>
      <c r="N29" s="439">
        <v>1</v>
      </c>
      <c r="O29" s="438" t="s">
        <v>476</v>
      </c>
      <c r="P29" s="438" t="s">
        <v>543</v>
      </c>
      <c r="Q29" s="440"/>
      <c r="R29" s="441">
        <f>ROUND(H29*K29*N29,-1)</f>
        <v>10786690</v>
      </c>
      <c r="S29" s="442"/>
      <c r="T29" s="442"/>
      <c r="U29" s="442"/>
      <c r="V29" s="442"/>
      <c r="W29" s="442"/>
      <c r="X29" s="442"/>
      <c r="Y29" s="442"/>
      <c r="Z29" s="442"/>
      <c r="AA29" s="442"/>
      <c r="AB29" s="442"/>
      <c r="AC29" s="442"/>
      <c r="AD29" s="442"/>
      <c r="AE29" s="434"/>
    </row>
    <row r="30" spans="1:42" ht="15.75" customHeight="1">
      <c r="A30" s="1276"/>
      <c r="B30" s="1282"/>
      <c r="C30" s="427" t="s">
        <v>126</v>
      </c>
      <c r="D30" s="435"/>
      <c r="E30" s="436"/>
      <c r="F30" s="436"/>
      <c r="G30" s="428"/>
      <c r="H30" s="437"/>
      <c r="I30" s="437"/>
      <c r="J30" s="438"/>
      <c r="K30" s="437"/>
      <c r="L30" s="438"/>
      <c r="M30" s="438"/>
      <c r="N30" s="439"/>
      <c r="O30" s="438"/>
      <c r="P30" s="438"/>
      <c r="Q30" s="440"/>
      <c r="R30" s="441"/>
      <c r="S30" s="442"/>
      <c r="T30" s="442"/>
      <c r="U30" s="442"/>
      <c r="V30" s="442"/>
      <c r="W30" s="442"/>
      <c r="X30" s="442"/>
      <c r="Y30" s="442"/>
      <c r="Z30" s="442"/>
      <c r="AA30" s="442"/>
      <c r="AB30" s="442"/>
      <c r="AC30" s="442"/>
      <c r="AD30" s="442"/>
      <c r="AE30" s="434"/>
    </row>
    <row r="31" spans="1:42" ht="15.75" hidden="1" customHeight="1">
      <c r="A31" s="1276"/>
      <c r="B31" s="1280" t="s">
        <v>548</v>
      </c>
      <c r="C31" s="427" t="s">
        <v>6</v>
      </c>
      <c r="D31" s="435"/>
      <c r="E31" s="436"/>
      <c r="F31" s="436"/>
      <c r="G31" s="428">
        <f>SUM(G32:G33)</f>
        <v>0</v>
      </c>
      <c r="H31" s="437"/>
      <c r="I31" s="437"/>
      <c r="J31" s="438"/>
      <c r="K31" s="437"/>
      <c r="L31" s="438"/>
      <c r="M31" s="438"/>
      <c r="N31" s="439"/>
      <c r="O31" s="438"/>
      <c r="P31" s="438"/>
      <c r="Q31" s="440"/>
      <c r="R31" s="441"/>
      <c r="S31" s="442"/>
      <c r="T31" s="442"/>
      <c r="U31" s="442"/>
      <c r="V31" s="442"/>
      <c r="W31" s="442"/>
      <c r="X31" s="442"/>
      <c r="Y31" s="442"/>
      <c r="Z31" s="442"/>
      <c r="AA31" s="442"/>
      <c r="AB31" s="442"/>
      <c r="AC31" s="442"/>
      <c r="AD31" s="442"/>
      <c r="AE31" s="434"/>
    </row>
    <row r="32" spans="1:42" ht="15.75" hidden="1" customHeight="1">
      <c r="A32" s="1276"/>
      <c r="B32" s="1281"/>
      <c r="C32" s="427" t="s">
        <v>548</v>
      </c>
      <c r="D32" s="435"/>
      <c r="E32" s="436"/>
      <c r="F32" s="436"/>
      <c r="G32" s="428">
        <f>R32</f>
        <v>0</v>
      </c>
      <c r="H32" s="437">
        <f>H23</f>
        <v>0</v>
      </c>
      <c r="I32" s="437" t="s">
        <v>34</v>
      </c>
      <c r="J32" s="438" t="s">
        <v>540</v>
      </c>
      <c r="K32" s="437">
        <v>51</v>
      </c>
      <c r="L32" s="438" t="s">
        <v>36</v>
      </c>
      <c r="M32" s="438" t="s">
        <v>540</v>
      </c>
      <c r="N32" s="439">
        <v>1</v>
      </c>
      <c r="O32" s="438" t="s">
        <v>485</v>
      </c>
      <c r="P32" s="438" t="s">
        <v>543</v>
      </c>
      <c r="Q32" s="440"/>
      <c r="R32" s="441">
        <f>ROUND(H32*K32*N32,-1)</f>
        <v>0</v>
      </c>
      <c r="S32" s="442"/>
      <c r="T32" s="442"/>
      <c r="U32" s="442"/>
      <c r="V32" s="442"/>
      <c r="W32" s="442"/>
      <c r="X32" s="442"/>
      <c r="Y32" s="442"/>
      <c r="Z32" s="442"/>
      <c r="AA32" s="442"/>
      <c r="AB32" s="442"/>
      <c r="AC32" s="442"/>
      <c r="AD32" s="442"/>
      <c r="AE32" s="434"/>
    </row>
    <row r="33" spans="1:42" ht="15.75" hidden="1" customHeight="1">
      <c r="A33" s="1277"/>
      <c r="B33" s="1282"/>
      <c r="C33" s="427" t="s">
        <v>127</v>
      </c>
      <c r="D33" s="435"/>
      <c r="E33" s="436"/>
      <c r="F33" s="436"/>
      <c r="G33" s="428">
        <f>R33</f>
        <v>0</v>
      </c>
      <c r="H33" s="437"/>
      <c r="I33" s="437" t="s">
        <v>539</v>
      </c>
      <c r="J33" s="438" t="s">
        <v>35</v>
      </c>
      <c r="K33" s="437"/>
      <c r="L33" s="438" t="s">
        <v>541</v>
      </c>
      <c r="M33" s="438" t="s">
        <v>35</v>
      </c>
      <c r="N33" s="439"/>
      <c r="O33" s="438" t="s">
        <v>549</v>
      </c>
      <c r="P33" s="438" t="s">
        <v>30</v>
      </c>
      <c r="Q33" s="440"/>
      <c r="R33" s="441">
        <f>H33*K33*N33</f>
        <v>0</v>
      </c>
      <c r="S33" s="442"/>
      <c r="T33" s="442"/>
      <c r="U33" s="442"/>
      <c r="V33" s="442"/>
      <c r="W33" s="442"/>
      <c r="X33" s="442"/>
      <c r="Y33" s="442"/>
      <c r="Z33" s="442"/>
      <c r="AA33" s="442"/>
      <c r="AB33" s="442"/>
      <c r="AC33" s="442"/>
      <c r="AD33" s="442"/>
      <c r="AE33" s="434"/>
    </row>
    <row r="34" spans="1:42" s="433" customFormat="1" ht="15.75" customHeight="1">
      <c r="A34" s="1293" t="s">
        <v>550</v>
      </c>
      <c r="B34" s="1291" t="s">
        <v>6</v>
      </c>
      <c r="C34" s="1292"/>
      <c r="D34" s="457"/>
      <c r="E34" s="458"/>
      <c r="F34" s="458"/>
      <c r="G34" s="459">
        <f>G35+G37+G40</f>
        <v>10786690</v>
      </c>
      <c r="H34" s="460"/>
      <c r="I34" s="460"/>
      <c r="J34" s="460"/>
      <c r="K34" s="460"/>
      <c r="L34" s="460"/>
      <c r="M34" s="460"/>
      <c r="N34" s="460"/>
      <c r="O34" s="460"/>
      <c r="P34" s="460"/>
      <c r="Q34" s="460"/>
      <c r="R34" s="461"/>
      <c r="S34" s="457"/>
      <c r="T34" s="457"/>
      <c r="U34" s="457"/>
      <c r="V34" s="457"/>
      <c r="W34" s="457"/>
      <c r="X34" s="457"/>
      <c r="Y34" s="457"/>
      <c r="Z34" s="457"/>
      <c r="AA34" s="457"/>
      <c r="AB34" s="457"/>
      <c r="AC34" s="457"/>
      <c r="AD34" s="457"/>
      <c r="AE34" s="431" t="s">
        <v>926</v>
      </c>
      <c r="AF34" s="432"/>
      <c r="AG34" s="432"/>
      <c r="AH34" s="432"/>
      <c r="AI34" s="432"/>
      <c r="AJ34" s="432"/>
      <c r="AL34" s="432"/>
      <c r="AM34" s="432"/>
      <c r="AN34" s="432"/>
      <c r="AO34" s="432"/>
      <c r="AP34" s="432"/>
    </row>
    <row r="35" spans="1:42" s="433" customFormat="1" ht="15.75" customHeight="1">
      <c r="A35" s="1276"/>
      <c r="B35" s="1280" t="s">
        <v>535</v>
      </c>
      <c r="C35" s="427" t="s">
        <v>534</v>
      </c>
      <c r="D35" s="426"/>
      <c r="E35" s="427"/>
      <c r="F35" s="427"/>
      <c r="G35" s="428">
        <f>G36</f>
        <v>0</v>
      </c>
      <c r="H35" s="429"/>
      <c r="I35" s="429"/>
      <c r="J35" s="429"/>
      <c r="K35" s="429"/>
      <c r="L35" s="429"/>
      <c r="M35" s="429"/>
      <c r="N35" s="429"/>
      <c r="O35" s="429"/>
      <c r="P35" s="429"/>
      <c r="Q35" s="429"/>
      <c r="R35" s="430"/>
      <c r="S35" s="426"/>
      <c r="T35" s="426"/>
      <c r="U35" s="426"/>
      <c r="V35" s="426"/>
      <c r="W35" s="426"/>
      <c r="X35" s="426"/>
      <c r="Y35" s="426"/>
      <c r="Z35" s="426"/>
      <c r="AA35" s="426"/>
      <c r="AB35" s="426"/>
      <c r="AC35" s="426"/>
      <c r="AD35" s="426"/>
      <c r="AE35" s="434"/>
      <c r="AF35" s="432"/>
      <c r="AG35" s="432"/>
      <c r="AH35" s="432"/>
      <c r="AI35" s="432"/>
      <c r="AJ35" s="432"/>
      <c r="AL35" s="432"/>
      <c r="AM35" s="432"/>
      <c r="AN35" s="432"/>
      <c r="AO35" s="432"/>
      <c r="AP35" s="432"/>
    </row>
    <row r="36" spans="1:42" ht="15.75" customHeight="1">
      <c r="A36" s="1276"/>
      <c r="B36" s="1282"/>
      <c r="C36" s="427" t="s">
        <v>536</v>
      </c>
      <c r="D36" s="435"/>
      <c r="E36" s="436"/>
      <c r="F36" s="436"/>
      <c r="G36" s="428">
        <f>R36</f>
        <v>0</v>
      </c>
      <c r="H36" s="437"/>
      <c r="I36" s="437" t="s">
        <v>539</v>
      </c>
      <c r="J36" s="438" t="s">
        <v>540</v>
      </c>
      <c r="K36" s="437"/>
      <c r="L36" s="438" t="s">
        <v>541</v>
      </c>
      <c r="M36" s="438" t="s">
        <v>540</v>
      </c>
      <c r="N36" s="439"/>
      <c r="O36" s="438" t="s">
        <v>542</v>
      </c>
      <c r="P36" s="438" t="s">
        <v>543</v>
      </c>
      <c r="Q36" s="440"/>
      <c r="R36" s="441">
        <f>H36*K36*N36</f>
        <v>0</v>
      </c>
      <c r="S36" s="442"/>
      <c r="T36" s="442"/>
      <c r="U36" s="442"/>
      <c r="V36" s="442"/>
      <c r="W36" s="442"/>
      <c r="X36" s="442"/>
      <c r="Y36" s="442"/>
      <c r="Z36" s="442"/>
      <c r="AA36" s="442"/>
      <c r="AB36" s="442"/>
      <c r="AC36" s="442"/>
      <c r="AD36" s="442"/>
      <c r="AE36" s="434"/>
    </row>
    <row r="37" spans="1:42" ht="15.75" customHeight="1">
      <c r="A37" s="1276"/>
      <c r="B37" s="1280" t="s">
        <v>544</v>
      </c>
      <c r="C37" s="427" t="s">
        <v>534</v>
      </c>
      <c r="D37" s="435"/>
      <c r="E37" s="436"/>
      <c r="F37" s="436"/>
      <c r="G37" s="428">
        <f>SUM(G38:G39)</f>
        <v>10786690</v>
      </c>
      <c r="H37" s="437"/>
      <c r="I37" s="437"/>
      <c r="J37" s="438"/>
      <c r="K37" s="437"/>
      <c r="L37" s="438"/>
      <c r="M37" s="438"/>
      <c r="N37" s="439"/>
      <c r="O37" s="438"/>
      <c r="P37" s="438"/>
      <c r="Q37" s="440"/>
      <c r="R37" s="441"/>
      <c r="S37" s="442"/>
      <c r="T37" s="442"/>
      <c r="U37" s="442"/>
      <c r="V37" s="442"/>
      <c r="W37" s="442"/>
      <c r="X37" s="442"/>
      <c r="Y37" s="442"/>
      <c r="Z37" s="442"/>
      <c r="AA37" s="442"/>
      <c r="AB37" s="442"/>
      <c r="AC37" s="442"/>
      <c r="AD37" s="442"/>
      <c r="AE37" s="434"/>
    </row>
    <row r="38" spans="1:42" ht="21.75" customHeight="1">
      <c r="A38" s="1276"/>
      <c r="B38" s="1281"/>
      <c r="C38" s="462" t="s">
        <v>544</v>
      </c>
      <c r="D38" s="435"/>
      <c r="E38" s="436"/>
      <c r="F38" s="436"/>
      <c r="G38" s="444">
        <f>R38</f>
        <v>10786690</v>
      </c>
      <c r="H38" s="445">
        <f>H29</f>
        <v>229504</v>
      </c>
      <c r="I38" s="445" t="s">
        <v>539</v>
      </c>
      <c r="J38" s="438" t="s">
        <v>540</v>
      </c>
      <c r="K38" s="445">
        <v>47</v>
      </c>
      <c r="L38" s="438" t="s">
        <v>541</v>
      </c>
      <c r="M38" s="438" t="s">
        <v>540</v>
      </c>
      <c r="N38" s="439">
        <v>1</v>
      </c>
      <c r="O38" s="438" t="s">
        <v>528</v>
      </c>
      <c r="P38" s="438" t="s">
        <v>543</v>
      </c>
      <c r="Q38" s="440"/>
      <c r="R38" s="441">
        <f>ROUND(H38*K38*N38,-1)</f>
        <v>10786690</v>
      </c>
      <c r="S38" s="442"/>
      <c r="T38" s="442"/>
      <c r="U38" s="442"/>
      <c r="V38" s="442"/>
      <c r="W38" s="442"/>
      <c r="X38" s="442"/>
      <c r="Y38" s="442"/>
      <c r="Z38" s="442"/>
      <c r="AA38" s="442"/>
      <c r="AB38" s="442"/>
      <c r="AC38" s="442"/>
      <c r="AD38" s="442"/>
      <c r="AE38" s="434"/>
    </row>
    <row r="39" spans="1:42" ht="15.75" customHeight="1">
      <c r="A39" s="1276"/>
      <c r="B39" s="1282"/>
      <c r="C39" s="427" t="s">
        <v>545</v>
      </c>
      <c r="D39" s="435"/>
      <c r="E39" s="436"/>
      <c r="F39" s="436"/>
      <c r="G39" s="428"/>
      <c r="H39" s="437"/>
      <c r="I39" s="437"/>
      <c r="J39" s="438"/>
      <c r="K39" s="437"/>
      <c r="L39" s="438"/>
      <c r="M39" s="438"/>
      <c r="N39" s="439"/>
      <c r="O39" s="438"/>
      <c r="P39" s="438"/>
      <c r="Q39" s="440"/>
      <c r="R39" s="441"/>
      <c r="S39" s="442"/>
      <c r="T39" s="442"/>
      <c r="U39" s="442"/>
      <c r="V39" s="442"/>
      <c r="W39" s="442"/>
      <c r="X39" s="442"/>
      <c r="Y39" s="442"/>
      <c r="Z39" s="442"/>
      <c r="AA39" s="442"/>
      <c r="AB39" s="442"/>
      <c r="AC39" s="442"/>
      <c r="AD39" s="442"/>
      <c r="AE39" s="434"/>
    </row>
    <row r="40" spans="1:42" ht="15.75" hidden="1" customHeight="1">
      <c r="A40" s="1276"/>
      <c r="B40" s="1280" t="s">
        <v>548</v>
      </c>
      <c r="C40" s="427" t="s">
        <v>534</v>
      </c>
      <c r="D40" s="435"/>
      <c r="E40" s="436"/>
      <c r="F40" s="436"/>
      <c r="G40" s="428">
        <f>SUM(G41:G42)</f>
        <v>0</v>
      </c>
      <c r="H40" s="437"/>
      <c r="I40" s="437"/>
      <c r="J40" s="438"/>
      <c r="K40" s="437"/>
      <c r="L40" s="438"/>
      <c r="M40" s="438"/>
      <c r="N40" s="439"/>
      <c r="O40" s="438"/>
      <c r="P40" s="438"/>
      <c r="Q40" s="440"/>
      <c r="R40" s="441"/>
      <c r="S40" s="442"/>
      <c r="T40" s="442"/>
      <c r="U40" s="442"/>
      <c r="V40" s="442"/>
      <c r="W40" s="442"/>
      <c r="X40" s="442"/>
      <c r="Y40" s="442"/>
      <c r="Z40" s="442"/>
      <c r="AA40" s="442"/>
      <c r="AB40" s="442"/>
      <c r="AC40" s="442"/>
      <c r="AD40" s="442"/>
      <c r="AE40" s="434"/>
    </row>
    <row r="41" spans="1:42" ht="15.75" hidden="1" customHeight="1">
      <c r="A41" s="1276"/>
      <c r="B41" s="1281"/>
      <c r="C41" s="427" t="s">
        <v>548</v>
      </c>
      <c r="D41" s="435"/>
      <c r="E41" s="436"/>
      <c r="F41" s="436"/>
      <c r="G41" s="428">
        <f>R41</f>
        <v>0</v>
      </c>
      <c r="H41" s="437">
        <f>H32</f>
        <v>0</v>
      </c>
      <c r="I41" s="437" t="s">
        <v>539</v>
      </c>
      <c r="J41" s="438" t="s">
        <v>540</v>
      </c>
      <c r="K41" s="437">
        <v>51</v>
      </c>
      <c r="L41" s="438" t="s">
        <v>541</v>
      </c>
      <c r="M41" s="438" t="s">
        <v>540</v>
      </c>
      <c r="N41" s="439">
        <v>1</v>
      </c>
      <c r="O41" s="438" t="s">
        <v>546</v>
      </c>
      <c r="P41" s="438" t="s">
        <v>543</v>
      </c>
      <c r="Q41" s="440"/>
      <c r="R41" s="441">
        <f>ROUND(H41*K41*N41,-1)</f>
        <v>0</v>
      </c>
      <c r="S41" s="442"/>
      <c r="T41" s="442"/>
      <c r="U41" s="442"/>
      <c r="V41" s="442"/>
      <c r="W41" s="442"/>
      <c r="X41" s="442"/>
      <c r="Y41" s="442"/>
      <c r="Z41" s="442"/>
      <c r="AA41" s="442"/>
      <c r="AB41" s="442"/>
      <c r="AC41" s="442"/>
      <c r="AD41" s="442"/>
      <c r="AE41" s="434"/>
    </row>
    <row r="42" spans="1:42" ht="15.75" hidden="1" customHeight="1">
      <c r="A42" s="1277"/>
      <c r="B42" s="1282"/>
      <c r="C42" s="427" t="s">
        <v>547</v>
      </c>
      <c r="D42" s="435"/>
      <c r="E42" s="436"/>
      <c r="F42" s="436"/>
      <c r="G42" s="428">
        <f>R42</f>
        <v>0</v>
      </c>
      <c r="H42" s="437"/>
      <c r="I42" s="437" t="s">
        <v>539</v>
      </c>
      <c r="J42" s="438" t="s">
        <v>540</v>
      </c>
      <c r="K42" s="437"/>
      <c r="L42" s="438" t="s">
        <v>541</v>
      </c>
      <c r="M42" s="438" t="s">
        <v>540</v>
      </c>
      <c r="N42" s="439"/>
      <c r="O42" s="438" t="s">
        <v>549</v>
      </c>
      <c r="P42" s="438" t="s">
        <v>543</v>
      </c>
      <c r="Q42" s="440"/>
      <c r="R42" s="441">
        <f>H42*K42*N42</f>
        <v>0</v>
      </c>
      <c r="S42" s="442"/>
      <c r="T42" s="442"/>
      <c r="U42" s="442"/>
      <c r="V42" s="442"/>
      <c r="W42" s="442"/>
      <c r="X42" s="442"/>
      <c r="Y42" s="442"/>
      <c r="Z42" s="442"/>
      <c r="AA42" s="442"/>
      <c r="AB42" s="442"/>
      <c r="AC42" s="442"/>
      <c r="AD42" s="442"/>
      <c r="AE42" s="434"/>
    </row>
    <row r="43" spans="1:42" s="433" customFormat="1" ht="15.75" customHeight="1">
      <c r="A43" s="1293" t="s">
        <v>551</v>
      </c>
      <c r="B43" s="1291" t="s">
        <v>534</v>
      </c>
      <c r="C43" s="1292"/>
      <c r="D43" s="457"/>
      <c r="E43" s="458"/>
      <c r="F43" s="458"/>
      <c r="G43" s="459">
        <f>G44+G46+G49</f>
        <v>10786690</v>
      </c>
      <c r="H43" s="460"/>
      <c r="I43" s="460"/>
      <c r="J43" s="460"/>
      <c r="K43" s="460"/>
      <c r="L43" s="460"/>
      <c r="M43" s="460"/>
      <c r="N43" s="460"/>
      <c r="O43" s="460"/>
      <c r="P43" s="460"/>
      <c r="Q43" s="460"/>
      <c r="R43" s="461"/>
      <c r="S43" s="457"/>
      <c r="T43" s="457"/>
      <c r="U43" s="457"/>
      <c r="V43" s="457"/>
      <c r="W43" s="457"/>
      <c r="X43" s="457"/>
      <c r="Y43" s="457"/>
      <c r="Z43" s="457"/>
      <c r="AA43" s="457"/>
      <c r="AB43" s="457"/>
      <c r="AC43" s="457"/>
      <c r="AD43" s="457"/>
      <c r="AE43" s="431" t="s">
        <v>926</v>
      </c>
      <c r="AF43" s="432"/>
      <c r="AG43" s="432"/>
      <c r="AH43" s="432"/>
      <c r="AI43" s="432"/>
      <c r="AJ43" s="432"/>
      <c r="AL43" s="432"/>
      <c r="AM43" s="432"/>
      <c r="AN43" s="432"/>
      <c r="AO43" s="432"/>
      <c r="AP43" s="432"/>
    </row>
    <row r="44" spans="1:42" s="433" customFormat="1" ht="15.75" customHeight="1">
      <c r="A44" s="1300"/>
      <c r="B44" s="1280" t="s">
        <v>535</v>
      </c>
      <c r="C44" s="427" t="s">
        <v>534</v>
      </c>
      <c r="D44" s="426"/>
      <c r="E44" s="427"/>
      <c r="F44" s="427"/>
      <c r="G44" s="428">
        <f>G45</f>
        <v>0</v>
      </c>
      <c r="H44" s="429"/>
      <c r="I44" s="429"/>
      <c r="J44" s="429"/>
      <c r="K44" s="429"/>
      <c r="L44" s="429"/>
      <c r="M44" s="429"/>
      <c r="N44" s="429"/>
      <c r="O44" s="429"/>
      <c r="P44" s="429"/>
      <c r="Q44" s="429"/>
      <c r="R44" s="430"/>
      <c r="S44" s="426"/>
      <c r="T44" s="426"/>
      <c r="U44" s="426"/>
      <c r="V44" s="426"/>
      <c r="W44" s="426"/>
      <c r="X44" s="426"/>
      <c r="Y44" s="426"/>
      <c r="Z44" s="426"/>
      <c r="AA44" s="426"/>
      <c r="AB44" s="426"/>
      <c r="AC44" s="426"/>
      <c r="AD44" s="426"/>
      <c r="AE44" s="434"/>
      <c r="AF44" s="432"/>
      <c r="AG44" s="432"/>
      <c r="AH44" s="432"/>
      <c r="AI44" s="432"/>
      <c r="AJ44" s="432"/>
      <c r="AL44" s="432"/>
      <c r="AM44" s="432"/>
      <c r="AN44" s="432"/>
      <c r="AO44" s="432"/>
      <c r="AP44" s="432"/>
    </row>
    <row r="45" spans="1:42" ht="15.75" customHeight="1">
      <c r="A45" s="1300"/>
      <c r="B45" s="1282"/>
      <c r="C45" s="427" t="s">
        <v>536</v>
      </c>
      <c r="D45" s="435"/>
      <c r="E45" s="436"/>
      <c r="F45" s="436"/>
      <c r="G45" s="428">
        <f>R45</f>
        <v>0</v>
      </c>
      <c r="H45" s="437"/>
      <c r="I45" s="437" t="s">
        <v>539</v>
      </c>
      <c r="J45" s="438" t="s">
        <v>540</v>
      </c>
      <c r="K45" s="437"/>
      <c r="L45" s="438" t="s">
        <v>541</v>
      </c>
      <c r="M45" s="438" t="s">
        <v>540</v>
      </c>
      <c r="N45" s="439"/>
      <c r="O45" s="438" t="s">
        <v>542</v>
      </c>
      <c r="P45" s="438" t="s">
        <v>543</v>
      </c>
      <c r="Q45" s="440"/>
      <c r="R45" s="441">
        <f>H45*K45*N45</f>
        <v>0</v>
      </c>
      <c r="S45" s="442"/>
      <c r="T45" s="442"/>
      <c r="U45" s="442"/>
      <c r="V45" s="442"/>
      <c r="W45" s="442"/>
      <c r="X45" s="442"/>
      <c r="Y45" s="442"/>
      <c r="Z45" s="442"/>
      <c r="AA45" s="442"/>
      <c r="AB45" s="442"/>
      <c r="AC45" s="442"/>
      <c r="AD45" s="442"/>
      <c r="AE45" s="434"/>
    </row>
    <row r="46" spans="1:42" ht="15.75" customHeight="1">
      <c r="A46" s="1300"/>
      <c r="B46" s="1299" t="s">
        <v>544</v>
      </c>
      <c r="C46" s="427" t="s">
        <v>534</v>
      </c>
      <c r="D46" s="435"/>
      <c r="E46" s="436"/>
      <c r="F46" s="436"/>
      <c r="G46" s="428">
        <f>SUM(G47:G48)</f>
        <v>10786690</v>
      </c>
      <c r="H46" s="437"/>
      <c r="I46" s="437"/>
      <c r="J46" s="438"/>
      <c r="K46" s="437"/>
      <c r="L46" s="438"/>
      <c r="M46" s="438"/>
      <c r="N46" s="439"/>
      <c r="O46" s="438"/>
      <c r="P46" s="438"/>
      <c r="Q46" s="440"/>
      <c r="R46" s="441"/>
      <c r="S46" s="442"/>
      <c r="T46" s="442"/>
      <c r="U46" s="442"/>
      <c r="V46" s="442"/>
      <c r="W46" s="442"/>
      <c r="X46" s="442"/>
      <c r="Y46" s="442"/>
      <c r="Z46" s="442"/>
      <c r="AA46" s="442"/>
      <c r="AB46" s="442"/>
      <c r="AC46" s="442"/>
      <c r="AD46" s="442"/>
      <c r="AE46" s="434"/>
    </row>
    <row r="47" spans="1:42" ht="21.75" customHeight="1">
      <c r="A47" s="1300"/>
      <c r="B47" s="1299"/>
      <c r="C47" s="462" t="s">
        <v>588</v>
      </c>
      <c r="D47" s="435"/>
      <c r="E47" s="436"/>
      <c r="F47" s="436"/>
      <c r="G47" s="444">
        <f>R47</f>
        <v>10786690</v>
      </c>
      <c r="H47" s="445">
        <f>H38</f>
        <v>229504</v>
      </c>
      <c r="I47" s="445" t="s">
        <v>539</v>
      </c>
      <c r="J47" s="438" t="s">
        <v>540</v>
      </c>
      <c r="K47" s="445">
        <v>47</v>
      </c>
      <c r="L47" s="438" t="s">
        <v>541</v>
      </c>
      <c r="M47" s="438" t="s">
        <v>540</v>
      </c>
      <c r="N47" s="439">
        <v>1</v>
      </c>
      <c r="O47" s="438" t="s">
        <v>528</v>
      </c>
      <c r="P47" s="438" t="s">
        <v>543</v>
      </c>
      <c r="Q47" s="440"/>
      <c r="R47" s="441">
        <f>ROUND(H47*K47*N47,-1)</f>
        <v>10786690</v>
      </c>
      <c r="S47" s="442"/>
      <c r="T47" s="442"/>
      <c r="U47" s="442"/>
      <c r="V47" s="442"/>
      <c r="W47" s="442"/>
      <c r="X47" s="442"/>
      <c r="Y47" s="442"/>
      <c r="Z47" s="442"/>
      <c r="AA47" s="442"/>
      <c r="AB47" s="442"/>
      <c r="AC47" s="442"/>
      <c r="AD47" s="442"/>
      <c r="AE47" s="434"/>
    </row>
    <row r="48" spans="1:42" ht="15.75" customHeight="1">
      <c r="A48" s="1300"/>
      <c r="B48" s="1299"/>
      <c r="C48" s="427" t="s">
        <v>545</v>
      </c>
      <c r="D48" s="435"/>
      <c r="E48" s="436"/>
      <c r="F48" s="436"/>
      <c r="G48" s="428"/>
      <c r="H48" s="437"/>
      <c r="I48" s="437"/>
      <c r="J48" s="438"/>
      <c r="K48" s="437"/>
      <c r="L48" s="438"/>
      <c r="M48" s="438"/>
      <c r="N48" s="439"/>
      <c r="O48" s="438"/>
      <c r="P48" s="438"/>
      <c r="Q48" s="440"/>
      <c r="R48" s="441"/>
      <c r="S48" s="442"/>
      <c r="T48" s="442"/>
      <c r="U48" s="442"/>
      <c r="V48" s="442"/>
      <c r="W48" s="442"/>
      <c r="X48" s="442"/>
      <c r="Y48" s="442"/>
      <c r="Z48" s="442"/>
      <c r="AA48" s="442"/>
      <c r="AB48" s="442"/>
      <c r="AC48" s="442"/>
      <c r="AD48" s="442"/>
      <c r="AE48" s="434"/>
    </row>
    <row r="49" spans="1:42" ht="15.75" hidden="1" customHeight="1">
      <c r="A49" s="1300"/>
      <c r="B49" s="1299" t="s">
        <v>548</v>
      </c>
      <c r="C49" s="427" t="s">
        <v>534</v>
      </c>
      <c r="D49" s="435"/>
      <c r="E49" s="436"/>
      <c r="F49" s="436"/>
      <c r="G49" s="428">
        <f>SUM(G50:G51)</f>
        <v>0</v>
      </c>
      <c r="H49" s="437"/>
      <c r="I49" s="437"/>
      <c r="J49" s="438"/>
      <c r="K49" s="437"/>
      <c r="L49" s="438"/>
      <c r="M49" s="438"/>
      <c r="N49" s="439"/>
      <c r="O49" s="438"/>
      <c r="P49" s="438"/>
      <c r="Q49" s="440"/>
      <c r="R49" s="441"/>
      <c r="S49" s="442"/>
      <c r="T49" s="442"/>
      <c r="U49" s="442"/>
      <c r="V49" s="442"/>
      <c r="W49" s="442"/>
      <c r="X49" s="442"/>
      <c r="Y49" s="442"/>
      <c r="Z49" s="442"/>
      <c r="AA49" s="442"/>
      <c r="AB49" s="442"/>
      <c r="AC49" s="442"/>
      <c r="AD49" s="442"/>
      <c r="AE49" s="434"/>
    </row>
    <row r="50" spans="1:42" ht="15.75" hidden="1" customHeight="1">
      <c r="A50" s="1300"/>
      <c r="B50" s="1299"/>
      <c r="C50" s="427" t="s">
        <v>548</v>
      </c>
      <c r="D50" s="435"/>
      <c r="E50" s="436"/>
      <c r="F50" s="436"/>
      <c r="G50" s="428">
        <f>R50</f>
        <v>0</v>
      </c>
      <c r="H50" s="437">
        <f>H41</f>
        <v>0</v>
      </c>
      <c r="I50" s="437" t="s">
        <v>539</v>
      </c>
      <c r="J50" s="438" t="s">
        <v>540</v>
      </c>
      <c r="K50" s="437">
        <v>51</v>
      </c>
      <c r="L50" s="438" t="s">
        <v>541</v>
      </c>
      <c r="M50" s="438" t="s">
        <v>540</v>
      </c>
      <c r="N50" s="439">
        <v>1</v>
      </c>
      <c r="O50" s="438" t="s">
        <v>546</v>
      </c>
      <c r="P50" s="438" t="s">
        <v>543</v>
      </c>
      <c r="Q50" s="440"/>
      <c r="R50" s="441">
        <f>ROUND(H50*K50*N50,-1)</f>
        <v>0</v>
      </c>
      <c r="S50" s="442"/>
      <c r="T50" s="442"/>
      <c r="U50" s="442"/>
      <c r="V50" s="442"/>
      <c r="W50" s="442"/>
      <c r="X50" s="442"/>
      <c r="Y50" s="442"/>
      <c r="Z50" s="442"/>
      <c r="AA50" s="442"/>
      <c r="AB50" s="442"/>
      <c r="AC50" s="442"/>
      <c r="AD50" s="442"/>
      <c r="AE50" s="434"/>
    </row>
    <row r="51" spans="1:42" ht="15.75" hidden="1" customHeight="1">
      <c r="A51" s="1301"/>
      <c r="B51" s="1299"/>
      <c r="C51" s="427" t="s">
        <v>547</v>
      </c>
      <c r="D51" s="435"/>
      <c r="E51" s="436"/>
      <c r="F51" s="436"/>
      <c r="G51" s="428">
        <f>R51</f>
        <v>0</v>
      </c>
      <c r="H51" s="437"/>
      <c r="I51" s="437" t="s">
        <v>539</v>
      </c>
      <c r="J51" s="438" t="s">
        <v>540</v>
      </c>
      <c r="K51" s="437"/>
      <c r="L51" s="438" t="s">
        <v>541</v>
      </c>
      <c r="M51" s="438" t="s">
        <v>540</v>
      </c>
      <c r="N51" s="439"/>
      <c r="O51" s="438" t="s">
        <v>549</v>
      </c>
      <c r="P51" s="438" t="s">
        <v>543</v>
      </c>
      <c r="Q51" s="440"/>
      <c r="R51" s="441">
        <f>H51*K51*N51</f>
        <v>0</v>
      </c>
      <c r="S51" s="442"/>
      <c r="T51" s="442"/>
      <c r="U51" s="442"/>
      <c r="V51" s="442"/>
      <c r="W51" s="442"/>
      <c r="X51" s="442"/>
      <c r="Y51" s="442"/>
      <c r="Z51" s="442"/>
      <c r="AA51" s="442"/>
      <c r="AB51" s="442"/>
      <c r="AC51" s="442"/>
      <c r="AD51" s="442"/>
      <c r="AE51" s="434"/>
    </row>
    <row r="52" spans="1:42" s="433" customFormat="1" ht="15.75" customHeight="1">
      <c r="A52" s="1293" t="s">
        <v>552</v>
      </c>
      <c r="B52" s="1291" t="s">
        <v>534</v>
      </c>
      <c r="C52" s="1292"/>
      <c r="D52" s="426"/>
      <c r="E52" s="427"/>
      <c r="F52" s="427"/>
      <c r="G52" s="428">
        <f>G53+G55+G58</f>
        <v>10786690</v>
      </c>
      <c r="H52" s="429"/>
      <c r="I52" s="429"/>
      <c r="J52" s="429"/>
      <c r="K52" s="429"/>
      <c r="L52" s="429"/>
      <c r="M52" s="429"/>
      <c r="N52" s="429"/>
      <c r="O52" s="429"/>
      <c r="P52" s="429"/>
      <c r="Q52" s="429"/>
      <c r="R52" s="430"/>
      <c r="S52" s="426"/>
      <c r="T52" s="426"/>
      <c r="U52" s="426"/>
      <c r="V52" s="426"/>
      <c r="W52" s="426"/>
      <c r="X52" s="426"/>
      <c r="Y52" s="426"/>
      <c r="Z52" s="426"/>
      <c r="AA52" s="426"/>
      <c r="AB52" s="426"/>
      <c r="AC52" s="426"/>
      <c r="AD52" s="426"/>
      <c r="AE52" s="431" t="s">
        <v>926</v>
      </c>
      <c r="AF52" s="432"/>
      <c r="AG52" s="432"/>
      <c r="AH52" s="432"/>
      <c r="AI52" s="432"/>
      <c r="AJ52" s="432"/>
      <c r="AL52" s="432"/>
      <c r="AM52" s="432"/>
      <c r="AN52" s="432"/>
      <c r="AO52" s="432"/>
      <c r="AP52" s="432"/>
    </row>
    <row r="53" spans="1:42" s="433" customFormat="1" ht="15.75" customHeight="1">
      <c r="A53" s="1276"/>
      <c r="B53" s="1280" t="s">
        <v>535</v>
      </c>
      <c r="C53" s="427" t="s">
        <v>534</v>
      </c>
      <c r="D53" s="426"/>
      <c r="E53" s="427"/>
      <c r="F53" s="427"/>
      <c r="G53" s="428">
        <f>G54</f>
        <v>0</v>
      </c>
      <c r="H53" s="429"/>
      <c r="I53" s="429"/>
      <c r="J53" s="429"/>
      <c r="K53" s="429"/>
      <c r="L53" s="429"/>
      <c r="M53" s="429"/>
      <c r="N53" s="429"/>
      <c r="O53" s="429"/>
      <c r="P53" s="429"/>
      <c r="Q53" s="429"/>
      <c r="R53" s="430"/>
      <c r="S53" s="426"/>
      <c r="T53" s="426"/>
      <c r="U53" s="426"/>
      <c r="V53" s="426"/>
      <c r="W53" s="426"/>
      <c r="X53" s="426"/>
      <c r="Y53" s="426"/>
      <c r="Z53" s="426"/>
      <c r="AA53" s="426"/>
      <c r="AB53" s="426"/>
      <c r="AC53" s="426"/>
      <c r="AD53" s="426"/>
      <c r="AE53" s="434"/>
      <c r="AF53" s="432"/>
      <c r="AG53" s="432"/>
      <c r="AH53" s="432"/>
      <c r="AI53" s="432"/>
      <c r="AJ53" s="432"/>
      <c r="AL53" s="432"/>
      <c r="AM53" s="432"/>
      <c r="AN53" s="432"/>
      <c r="AO53" s="432"/>
      <c r="AP53" s="432"/>
    </row>
    <row r="54" spans="1:42" ht="15.75" customHeight="1">
      <c r="A54" s="1276"/>
      <c r="B54" s="1282"/>
      <c r="C54" s="427" t="s">
        <v>536</v>
      </c>
      <c r="D54" s="435"/>
      <c r="E54" s="436"/>
      <c r="F54" s="436"/>
      <c r="G54" s="428">
        <f>R54</f>
        <v>0</v>
      </c>
      <c r="H54" s="437"/>
      <c r="I54" s="437" t="s">
        <v>539</v>
      </c>
      <c r="J54" s="438" t="s">
        <v>540</v>
      </c>
      <c r="K54" s="437"/>
      <c r="L54" s="438" t="s">
        <v>541</v>
      </c>
      <c r="M54" s="438" t="s">
        <v>540</v>
      </c>
      <c r="N54" s="439"/>
      <c r="O54" s="438" t="s">
        <v>542</v>
      </c>
      <c r="P54" s="438" t="s">
        <v>543</v>
      </c>
      <c r="Q54" s="440"/>
      <c r="R54" s="441">
        <f>H54*K54*N54</f>
        <v>0</v>
      </c>
      <c r="S54" s="442"/>
      <c r="T54" s="442"/>
      <c r="U54" s="442"/>
      <c r="V54" s="442"/>
      <c r="W54" s="442"/>
      <c r="X54" s="442"/>
      <c r="Y54" s="442"/>
      <c r="Z54" s="442"/>
      <c r="AA54" s="442"/>
      <c r="AB54" s="442"/>
      <c r="AC54" s="442"/>
      <c r="AD54" s="442"/>
      <c r="AE54" s="434"/>
    </row>
    <row r="55" spans="1:42" ht="15.75" customHeight="1">
      <c r="A55" s="1276"/>
      <c r="B55" s="1280" t="s">
        <v>544</v>
      </c>
      <c r="C55" s="427" t="s">
        <v>534</v>
      </c>
      <c r="D55" s="435"/>
      <c r="E55" s="436"/>
      <c r="F55" s="436"/>
      <c r="G55" s="428">
        <f>SUM(G56:G57)</f>
        <v>10786690</v>
      </c>
      <c r="H55" s="437"/>
      <c r="I55" s="437"/>
      <c r="J55" s="438"/>
      <c r="K55" s="437"/>
      <c r="L55" s="438"/>
      <c r="M55" s="438"/>
      <c r="N55" s="439"/>
      <c r="O55" s="438"/>
      <c r="P55" s="438"/>
      <c r="Q55" s="440"/>
      <c r="R55" s="441"/>
      <c r="S55" s="442"/>
      <c r="T55" s="442"/>
      <c r="U55" s="442"/>
      <c r="V55" s="442"/>
      <c r="W55" s="442"/>
      <c r="X55" s="442"/>
      <c r="Y55" s="442"/>
      <c r="Z55" s="442"/>
      <c r="AA55" s="442"/>
      <c r="AB55" s="442"/>
      <c r="AC55" s="442"/>
      <c r="AD55" s="442"/>
      <c r="AE55" s="434"/>
    </row>
    <row r="56" spans="1:42" ht="21.75" customHeight="1">
      <c r="A56" s="1276"/>
      <c r="B56" s="1281"/>
      <c r="C56" s="462" t="s">
        <v>544</v>
      </c>
      <c r="D56" s="435"/>
      <c r="E56" s="436"/>
      <c r="F56" s="436"/>
      <c r="G56" s="444">
        <f>R56</f>
        <v>10786690</v>
      </c>
      <c r="H56" s="445">
        <f>H47</f>
        <v>229504</v>
      </c>
      <c r="I56" s="445" t="s">
        <v>539</v>
      </c>
      <c r="J56" s="438" t="s">
        <v>540</v>
      </c>
      <c r="K56" s="445">
        <v>47</v>
      </c>
      <c r="L56" s="438" t="s">
        <v>541</v>
      </c>
      <c r="M56" s="438" t="s">
        <v>540</v>
      </c>
      <c r="N56" s="439">
        <v>1</v>
      </c>
      <c r="O56" s="438" t="s">
        <v>528</v>
      </c>
      <c r="P56" s="438" t="s">
        <v>543</v>
      </c>
      <c r="Q56" s="440"/>
      <c r="R56" s="441">
        <f>ROUND(H56*K56*N56,-1)</f>
        <v>10786690</v>
      </c>
      <c r="S56" s="442"/>
      <c r="T56" s="442"/>
      <c r="U56" s="442"/>
      <c r="V56" s="442"/>
      <c r="W56" s="442"/>
      <c r="X56" s="442"/>
      <c r="Y56" s="442"/>
      <c r="Z56" s="442"/>
      <c r="AA56" s="442"/>
      <c r="AB56" s="442"/>
      <c r="AC56" s="442"/>
      <c r="AD56" s="442"/>
      <c r="AE56" s="434"/>
    </row>
    <row r="57" spans="1:42" ht="15.75" customHeight="1" thickBot="1">
      <c r="A57" s="1276"/>
      <c r="B57" s="1282"/>
      <c r="C57" s="427" t="s">
        <v>545</v>
      </c>
      <c r="D57" s="435"/>
      <c r="E57" s="436"/>
      <c r="F57" s="436"/>
      <c r="G57" s="428"/>
      <c r="H57" s="437"/>
      <c r="I57" s="437"/>
      <c r="J57" s="438"/>
      <c r="K57" s="437"/>
      <c r="L57" s="438"/>
      <c r="M57" s="438"/>
      <c r="N57" s="439"/>
      <c r="O57" s="438"/>
      <c r="P57" s="438"/>
      <c r="Q57" s="440"/>
      <c r="R57" s="441"/>
      <c r="S57" s="442"/>
      <c r="T57" s="442"/>
      <c r="U57" s="442"/>
      <c r="V57" s="442"/>
      <c r="W57" s="442"/>
      <c r="X57" s="442"/>
      <c r="Y57" s="442"/>
      <c r="Z57" s="442"/>
      <c r="AA57" s="442"/>
      <c r="AB57" s="442"/>
      <c r="AC57" s="442"/>
      <c r="AD57" s="442"/>
      <c r="AE57" s="434"/>
    </row>
    <row r="58" spans="1:42" ht="15.75" hidden="1" customHeight="1">
      <c r="A58" s="1276"/>
      <c r="B58" s="1280" t="s">
        <v>548</v>
      </c>
      <c r="C58" s="427" t="s">
        <v>534</v>
      </c>
      <c r="D58" s="435"/>
      <c r="E58" s="436"/>
      <c r="F58" s="436"/>
      <c r="G58" s="428">
        <f>SUM(G59:G60)</f>
        <v>0</v>
      </c>
      <c r="H58" s="437"/>
      <c r="I58" s="437"/>
      <c r="J58" s="438"/>
      <c r="K58" s="437"/>
      <c r="L58" s="438"/>
      <c r="M58" s="438"/>
      <c r="N58" s="439"/>
      <c r="O58" s="438"/>
      <c r="P58" s="438"/>
      <c r="Q58" s="440"/>
      <c r="R58" s="441"/>
      <c r="S58" s="442"/>
      <c r="T58" s="442"/>
      <c r="U58" s="442"/>
      <c r="V58" s="442"/>
      <c r="W58" s="442"/>
      <c r="X58" s="442"/>
      <c r="Y58" s="442"/>
      <c r="Z58" s="442"/>
      <c r="AA58" s="442"/>
      <c r="AB58" s="442"/>
      <c r="AC58" s="442"/>
      <c r="AD58" s="442"/>
      <c r="AE58" s="434"/>
    </row>
    <row r="59" spans="1:42" ht="15.75" hidden="1" customHeight="1">
      <c r="A59" s="1276"/>
      <c r="B59" s="1281"/>
      <c r="C59" s="427" t="s">
        <v>548</v>
      </c>
      <c r="D59" s="435"/>
      <c r="E59" s="436"/>
      <c r="F59" s="436"/>
      <c r="G59" s="428">
        <f>R59</f>
        <v>0</v>
      </c>
      <c r="H59" s="437">
        <f>H50</f>
        <v>0</v>
      </c>
      <c r="I59" s="437" t="s">
        <v>539</v>
      </c>
      <c r="J59" s="438" t="s">
        <v>540</v>
      </c>
      <c r="K59" s="437">
        <v>51</v>
      </c>
      <c r="L59" s="438" t="s">
        <v>541</v>
      </c>
      <c r="M59" s="438" t="s">
        <v>540</v>
      </c>
      <c r="N59" s="439">
        <v>1</v>
      </c>
      <c r="O59" s="438" t="s">
        <v>546</v>
      </c>
      <c r="P59" s="438" t="s">
        <v>543</v>
      </c>
      <c r="Q59" s="440"/>
      <c r="R59" s="441">
        <f>ROUND(H59*K59*N59,-1)</f>
        <v>0</v>
      </c>
      <c r="S59" s="442"/>
      <c r="T59" s="442"/>
      <c r="U59" s="442"/>
      <c r="V59" s="442"/>
      <c r="W59" s="442"/>
      <c r="X59" s="442"/>
      <c r="Y59" s="442"/>
      <c r="Z59" s="442"/>
      <c r="AA59" s="442"/>
      <c r="AB59" s="442"/>
      <c r="AC59" s="442"/>
      <c r="AD59" s="442"/>
      <c r="AE59" s="434"/>
    </row>
    <row r="60" spans="1:42" ht="15.75" hidden="1" customHeight="1" thickBot="1">
      <c r="A60" s="1277"/>
      <c r="B60" s="1282"/>
      <c r="C60" s="427" t="s">
        <v>547</v>
      </c>
      <c r="D60" s="435"/>
      <c r="E60" s="436"/>
      <c r="F60" s="436"/>
      <c r="G60" s="428">
        <f>R60</f>
        <v>0</v>
      </c>
      <c r="H60" s="437"/>
      <c r="I60" s="437" t="s">
        <v>539</v>
      </c>
      <c r="J60" s="438" t="s">
        <v>540</v>
      </c>
      <c r="K60" s="437"/>
      <c r="L60" s="438" t="s">
        <v>541</v>
      </c>
      <c r="M60" s="438" t="s">
        <v>540</v>
      </c>
      <c r="N60" s="439"/>
      <c r="O60" s="438" t="s">
        <v>549</v>
      </c>
      <c r="P60" s="438" t="s">
        <v>543</v>
      </c>
      <c r="Q60" s="440"/>
      <c r="R60" s="441">
        <f>H60*K60*N60</f>
        <v>0</v>
      </c>
      <c r="S60" s="463"/>
      <c r="T60" s="463"/>
      <c r="U60" s="463"/>
      <c r="V60" s="463"/>
      <c r="W60" s="463"/>
      <c r="X60" s="463"/>
      <c r="Y60" s="463"/>
      <c r="Z60" s="463"/>
      <c r="AA60" s="463"/>
      <c r="AB60" s="463"/>
      <c r="AC60" s="463"/>
      <c r="AD60" s="463"/>
      <c r="AE60" s="464"/>
    </row>
    <row r="61" spans="1:42" s="433" customFormat="1" ht="15.75" customHeight="1">
      <c r="A61" s="1277" t="s">
        <v>553</v>
      </c>
      <c r="B61" s="1282" t="s">
        <v>534</v>
      </c>
      <c r="C61" s="1282"/>
      <c r="D61" s="457"/>
      <c r="E61" s="458"/>
      <c r="F61" s="458"/>
      <c r="G61" s="459">
        <f>G62+G64+G67</f>
        <v>10786690</v>
      </c>
      <c r="H61" s="460"/>
      <c r="I61" s="460"/>
      <c r="J61" s="460"/>
      <c r="K61" s="460"/>
      <c r="L61" s="460"/>
      <c r="M61" s="460"/>
      <c r="N61" s="460"/>
      <c r="O61" s="460"/>
      <c r="P61" s="460"/>
      <c r="Q61" s="460"/>
      <c r="R61" s="461"/>
      <c r="S61" s="465"/>
      <c r="T61" s="465"/>
      <c r="U61" s="465"/>
      <c r="V61" s="465"/>
      <c r="W61" s="465"/>
      <c r="X61" s="465"/>
      <c r="Y61" s="465"/>
      <c r="Z61" s="465"/>
      <c r="AA61" s="465"/>
      <c r="AB61" s="465"/>
      <c r="AC61" s="465"/>
      <c r="AD61" s="465"/>
      <c r="AE61" s="431" t="s">
        <v>926</v>
      </c>
      <c r="AF61" s="432"/>
      <c r="AG61" s="432"/>
      <c r="AH61" s="432"/>
      <c r="AI61" s="432"/>
      <c r="AJ61" s="432"/>
      <c r="AL61" s="432"/>
      <c r="AM61" s="432"/>
      <c r="AN61" s="432"/>
      <c r="AO61" s="432"/>
      <c r="AP61" s="432"/>
    </row>
    <row r="62" spans="1:42" s="433" customFormat="1" ht="15.75" customHeight="1">
      <c r="A62" s="1302"/>
      <c r="B62" s="1299" t="s">
        <v>535</v>
      </c>
      <c r="C62" s="427" t="s">
        <v>534</v>
      </c>
      <c r="D62" s="426"/>
      <c r="E62" s="427"/>
      <c r="F62" s="427"/>
      <c r="G62" s="428">
        <f>G63</f>
        <v>0</v>
      </c>
      <c r="H62" s="429"/>
      <c r="I62" s="429"/>
      <c r="J62" s="429"/>
      <c r="K62" s="429"/>
      <c r="L62" s="429"/>
      <c r="M62" s="429"/>
      <c r="N62" s="429"/>
      <c r="O62" s="429"/>
      <c r="P62" s="429"/>
      <c r="Q62" s="429"/>
      <c r="R62" s="430"/>
      <c r="S62" s="426"/>
      <c r="T62" s="426"/>
      <c r="U62" s="426"/>
      <c r="V62" s="426"/>
      <c r="W62" s="426"/>
      <c r="X62" s="426"/>
      <c r="Y62" s="426"/>
      <c r="Z62" s="426"/>
      <c r="AA62" s="426"/>
      <c r="AB62" s="426"/>
      <c r="AC62" s="426"/>
      <c r="AD62" s="426"/>
      <c r="AE62" s="434"/>
      <c r="AF62" s="432"/>
      <c r="AG62" s="432"/>
      <c r="AH62" s="432"/>
      <c r="AI62" s="432"/>
      <c r="AJ62" s="432"/>
      <c r="AL62" s="432"/>
      <c r="AM62" s="432"/>
      <c r="AN62" s="432"/>
      <c r="AO62" s="432"/>
      <c r="AP62" s="432"/>
    </row>
    <row r="63" spans="1:42" ht="15.75" customHeight="1">
      <c r="A63" s="1302"/>
      <c r="B63" s="1299"/>
      <c r="C63" s="427" t="s">
        <v>536</v>
      </c>
      <c r="D63" s="435"/>
      <c r="E63" s="436"/>
      <c r="F63" s="436"/>
      <c r="G63" s="428">
        <f>R63</f>
        <v>0</v>
      </c>
      <c r="H63" s="437"/>
      <c r="I63" s="437" t="s">
        <v>539</v>
      </c>
      <c r="J63" s="438" t="s">
        <v>540</v>
      </c>
      <c r="K63" s="437"/>
      <c r="L63" s="438" t="s">
        <v>541</v>
      </c>
      <c r="M63" s="438" t="s">
        <v>540</v>
      </c>
      <c r="N63" s="439">
        <v>1</v>
      </c>
      <c r="O63" s="438" t="s">
        <v>549</v>
      </c>
      <c r="P63" s="438" t="s">
        <v>543</v>
      </c>
      <c r="Q63" s="440"/>
      <c r="R63" s="441">
        <f>H63*K63*N63</f>
        <v>0</v>
      </c>
      <c r="S63" s="442"/>
      <c r="T63" s="442"/>
      <c r="U63" s="442"/>
      <c r="V63" s="442"/>
      <c r="W63" s="442"/>
      <c r="X63" s="442"/>
      <c r="Y63" s="442"/>
      <c r="Z63" s="442"/>
      <c r="AA63" s="442"/>
      <c r="AB63" s="442"/>
      <c r="AC63" s="442"/>
      <c r="AD63" s="442"/>
      <c r="AE63" s="434"/>
    </row>
    <row r="64" spans="1:42" ht="15.75" customHeight="1">
      <c r="A64" s="1302"/>
      <c r="B64" s="1299" t="s">
        <v>544</v>
      </c>
      <c r="C64" s="427" t="s">
        <v>534</v>
      </c>
      <c r="D64" s="435"/>
      <c r="E64" s="436"/>
      <c r="F64" s="436"/>
      <c r="G64" s="428">
        <f>SUM(G65:G66)</f>
        <v>10786690</v>
      </c>
      <c r="H64" s="437"/>
      <c r="I64" s="437"/>
      <c r="J64" s="438"/>
      <c r="K64" s="437"/>
      <c r="L64" s="438"/>
      <c r="M64" s="438"/>
      <c r="N64" s="439"/>
      <c r="O64" s="438"/>
      <c r="P64" s="438"/>
      <c r="Q64" s="440"/>
      <c r="R64" s="441"/>
      <c r="S64" s="442"/>
      <c r="T64" s="442"/>
      <c r="U64" s="442"/>
      <c r="V64" s="442"/>
      <c r="W64" s="442"/>
      <c r="X64" s="442"/>
      <c r="Y64" s="442"/>
      <c r="Z64" s="442"/>
      <c r="AA64" s="442"/>
      <c r="AB64" s="442"/>
      <c r="AC64" s="442"/>
      <c r="AD64" s="442"/>
      <c r="AE64" s="434"/>
    </row>
    <row r="65" spans="1:42" ht="21" customHeight="1">
      <c r="A65" s="1302"/>
      <c r="B65" s="1299"/>
      <c r="C65" s="462" t="s">
        <v>588</v>
      </c>
      <c r="D65" s="435"/>
      <c r="E65" s="436"/>
      <c r="F65" s="436"/>
      <c r="G65" s="444">
        <f>R65</f>
        <v>10786690</v>
      </c>
      <c r="H65" s="445">
        <f>H56</f>
        <v>229504</v>
      </c>
      <c r="I65" s="445" t="s">
        <v>539</v>
      </c>
      <c r="J65" s="438" t="s">
        <v>540</v>
      </c>
      <c r="K65" s="445">
        <v>47</v>
      </c>
      <c r="L65" s="438" t="s">
        <v>541</v>
      </c>
      <c r="M65" s="438" t="s">
        <v>540</v>
      </c>
      <c r="N65" s="439">
        <v>1</v>
      </c>
      <c r="O65" s="438" t="s">
        <v>528</v>
      </c>
      <c r="P65" s="438" t="s">
        <v>543</v>
      </c>
      <c r="Q65" s="440"/>
      <c r="R65" s="441">
        <f>ROUND(H65*K65*N65,-1)</f>
        <v>10786690</v>
      </c>
      <c r="S65" s="442"/>
      <c r="T65" s="442"/>
      <c r="U65" s="442"/>
      <c r="V65" s="442"/>
      <c r="W65" s="442"/>
      <c r="X65" s="442"/>
      <c r="Y65" s="442"/>
      <c r="Z65" s="442"/>
      <c r="AA65" s="442"/>
      <c r="AB65" s="442"/>
      <c r="AC65" s="442"/>
      <c r="AD65" s="442"/>
      <c r="AE65" s="434"/>
    </row>
    <row r="66" spans="1:42" ht="15.75" customHeight="1">
      <c r="A66" s="1302"/>
      <c r="B66" s="1299"/>
      <c r="C66" s="427" t="s">
        <v>545</v>
      </c>
      <c r="D66" s="435"/>
      <c r="E66" s="436"/>
      <c r="F66" s="436"/>
      <c r="G66" s="428"/>
      <c r="H66" s="437"/>
      <c r="I66" s="437"/>
      <c r="J66" s="438"/>
      <c r="K66" s="437"/>
      <c r="L66" s="438"/>
      <c r="M66" s="438"/>
      <c r="N66" s="439"/>
      <c r="O66" s="438"/>
      <c r="P66" s="438"/>
      <c r="Q66" s="440"/>
      <c r="R66" s="441"/>
      <c r="S66" s="442"/>
      <c r="T66" s="442"/>
      <c r="U66" s="442"/>
      <c r="V66" s="442"/>
      <c r="W66" s="442"/>
      <c r="X66" s="442"/>
      <c r="Y66" s="442"/>
      <c r="Z66" s="442"/>
      <c r="AA66" s="442"/>
      <c r="AB66" s="442"/>
      <c r="AC66" s="442"/>
      <c r="AD66" s="442"/>
      <c r="AE66" s="434"/>
    </row>
    <row r="67" spans="1:42" ht="15.75" hidden="1" customHeight="1">
      <c r="A67" s="1302"/>
      <c r="B67" s="1299" t="s">
        <v>548</v>
      </c>
      <c r="C67" s="427" t="s">
        <v>534</v>
      </c>
      <c r="D67" s="435"/>
      <c r="E67" s="436">
        <v>0</v>
      </c>
      <c r="F67" s="436"/>
      <c r="G67" s="428">
        <f>SUM(G68:G69)</f>
        <v>0</v>
      </c>
      <c r="H67" s="437"/>
      <c r="I67" s="437"/>
      <c r="J67" s="438"/>
      <c r="K67" s="437"/>
      <c r="L67" s="438"/>
      <c r="M67" s="438"/>
      <c r="N67" s="439"/>
      <c r="O67" s="438"/>
      <c r="P67" s="438"/>
      <c r="Q67" s="440"/>
      <c r="R67" s="441"/>
      <c r="S67" s="442"/>
      <c r="T67" s="442"/>
      <c r="U67" s="442"/>
      <c r="V67" s="442"/>
      <c r="W67" s="442"/>
      <c r="X67" s="442"/>
      <c r="Y67" s="442"/>
      <c r="Z67" s="442"/>
      <c r="AA67" s="442"/>
      <c r="AB67" s="442"/>
      <c r="AC67" s="442"/>
      <c r="AD67" s="442"/>
      <c r="AE67" s="434"/>
    </row>
    <row r="68" spans="1:42" ht="15.75" hidden="1" customHeight="1">
      <c r="A68" s="1302"/>
      <c r="B68" s="1299"/>
      <c r="C68" s="427" t="s">
        <v>548</v>
      </c>
      <c r="D68" s="435"/>
      <c r="E68" s="436"/>
      <c r="F68" s="436"/>
      <c r="G68" s="428">
        <f>R68</f>
        <v>0</v>
      </c>
      <c r="H68" s="437">
        <f>H59</f>
        <v>0</v>
      </c>
      <c r="I68" s="437" t="s">
        <v>539</v>
      </c>
      <c r="J68" s="438" t="s">
        <v>540</v>
      </c>
      <c r="K68" s="437">
        <v>51</v>
      </c>
      <c r="L68" s="438" t="s">
        <v>541</v>
      </c>
      <c r="M68" s="438" t="s">
        <v>540</v>
      </c>
      <c r="N68" s="439">
        <v>1</v>
      </c>
      <c r="O68" s="438" t="s">
        <v>546</v>
      </c>
      <c r="P68" s="438" t="s">
        <v>543</v>
      </c>
      <c r="Q68" s="440"/>
      <c r="R68" s="441">
        <f>ROUND(H68*K68*N68,-1)</f>
        <v>0</v>
      </c>
      <c r="S68" s="442"/>
      <c r="T68" s="442"/>
      <c r="U68" s="442"/>
      <c r="V68" s="442"/>
      <c r="W68" s="442"/>
      <c r="X68" s="442"/>
      <c r="Y68" s="442"/>
      <c r="Z68" s="442"/>
      <c r="AA68" s="442"/>
      <c r="AB68" s="442"/>
      <c r="AC68" s="442"/>
      <c r="AD68" s="442"/>
      <c r="AE68" s="434"/>
    </row>
    <row r="69" spans="1:42" ht="15.75" hidden="1" customHeight="1">
      <c r="A69" s="1302"/>
      <c r="B69" s="1299"/>
      <c r="C69" s="427" t="s">
        <v>547</v>
      </c>
      <c r="D69" s="435"/>
      <c r="E69" s="436"/>
      <c r="F69" s="436"/>
      <c r="G69" s="428">
        <f>R69</f>
        <v>0</v>
      </c>
      <c r="H69" s="437"/>
      <c r="I69" s="437" t="s">
        <v>539</v>
      </c>
      <c r="J69" s="438" t="s">
        <v>540</v>
      </c>
      <c r="K69" s="437"/>
      <c r="L69" s="438" t="s">
        <v>541</v>
      </c>
      <c r="M69" s="438" t="s">
        <v>540</v>
      </c>
      <c r="N69" s="439"/>
      <c r="O69" s="438" t="s">
        <v>549</v>
      </c>
      <c r="P69" s="438" t="s">
        <v>543</v>
      </c>
      <c r="Q69" s="440"/>
      <c r="R69" s="441">
        <f>H69*K69*N69</f>
        <v>0</v>
      </c>
      <c r="S69" s="442"/>
      <c r="T69" s="442"/>
      <c r="U69" s="442"/>
      <c r="V69" s="442"/>
      <c r="W69" s="442"/>
      <c r="X69" s="442"/>
      <c r="Y69" s="442"/>
      <c r="Z69" s="442"/>
      <c r="AA69" s="442"/>
      <c r="AB69" s="442"/>
      <c r="AC69" s="442"/>
      <c r="AD69" s="442"/>
      <c r="AE69" s="434"/>
    </row>
    <row r="70" spans="1:42" s="433" customFormat="1" ht="15.75" customHeight="1">
      <c r="A70" s="1303" t="s">
        <v>554</v>
      </c>
      <c r="B70" s="1299" t="s">
        <v>534</v>
      </c>
      <c r="C70" s="1299"/>
      <c r="D70" s="426"/>
      <c r="E70" s="427"/>
      <c r="F70" s="427"/>
      <c r="G70" s="428">
        <f>G71+G73+G76</f>
        <v>10786690</v>
      </c>
      <c r="H70" s="429"/>
      <c r="I70" s="429"/>
      <c r="J70" s="429"/>
      <c r="K70" s="429"/>
      <c r="L70" s="429"/>
      <c r="M70" s="429"/>
      <c r="N70" s="429"/>
      <c r="O70" s="429"/>
      <c r="P70" s="429"/>
      <c r="Q70" s="429"/>
      <c r="R70" s="430"/>
      <c r="S70" s="426"/>
      <c r="T70" s="426"/>
      <c r="U70" s="426"/>
      <c r="V70" s="426"/>
      <c r="W70" s="426"/>
      <c r="X70" s="426"/>
      <c r="Y70" s="426"/>
      <c r="Z70" s="426"/>
      <c r="AA70" s="426"/>
      <c r="AB70" s="426"/>
      <c r="AC70" s="426"/>
      <c r="AD70" s="426"/>
      <c r="AE70" s="431" t="s">
        <v>926</v>
      </c>
      <c r="AF70" s="432"/>
      <c r="AG70" s="432"/>
      <c r="AH70" s="432"/>
      <c r="AI70" s="432"/>
      <c r="AJ70" s="432"/>
      <c r="AL70" s="432"/>
      <c r="AM70" s="432"/>
      <c r="AN70" s="432"/>
      <c r="AO70" s="432"/>
      <c r="AP70" s="432"/>
    </row>
    <row r="71" spans="1:42" s="433" customFormat="1" ht="15.75" customHeight="1">
      <c r="A71" s="1302"/>
      <c r="B71" s="1299" t="s">
        <v>535</v>
      </c>
      <c r="C71" s="427" t="s">
        <v>534</v>
      </c>
      <c r="D71" s="426"/>
      <c r="E71" s="427"/>
      <c r="F71" s="427"/>
      <c r="G71" s="428">
        <f>G72</f>
        <v>0</v>
      </c>
      <c r="H71" s="429"/>
      <c r="I71" s="429"/>
      <c r="J71" s="429"/>
      <c r="K71" s="429"/>
      <c r="L71" s="429"/>
      <c r="M71" s="429"/>
      <c r="N71" s="429"/>
      <c r="O71" s="429"/>
      <c r="P71" s="429"/>
      <c r="Q71" s="429"/>
      <c r="R71" s="430"/>
      <c r="S71" s="426"/>
      <c r="T71" s="426"/>
      <c r="U71" s="426"/>
      <c r="V71" s="426"/>
      <c r="W71" s="426"/>
      <c r="X71" s="426"/>
      <c r="Y71" s="426"/>
      <c r="Z71" s="426"/>
      <c r="AA71" s="426"/>
      <c r="AB71" s="426"/>
      <c r="AC71" s="426"/>
      <c r="AD71" s="426"/>
      <c r="AE71" s="434"/>
      <c r="AF71" s="432"/>
      <c r="AG71" s="432"/>
      <c r="AH71" s="432"/>
      <c r="AI71" s="432"/>
      <c r="AJ71" s="432"/>
      <c r="AL71" s="432"/>
      <c r="AM71" s="432"/>
      <c r="AN71" s="432"/>
      <c r="AO71" s="432"/>
      <c r="AP71" s="432"/>
    </row>
    <row r="72" spans="1:42" ht="15.75" customHeight="1">
      <c r="A72" s="1302"/>
      <c r="B72" s="1299"/>
      <c r="C72" s="427" t="s">
        <v>536</v>
      </c>
      <c r="D72" s="435"/>
      <c r="E72" s="436"/>
      <c r="F72" s="436"/>
      <c r="G72" s="428">
        <f>R72</f>
        <v>0</v>
      </c>
      <c r="H72" s="437"/>
      <c r="I72" s="437" t="s">
        <v>539</v>
      </c>
      <c r="J72" s="438" t="s">
        <v>540</v>
      </c>
      <c r="K72" s="437"/>
      <c r="L72" s="438" t="s">
        <v>541</v>
      </c>
      <c r="M72" s="438" t="s">
        <v>540</v>
      </c>
      <c r="N72" s="439"/>
      <c r="O72" s="438" t="s">
        <v>542</v>
      </c>
      <c r="P72" s="438" t="s">
        <v>543</v>
      </c>
      <c r="Q72" s="440"/>
      <c r="R72" s="441">
        <f>H72*K72*N72</f>
        <v>0</v>
      </c>
      <c r="S72" s="442"/>
      <c r="T72" s="442"/>
      <c r="U72" s="442"/>
      <c r="V72" s="442"/>
      <c r="W72" s="442"/>
      <c r="X72" s="442"/>
      <c r="Y72" s="442"/>
      <c r="Z72" s="442"/>
      <c r="AA72" s="442"/>
      <c r="AB72" s="442"/>
      <c r="AC72" s="442"/>
      <c r="AD72" s="442"/>
      <c r="AE72" s="434"/>
    </row>
    <row r="73" spans="1:42" ht="15.75" hidden="1" customHeight="1">
      <c r="A73" s="1302"/>
      <c r="B73" s="1299" t="s">
        <v>544</v>
      </c>
      <c r="C73" s="427" t="s">
        <v>534</v>
      </c>
      <c r="D73" s="435"/>
      <c r="E73" s="436"/>
      <c r="F73" s="436"/>
      <c r="G73" s="428">
        <f>SUM(G74:G75)</f>
        <v>10786690</v>
      </c>
      <c r="H73" s="437"/>
      <c r="I73" s="437"/>
      <c r="J73" s="438"/>
      <c r="K73" s="437"/>
      <c r="L73" s="438"/>
      <c r="M73" s="438"/>
      <c r="N73" s="439"/>
      <c r="O73" s="438"/>
      <c r="P73" s="438"/>
      <c r="Q73" s="440"/>
      <c r="R73" s="441"/>
      <c r="S73" s="442"/>
      <c r="T73" s="442"/>
      <c r="U73" s="442"/>
      <c r="V73" s="442"/>
      <c r="W73" s="442"/>
      <c r="X73" s="442"/>
      <c r="Y73" s="442"/>
      <c r="Z73" s="442"/>
      <c r="AA73" s="442"/>
      <c r="AB73" s="442"/>
      <c r="AC73" s="442"/>
      <c r="AD73" s="442"/>
      <c r="AE73" s="434"/>
    </row>
    <row r="74" spans="1:42" ht="21" customHeight="1">
      <c r="A74" s="1302"/>
      <c r="B74" s="1299"/>
      <c r="C74" s="462" t="s">
        <v>544</v>
      </c>
      <c r="D74" s="435"/>
      <c r="E74" s="436"/>
      <c r="F74" s="436"/>
      <c r="G74" s="444">
        <f>R74</f>
        <v>10786690</v>
      </c>
      <c r="H74" s="445">
        <f>H65</f>
        <v>229504</v>
      </c>
      <c r="I74" s="445" t="s">
        <v>539</v>
      </c>
      <c r="J74" s="438" t="s">
        <v>540</v>
      </c>
      <c r="K74" s="445">
        <v>47</v>
      </c>
      <c r="L74" s="438" t="s">
        <v>541</v>
      </c>
      <c r="M74" s="438" t="s">
        <v>540</v>
      </c>
      <c r="N74" s="439">
        <v>1</v>
      </c>
      <c r="O74" s="438" t="s">
        <v>528</v>
      </c>
      <c r="P74" s="438" t="s">
        <v>543</v>
      </c>
      <c r="Q74" s="440"/>
      <c r="R74" s="441">
        <f>ROUND(H74*K74*N74,-1)</f>
        <v>10786690</v>
      </c>
      <c r="S74" s="442"/>
      <c r="T74" s="442"/>
      <c r="U74" s="442"/>
      <c r="V74" s="442"/>
      <c r="W74" s="442"/>
      <c r="X74" s="442"/>
      <c r="Y74" s="442"/>
      <c r="Z74" s="442"/>
      <c r="AA74" s="442"/>
      <c r="AB74" s="442"/>
      <c r="AC74" s="442"/>
      <c r="AD74" s="442"/>
      <c r="AE74" s="434"/>
    </row>
    <row r="75" spans="1:42" ht="15.75" customHeight="1">
      <c r="A75" s="1302"/>
      <c r="B75" s="1299"/>
      <c r="C75" s="427" t="s">
        <v>545</v>
      </c>
      <c r="D75" s="435"/>
      <c r="E75" s="436"/>
      <c r="F75" s="436"/>
      <c r="G75" s="428"/>
      <c r="H75" s="437"/>
      <c r="I75" s="437" t="s">
        <v>539</v>
      </c>
      <c r="J75" s="438" t="s">
        <v>540</v>
      </c>
      <c r="K75" s="437"/>
      <c r="L75" s="438" t="s">
        <v>541</v>
      </c>
      <c r="M75" s="438" t="s">
        <v>540</v>
      </c>
      <c r="N75" s="439">
        <v>1</v>
      </c>
      <c r="O75" s="438" t="s">
        <v>549</v>
      </c>
      <c r="P75" s="438" t="s">
        <v>543</v>
      </c>
      <c r="Q75" s="440"/>
      <c r="R75" s="441"/>
      <c r="S75" s="442"/>
      <c r="T75" s="442"/>
      <c r="U75" s="442"/>
      <c r="V75" s="442"/>
      <c r="W75" s="442"/>
      <c r="X75" s="442"/>
      <c r="Y75" s="442"/>
      <c r="Z75" s="442"/>
      <c r="AA75" s="442"/>
      <c r="AB75" s="442"/>
      <c r="AC75" s="442"/>
      <c r="AD75" s="442"/>
      <c r="AE75" s="434"/>
    </row>
    <row r="76" spans="1:42" ht="15.75" hidden="1" customHeight="1">
      <c r="A76" s="1302"/>
      <c r="B76" s="1299" t="s">
        <v>548</v>
      </c>
      <c r="C76" s="427" t="s">
        <v>534</v>
      </c>
      <c r="D76" s="435"/>
      <c r="E76" s="436"/>
      <c r="F76" s="436"/>
      <c r="G76" s="428">
        <f>SUM(G77:G78)</f>
        <v>0</v>
      </c>
      <c r="H76" s="437"/>
      <c r="I76" s="437"/>
      <c r="J76" s="438"/>
      <c r="K76" s="437"/>
      <c r="L76" s="438"/>
      <c r="M76" s="438"/>
      <c r="N76" s="439"/>
      <c r="O76" s="438"/>
      <c r="P76" s="438"/>
      <c r="Q76" s="440"/>
      <c r="R76" s="441"/>
      <c r="S76" s="442"/>
      <c r="T76" s="442"/>
      <c r="U76" s="442"/>
      <c r="V76" s="442"/>
      <c r="W76" s="442"/>
      <c r="X76" s="442"/>
      <c r="Y76" s="442"/>
      <c r="Z76" s="442"/>
      <c r="AA76" s="442"/>
      <c r="AB76" s="442"/>
      <c r="AC76" s="442"/>
      <c r="AD76" s="442"/>
      <c r="AE76" s="434"/>
    </row>
    <row r="77" spans="1:42" ht="15.75" hidden="1" customHeight="1">
      <c r="A77" s="1302"/>
      <c r="B77" s="1299"/>
      <c r="C77" s="427" t="s">
        <v>548</v>
      </c>
      <c r="D77" s="435"/>
      <c r="E77" s="436"/>
      <c r="F77" s="436"/>
      <c r="G77" s="428">
        <f>R77</f>
        <v>0</v>
      </c>
      <c r="H77" s="437">
        <f>H68</f>
        <v>0</v>
      </c>
      <c r="I77" s="437" t="s">
        <v>539</v>
      </c>
      <c r="J77" s="438" t="s">
        <v>540</v>
      </c>
      <c r="K77" s="437">
        <v>51</v>
      </c>
      <c r="L77" s="438" t="s">
        <v>541</v>
      </c>
      <c r="M77" s="438" t="s">
        <v>540</v>
      </c>
      <c r="N77" s="439">
        <v>1</v>
      </c>
      <c r="O77" s="438" t="s">
        <v>546</v>
      </c>
      <c r="P77" s="438" t="s">
        <v>543</v>
      </c>
      <c r="Q77" s="440"/>
      <c r="R77" s="441">
        <f>ROUND(H77*K77*N77,-1)</f>
        <v>0</v>
      </c>
      <c r="S77" s="442"/>
      <c r="T77" s="442"/>
      <c r="U77" s="442"/>
      <c r="V77" s="442"/>
      <c r="W77" s="442"/>
      <c r="X77" s="442"/>
      <c r="Y77" s="442"/>
      <c r="Z77" s="442"/>
      <c r="AA77" s="442"/>
      <c r="AB77" s="442"/>
      <c r="AC77" s="442"/>
      <c r="AD77" s="442"/>
      <c r="AE77" s="434"/>
    </row>
    <row r="78" spans="1:42" ht="15.75" hidden="1" customHeight="1">
      <c r="A78" s="1302"/>
      <c r="B78" s="1299"/>
      <c r="C78" s="427" t="s">
        <v>547</v>
      </c>
      <c r="D78" s="435"/>
      <c r="E78" s="436"/>
      <c r="F78" s="436"/>
      <c r="G78" s="428">
        <f>R78</f>
        <v>0</v>
      </c>
      <c r="H78" s="437"/>
      <c r="I78" s="437" t="s">
        <v>539</v>
      </c>
      <c r="J78" s="438" t="s">
        <v>540</v>
      </c>
      <c r="K78" s="437"/>
      <c r="L78" s="438" t="s">
        <v>541</v>
      </c>
      <c r="M78" s="438" t="s">
        <v>540</v>
      </c>
      <c r="N78" s="439">
        <v>1</v>
      </c>
      <c r="O78" s="438" t="s">
        <v>549</v>
      </c>
      <c r="P78" s="438" t="s">
        <v>543</v>
      </c>
      <c r="Q78" s="440"/>
      <c r="R78" s="441">
        <f>H78*K78*N78</f>
        <v>0</v>
      </c>
      <c r="S78" s="442"/>
      <c r="T78" s="442"/>
      <c r="U78" s="442"/>
      <c r="V78" s="442"/>
      <c r="W78" s="442"/>
      <c r="X78" s="442"/>
      <c r="Y78" s="442"/>
      <c r="Z78" s="442"/>
      <c r="AA78" s="442"/>
      <c r="AB78" s="442"/>
      <c r="AC78" s="442"/>
      <c r="AD78" s="442"/>
      <c r="AE78" s="434"/>
    </row>
    <row r="79" spans="1:42" s="433" customFormat="1" ht="15.75" customHeight="1">
      <c r="A79" s="1303" t="s">
        <v>555</v>
      </c>
      <c r="B79" s="1299" t="s">
        <v>534</v>
      </c>
      <c r="C79" s="1299"/>
      <c r="D79" s="426"/>
      <c r="E79" s="427"/>
      <c r="F79" s="427"/>
      <c r="G79" s="428">
        <f>G80+G82+G85</f>
        <v>10786690</v>
      </c>
      <c r="H79" s="429"/>
      <c r="I79" s="429"/>
      <c r="J79" s="429"/>
      <c r="K79" s="429"/>
      <c r="L79" s="429"/>
      <c r="M79" s="429"/>
      <c r="N79" s="429"/>
      <c r="O79" s="429"/>
      <c r="P79" s="429"/>
      <c r="Q79" s="429"/>
      <c r="R79" s="430"/>
      <c r="S79" s="426"/>
      <c r="T79" s="426"/>
      <c r="U79" s="426"/>
      <c r="V79" s="426"/>
      <c r="W79" s="426"/>
      <c r="X79" s="426"/>
      <c r="Y79" s="426"/>
      <c r="Z79" s="426"/>
      <c r="AA79" s="426"/>
      <c r="AB79" s="426"/>
      <c r="AC79" s="426"/>
      <c r="AD79" s="426"/>
      <c r="AE79" s="431" t="s">
        <v>926</v>
      </c>
      <c r="AF79" s="432"/>
      <c r="AG79" s="432"/>
      <c r="AH79" s="432"/>
      <c r="AI79" s="432"/>
      <c r="AJ79" s="432"/>
      <c r="AL79" s="432"/>
      <c r="AM79" s="432"/>
      <c r="AN79" s="432"/>
      <c r="AO79" s="432"/>
      <c r="AP79" s="432"/>
    </row>
    <row r="80" spans="1:42" s="433" customFormat="1" ht="15.75" customHeight="1">
      <c r="A80" s="1302"/>
      <c r="B80" s="1299" t="s">
        <v>535</v>
      </c>
      <c r="C80" s="427" t="s">
        <v>534</v>
      </c>
      <c r="D80" s="426"/>
      <c r="E80" s="427"/>
      <c r="F80" s="427"/>
      <c r="G80" s="428">
        <f>G81</f>
        <v>0</v>
      </c>
      <c r="H80" s="429"/>
      <c r="I80" s="429"/>
      <c r="J80" s="429"/>
      <c r="K80" s="429"/>
      <c r="L80" s="429"/>
      <c r="M80" s="429"/>
      <c r="N80" s="429"/>
      <c r="O80" s="429"/>
      <c r="P80" s="429"/>
      <c r="Q80" s="429"/>
      <c r="R80" s="430"/>
      <c r="S80" s="426"/>
      <c r="T80" s="426"/>
      <c r="U80" s="426"/>
      <c r="V80" s="426"/>
      <c r="W80" s="426"/>
      <c r="X80" s="426"/>
      <c r="Y80" s="426"/>
      <c r="Z80" s="426"/>
      <c r="AA80" s="426"/>
      <c r="AB80" s="426"/>
      <c r="AC80" s="426"/>
      <c r="AD80" s="426"/>
      <c r="AE80" s="434"/>
      <c r="AF80" s="432"/>
      <c r="AG80" s="432"/>
      <c r="AH80" s="432"/>
      <c r="AI80" s="432"/>
      <c r="AJ80" s="432"/>
      <c r="AL80" s="432"/>
      <c r="AM80" s="432"/>
      <c r="AN80" s="432"/>
      <c r="AO80" s="432"/>
      <c r="AP80" s="432"/>
    </row>
    <row r="81" spans="1:42" ht="15.75" customHeight="1">
      <c r="A81" s="1302"/>
      <c r="B81" s="1299"/>
      <c r="C81" s="427" t="s">
        <v>536</v>
      </c>
      <c r="D81" s="435"/>
      <c r="E81" s="436"/>
      <c r="F81" s="436"/>
      <c r="G81" s="428">
        <f>R81</f>
        <v>0</v>
      </c>
      <c r="H81" s="437"/>
      <c r="I81" s="437" t="s">
        <v>539</v>
      </c>
      <c r="J81" s="438" t="s">
        <v>540</v>
      </c>
      <c r="K81" s="437"/>
      <c r="L81" s="438" t="s">
        <v>541</v>
      </c>
      <c r="M81" s="438" t="s">
        <v>540</v>
      </c>
      <c r="N81" s="439"/>
      <c r="O81" s="438" t="s">
        <v>542</v>
      </c>
      <c r="P81" s="438" t="s">
        <v>543</v>
      </c>
      <c r="Q81" s="440"/>
      <c r="R81" s="441">
        <f>H81*K81*N81</f>
        <v>0</v>
      </c>
      <c r="S81" s="442"/>
      <c r="T81" s="442"/>
      <c r="U81" s="442"/>
      <c r="V81" s="442"/>
      <c r="W81" s="442"/>
      <c r="X81" s="442"/>
      <c r="Y81" s="442"/>
      <c r="Z81" s="442"/>
      <c r="AA81" s="442"/>
      <c r="AB81" s="442"/>
      <c r="AC81" s="442"/>
      <c r="AD81" s="442"/>
      <c r="AE81" s="434"/>
    </row>
    <row r="82" spans="1:42" ht="15.75" customHeight="1">
      <c r="A82" s="1302"/>
      <c r="B82" s="1299" t="s">
        <v>544</v>
      </c>
      <c r="C82" s="427" t="s">
        <v>534</v>
      </c>
      <c r="D82" s="435"/>
      <c r="E82" s="436"/>
      <c r="F82" s="436"/>
      <c r="G82" s="428">
        <f>SUM(G83:G84)</f>
        <v>10786690</v>
      </c>
      <c r="H82" s="437"/>
      <c r="I82" s="437"/>
      <c r="J82" s="438"/>
      <c r="K82" s="437"/>
      <c r="L82" s="438"/>
      <c r="M82" s="438"/>
      <c r="N82" s="439"/>
      <c r="O82" s="438"/>
      <c r="P82" s="438"/>
      <c r="Q82" s="440"/>
      <c r="R82" s="441"/>
      <c r="S82" s="442"/>
      <c r="T82" s="442"/>
      <c r="U82" s="442"/>
      <c r="V82" s="442"/>
      <c r="W82" s="442"/>
      <c r="X82" s="442"/>
      <c r="Y82" s="442"/>
      <c r="Z82" s="442"/>
      <c r="AA82" s="442"/>
      <c r="AB82" s="442"/>
      <c r="AC82" s="442"/>
      <c r="AD82" s="442"/>
      <c r="AE82" s="434"/>
    </row>
    <row r="83" spans="1:42" ht="21" customHeight="1">
      <c r="A83" s="1302"/>
      <c r="B83" s="1299"/>
      <c r="C83" s="462" t="s">
        <v>544</v>
      </c>
      <c r="D83" s="435"/>
      <c r="E83" s="436"/>
      <c r="F83" s="436"/>
      <c r="G83" s="444">
        <f>R83</f>
        <v>10786690</v>
      </c>
      <c r="H83" s="445">
        <f>H74</f>
        <v>229504</v>
      </c>
      <c r="I83" s="445" t="s">
        <v>539</v>
      </c>
      <c r="J83" s="438" t="s">
        <v>540</v>
      </c>
      <c r="K83" s="445">
        <v>47</v>
      </c>
      <c r="L83" s="438" t="s">
        <v>541</v>
      </c>
      <c r="M83" s="438" t="s">
        <v>540</v>
      </c>
      <c r="N83" s="439">
        <v>1</v>
      </c>
      <c r="O83" s="438" t="s">
        <v>528</v>
      </c>
      <c r="P83" s="438" t="s">
        <v>543</v>
      </c>
      <c r="Q83" s="440"/>
      <c r="R83" s="441">
        <f>ROUND(H83*K83*N83,-1)</f>
        <v>10786690</v>
      </c>
      <c r="S83" s="442"/>
      <c r="T83" s="442"/>
      <c r="U83" s="442"/>
      <c r="V83" s="442"/>
      <c r="W83" s="442"/>
      <c r="X83" s="442"/>
      <c r="Y83" s="442"/>
      <c r="Z83" s="442"/>
      <c r="AA83" s="442"/>
      <c r="AB83" s="442"/>
      <c r="AC83" s="442"/>
      <c r="AD83" s="442"/>
      <c r="AE83" s="434"/>
    </row>
    <row r="84" spans="1:42" ht="15.75" customHeight="1">
      <c r="A84" s="1302"/>
      <c r="B84" s="1299"/>
      <c r="C84" s="427" t="s">
        <v>545</v>
      </c>
      <c r="D84" s="435"/>
      <c r="E84" s="436"/>
      <c r="F84" s="436"/>
      <c r="G84" s="428"/>
      <c r="H84" s="437"/>
      <c r="I84" s="437" t="s">
        <v>539</v>
      </c>
      <c r="J84" s="438" t="s">
        <v>540</v>
      </c>
      <c r="K84" s="437"/>
      <c r="L84" s="438" t="s">
        <v>541</v>
      </c>
      <c r="M84" s="438" t="s">
        <v>540</v>
      </c>
      <c r="N84" s="439"/>
      <c r="O84" s="438" t="s">
        <v>549</v>
      </c>
      <c r="P84" s="438" t="s">
        <v>543</v>
      </c>
      <c r="Q84" s="440"/>
      <c r="R84" s="441"/>
      <c r="S84" s="442"/>
      <c r="T84" s="442"/>
      <c r="U84" s="442"/>
      <c r="V84" s="442"/>
      <c r="W84" s="442"/>
      <c r="X84" s="442"/>
      <c r="Y84" s="442"/>
      <c r="Z84" s="442"/>
      <c r="AA84" s="442"/>
      <c r="AB84" s="442"/>
      <c r="AC84" s="442"/>
      <c r="AD84" s="442"/>
      <c r="AE84" s="434"/>
    </row>
    <row r="85" spans="1:42" ht="15.75" hidden="1" customHeight="1">
      <c r="A85" s="1302"/>
      <c r="B85" s="1299" t="s">
        <v>548</v>
      </c>
      <c r="C85" s="427" t="s">
        <v>534</v>
      </c>
      <c r="D85" s="435"/>
      <c r="E85" s="436"/>
      <c r="F85" s="436"/>
      <c r="G85" s="428">
        <f>SUM(G86:G87)</f>
        <v>0</v>
      </c>
      <c r="H85" s="437"/>
      <c r="I85" s="437"/>
      <c r="J85" s="438"/>
      <c r="K85" s="437"/>
      <c r="L85" s="438"/>
      <c r="M85" s="438"/>
      <c r="N85" s="439"/>
      <c r="O85" s="438"/>
      <c r="P85" s="438"/>
      <c r="Q85" s="440"/>
      <c r="R85" s="441"/>
      <c r="S85" s="442"/>
      <c r="T85" s="442"/>
      <c r="U85" s="442"/>
      <c r="V85" s="442"/>
      <c r="W85" s="442"/>
      <c r="X85" s="442"/>
      <c r="Y85" s="442"/>
      <c r="Z85" s="442"/>
      <c r="AA85" s="442"/>
      <c r="AB85" s="442"/>
      <c r="AC85" s="442"/>
      <c r="AD85" s="442"/>
      <c r="AE85" s="434"/>
    </row>
    <row r="86" spans="1:42" ht="15.75" hidden="1" customHeight="1">
      <c r="A86" s="1302"/>
      <c r="B86" s="1299"/>
      <c r="C86" s="427" t="s">
        <v>548</v>
      </c>
      <c r="D86" s="435"/>
      <c r="E86" s="436"/>
      <c r="F86" s="436"/>
      <c r="G86" s="428">
        <f>R86</f>
        <v>0</v>
      </c>
      <c r="H86" s="437">
        <f>H77</f>
        <v>0</v>
      </c>
      <c r="I86" s="437" t="s">
        <v>539</v>
      </c>
      <c r="J86" s="438" t="s">
        <v>540</v>
      </c>
      <c r="K86" s="437">
        <v>51</v>
      </c>
      <c r="L86" s="438" t="s">
        <v>541</v>
      </c>
      <c r="M86" s="438" t="s">
        <v>540</v>
      </c>
      <c r="N86" s="439">
        <v>1</v>
      </c>
      <c r="O86" s="438" t="s">
        <v>546</v>
      </c>
      <c r="P86" s="438" t="s">
        <v>543</v>
      </c>
      <c r="Q86" s="440"/>
      <c r="R86" s="441">
        <f>ROUND(H86*K86*N86,-1)</f>
        <v>0</v>
      </c>
      <c r="S86" s="442"/>
      <c r="T86" s="442"/>
      <c r="U86" s="442"/>
      <c r="V86" s="442"/>
      <c r="W86" s="442"/>
      <c r="X86" s="442"/>
      <c r="Y86" s="442"/>
      <c r="Z86" s="442"/>
      <c r="AA86" s="442"/>
      <c r="AB86" s="442"/>
      <c r="AC86" s="442"/>
      <c r="AD86" s="442"/>
      <c r="AE86" s="434"/>
    </row>
    <row r="87" spans="1:42" ht="15.75" hidden="1" customHeight="1">
      <c r="A87" s="1302"/>
      <c r="B87" s="1299"/>
      <c r="C87" s="427" t="s">
        <v>547</v>
      </c>
      <c r="D87" s="435"/>
      <c r="E87" s="436"/>
      <c r="F87" s="436"/>
      <c r="G87" s="428">
        <f>R87</f>
        <v>0</v>
      </c>
      <c r="H87" s="437"/>
      <c r="I87" s="437" t="s">
        <v>539</v>
      </c>
      <c r="J87" s="438" t="s">
        <v>540</v>
      </c>
      <c r="K87" s="437"/>
      <c r="L87" s="438" t="s">
        <v>541</v>
      </c>
      <c r="M87" s="438" t="s">
        <v>540</v>
      </c>
      <c r="N87" s="439"/>
      <c r="O87" s="438" t="s">
        <v>549</v>
      </c>
      <c r="P87" s="438" t="s">
        <v>543</v>
      </c>
      <c r="Q87" s="440"/>
      <c r="R87" s="441">
        <f>H87*K87*N87</f>
        <v>0</v>
      </c>
      <c r="S87" s="442"/>
      <c r="T87" s="442"/>
      <c r="U87" s="442"/>
      <c r="V87" s="442"/>
      <c r="W87" s="442"/>
      <c r="X87" s="442"/>
      <c r="Y87" s="442"/>
      <c r="Z87" s="442"/>
      <c r="AA87" s="442"/>
      <c r="AB87" s="442"/>
      <c r="AC87" s="442"/>
      <c r="AD87" s="442"/>
      <c r="AE87" s="434"/>
    </row>
    <row r="88" spans="1:42" s="433" customFormat="1" ht="15.75" customHeight="1">
      <c r="A88" s="1303" t="s">
        <v>556</v>
      </c>
      <c r="B88" s="1299" t="s">
        <v>534</v>
      </c>
      <c r="C88" s="1299"/>
      <c r="D88" s="426"/>
      <c r="E88" s="427"/>
      <c r="F88" s="427"/>
      <c r="G88" s="428">
        <f>G89+G91+G94</f>
        <v>12492790</v>
      </c>
      <c r="H88" s="429"/>
      <c r="I88" s="429"/>
      <c r="J88" s="429"/>
      <c r="K88" s="429"/>
      <c r="L88" s="429"/>
      <c r="M88" s="429"/>
      <c r="N88" s="429"/>
      <c r="O88" s="429"/>
      <c r="P88" s="429"/>
      <c r="Q88" s="429"/>
      <c r="R88" s="430"/>
      <c r="S88" s="426"/>
      <c r="T88" s="426"/>
      <c r="U88" s="426"/>
      <c r="V88" s="426"/>
      <c r="W88" s="426"/>
      <c r="X88" s="426"/>
      <c r="Y88" s="426"/>
      <c r="Z88" s="426"/>
      <c r="AA88" s="426"/>
      <c r="AB88" s="426"/>
      <c r="AC88" s="426"/>
      <c r="AD88" s="426"/>
      <c r="AE88" s="431" t="s">
        <v>926</v>
      </c>
      <c r="AF88" s="432"/>
      <c r="AG88" s="432"/>
      <c r="AH88" s="432"/>
      <c r="AI88" s="432"/>
      <c r="AJ88" s="432"/>
      <c r="AL88" s="432"/>
      <c r="AM88" s="432"/>
      <c r="AN88" s="432"/>
      <c r="AO88" s="432"/>
      <c r="AP88" s="432"/>
    </row>
    <row r="89" spans="1:42" s="433" customFormat="1" ht="15.75" customHeight="1">
      <c r="A89" s="1302"/>
      <c r="B89" s="1299" t="s">
        <v>535</v>
      </c>
      <c r="C89" s="427" t="s">
        <v>534</v>
      </c>
      <c r="D89" s="426"/>
      <c r="E89" s="427"/>
      <c r="F89" s="427"/>
      <c r="G89" s="428">
        <f>G90</f>
        <v>1706100</v>
      </c>
      <c r="H89" s="429"/>
      <c r="I89" s="429"/>
      <c r="J89" s="429"/>
      <c r="K89" s="429"/>
      <c r="L89" s="429"/>
      <c r="M89" s="429"/>
      <c r="N89" s="429"/>
      <c r="O89" s="429"/>
      <c r="P89" s="429"/>
      <c r="Q89" s="429"/>
      <c r="R89" s="430"/>
      <c r="S89" s="426"/>
      <c r="T89" s="426"/>
      <c r="U89" s="426"/>
      <c r="V89" s="426"/>
      <c r="W89" s="426"/>
      <c r="X89" s="426"/>
      <c r="Y89" s="426"/>
      <c r="Z89" s="426"/>
      <c r="AA89" s="426"/>
      <c r="AB89" s="426"/>
      <c r="AC89" s="426"/>
      <c r="AD89" s="426"/>
      <c r="AE89" s="434"/>
      <c r="AF89" s="432"/>
      <c r="AG89" s="432"/>
      <c r="AH89" s="432"/>
      <c r="AI89" s="432"/>
      <c r="AJ89" s="432"/>
      <c r="AL89" s="432"/>
      <c r="AM89" s="432"/>
      <c r="AN89" s="432"/>
      <c r="AO89" s="432"/>
      <c r="AP89" s="432"/>
    </row>
    <row r="90" spans="1:42" ht="15.75" customHeight="1">
      <c r="A90" s="1302"/>
      <c r="B90" s="1299"/>
      <c r="C90" s="427" t="s">
        <v>536</v>
      </c>
      <c r="D90" s="435"/>
      <c r="E90" s="436"/>
      <c r="F90" s="436"/>
      <c r="G90" s="428">
        <f>R90</f>
        <v>1706100</v>
      </c>
      <c r="H90" s="437">
        <f>H8</f>
        <v>36300</v>
      </c>
      <c r="I90" s="437" t="s">
        <v>539</v>
      </c>
      <c r="J90" s="438" t="s">
        <v>540</v>
      </c>
      <c r="K90" s="437">
        <v>47</v>
      </c>
      <c r="L90" s="438" t="s">
        <v>541</v>
      </c>
      <c r="M90" s="438" t="s">
        <v>540</v>
      </c>
      <c r="N90" s="439">
        <v>1</v>
      </c>
      <c r="O90" s="438" t="s">
        <v>542</v>
      </c>
      <c r="P90" s="438" t="s">
        <v>543</v>
      </c>
      <c r="Q90" s="440"/>
      <c r="R90" s="441">
        <f>H90*K90*N90</f>
        <v>1706100</v>
      </c>
      <c r="S90" s="442"/>
      <c r="T90" s="442"/>
      <c r="U90" s="442"/>
      <c r="V90" s="442"/>
      <c r="W90" s="442"/>
      <c r="X90" s="442"/>
      <c r="Y90" s="442"/>
      <c r="Z90" s="442"/>
      <c r="AA90" s="442"/>
      <c r="AB90" s="442"/>
      <c r="AC90" s="442"/>
      <c r="AD90" s="442"/>
      <c r="AE90" s="434" t="s">
        <v>557</v>
      </c>
    </row>
    <row r="91" spans="1:42" ht="15.75" customHeight="1">
      <c r="A91" s="1302"/>
      <c r="B91" s="1299" t="s">
        <v>544</v>
      </c>
      <c r="C91" s="427" t="s">
        <v>534</v>
      </c>
      <c r="D91" s="435"/>
      <c r="E91" s="436"/>
      <c r="F91" s="436"/>
      <c r="G91" s="428">
        <f>SUM(G92:G93)</f>
        <v>10786690</v>
      </c>
      <c r="H91" s="437"/>
      <c r="I91" s="437"/>
      <c r="J91" s="438"/>
      <c r="K91" s="437"/>
      <c r="L91" s="438"/>
      <c r="M91" s="438"/>
      <c r="N91" s="439"/>
      <c r="O91" s="438"/>
      <c r="P91" s="438"/>
      <c r="Q91" s="440"/>
      <c r="R91" s="441"/>
      <c r="S91" s="442"/>
      <c r="T91" s="442"/>
      <c r="U91" s="442"/>
      <c r="V91" s="442"/>
      <c r="W91" s="442"/>
      <c r="X91" s="442"/>
      <c r="Y91" s="442"/>
      <c r="Z91" s="442"/>
      <c r="AA91" s="442"/>
      <c r="AB91" s="442"/>
      <c r="AC91" s="442"/>
      <c r="AD91" s="442"/>
      <c r="AE91" s="434"/>
    </row>
    <row r="92" spans="1:42" ht="21" customHeight="1">
      <c r="A92" s="1302"/>
      <c r="B92" s="1299"/>
      <c r="C92" s="462" t="s">
        <v>544</v>
      </c>
      <c r="D92" s="435"/>
      <c r="E92" s="436"/>
      <c r="F92" s="436"/>
      <c r="G92" s="428">
        <f>R92</f>
        <v>10786690</v>
      </c>
      <c r="H92" s="445">
        <f>H83</f>
        <v>229504</v>
      </c>
      <c r="I92" s="445" t="s">
        <v>539</v>
      </c>
      <c r="J92" s="438" t="s">
        <v>540</v>
      </c>
      <c r="K92" s="445">
        <v>47</v>
      </c>
      <c r="L92" s="438" t="s">
        <v>541</v>
      </c>
      <c r="M92" s="438" t="s">
        <v>540</v>
      </c>
      <c r="N92" s="439">
        <v>1</v>
      </c>
      <c r="O92" s="438" t="s">
        <v>528</v>
      </c>
      <c r="P92" s="438" t="s">
        <v>543</v>
      </c>
      <c r="Q92" s="440"/>
      <c r="R92" s="441">
        <f>ROUND(H92*K92*N92,-1)</f>
        <v>10786690</v>
      </c>
      <c r="S92" s="442"/>
      <c r="T92" s="442"/>
      <c r="U92" s="442"/>
      <c r="V92" s="442"/>
      <c r="W92" s="442"/>
      <c r="X92" s="442"/>
      <c r="Y92" s="442"/>
      <c r="Z92" s="442"/>
      <c r="AA92" s="442"/>
      <c r="AB92" s="442"/>
      <c r="AC92" s="442"/>
      <c r="AD92" s="442"/>
      <c r="AE92" s="434"/>
    </row>
    <row r="93" spans="1:42" ht="15.75" customHeight="1">
      <c r="A93" s="1302"/>
      <c r="B93" s="1299"/>
      <c r="C93" s="427" t="s">
        <v>545</v>
      </c>
      <c r="D93" s="435"/>
      <c r="E93" s="436"/>
      <c r="F93" s="436"/>
      <c r="G93" s="428">
        <f>R93</f>
        <v>0</v>
      </c>
      <c r="H93" s="437"/>
      <c r="I93" s="437" t="s">
        <v>539</v>
      </c>
      <c r="J93" s="438" t="s">
        <v>540</v>
      </c>
      <c r="K93" s="437"/>
      <c r="L93" s="438" t="s">
        <v>541</v>
      </c>
      <c r="M93" s="438" t="s">
        <v>540</v>
      </c>
      <c r="N93" s="439">
        <v>1</v>
      </c>
      <c r="O93" s="438" t="s">
        <v>549</v>
      </c>
      <c r="P93" s="438" t="s">
        <v>543</v>
      </c>
      <c r="Q93" s="440"/>
      <c r="R93" s="441">
        <f>ROUND(H93*K93*N93,-1)</f>
        <v>0</v>
      </c>
      <c r="S93" s="442"/>
      <c r="T93" s="442"/>
      <c r="U93" s="442"/>
      <c r="V93" s="442"/>
      <c r="W93" s="442"/>
      <c r="X93" s="442"/>
      <c r="Y93" s="442"/>
      <c r="Z93" s="442"/>
      <c r="AA93" s="442"/>
      <c r="AB93" s="442"/>
      <c r="AC93" s="442"/>
      <c r="AD93" s="442"/>
      <c r="AE93" s="434"/>
    </row>
    <row r="94" spans="1:42" ht="15.75" hidden="1" customHeight="1">
      <c r="A94" s="1302"/>
      <c r="B94" s="1299" t="s">
        <v>548</v>
      </c>
      <c r="C94" s="427" t="s">
        <v>534</v>
      </c>
      <c r="D94" s="435"/>
      <c r="E94" s="436"/>
      <c r="F94" s="436"/>
      <c r="G94" s="428">
        <f>SUM(G95:G96)</f>
        <v>0</v>
      </c>
      <c r="H94" s="437"/>
      <c r="I94" s="437"/>
      <c r="J94" s="438"/>
      <c r="K94" s="437"/>
      <c r="L94" s="438"/>
      <c r="M94" s="438"/>
      <c r="N94" s="439"/>
      <c r="O94" s="438"/>
      <c r="P94" s="438"/>
      <c r="Q94" s="440"/>
      <c r="R94" s="441"/>
      <c r="S94" s="442"/>
      <c r="T94" s="442"/>
      <c r="U94" s="442"/>
      <c r="V94" s="442"/>
      <c r="W94" s="442"/>
      <c r="X94" s="442"/>
      <c r="Y94" s="442"/>
      <c r="Z94" s="442"/>
      <c r="AA94" s="442"/>
      <c r="AB94" s="442"/>
      <c r="AC94" s="442"/>
      <c r="AD94" s="442"/>
      <c r="AE94" s="434"/>
    </row>
    <row r="95" spans="1:42" ht="15.75" hidden="1" customHeight="1">
      <c r="A95" s="1302"/>
      <c r="B95" s="1299"/>
      <c r="C95" s="427" t="s">
        <v>548</v>
      </c>
      <c r="D95" s="435"/>
      <c r="E95" s="436"/>
      <c r="F95" s="436"/>
      <c r="G95" s="428">
        <f>R95</f>
        <v>0</v>
      </c>
      <c r="H95" s="437">
        <f>H86</f>
        <v>0</v>
      </c>
      <c r="I95" s="437" t="s">
        <v>539</v>
      </c>
      <c r="J95" s="438" t="s">
        <v>540</v>
      </c>
      <c r="K95" s="437">
        <v>51</v>
      </c>
      <c r="L95" s="438" t="s">
        <v>541</v>
      </c>
      <c r="M95" s="438" t="s">
        <v>540</v>
      </c>
      <c r="N95" s="439">
        <v>1</v>
      </c>
      <c r="O95" s="438" t="s">
        <v>546</v>
      </c>
      <c r="P95" s="438" t="s">
        <v>543</v>
      </c>
      <c r="Q95" s="440"/>
      <c r="R95" s="441">
        <f>ROUND(H95*K95*N95,-1)</f>
        <v>0</v>
      </c>
      <c r="S95" s="442"/>
      <c r="T95" s="442"/>
      <c r="U95" s="442"/>
      <c r="V95" s="442"/>
      <c r="W95" s="442"/>
      <c r="X95" s="442"/>
      <c r="Y95" s="442"/>
      <c r="Z95" s="442"/>
      <c r="AA95" s="442"/>
      <c r="AB95" s="442"/>
      <c r="AC95" s="442"/>
      <c r="AD95" s="442"/>
      <c r="AE95" s="434"/>
    </row>
    <row r="96" spans="1:42" ht="15.75" hidden="1" customHeight="1">
      <c r="A96" s="1302"/>
      <c r="B96" s="1299"/>
      <c r="C96" s="427" t="s">
        <v>547</v>
      </c>
      <c r="D96" s="435"/>
      <c r="E96" s="436"/>
      <c r="F96" s="436"/>
      <c r="G96" s="428">
        <f>R96</f>
        <v>0</v>
      </c>
      <c r="H96" s="437"/>
      <c r="I96" s="437" t="s">
        <v>539</v>
      </c>
      <c r="J96" s="438" t="s">
        <v>540</v>
      </c>
      <c r="K96" s="437"/>
      <c r="L96" s="438" t="s">
        <v>541</v>
      </c>
      <c r="M96" s="438" t="s">
        <v>540</v>
      </c>
      <c r="N96" s="439">
        <v>1</v>
      </c>
      <c r="O96" s="438" t="s">
        <v>549</v>
      </c>
      <c r="P96" s="438" t="s">
        <v>543</v>
      </c>
      <c r="Q96" s="440"/>
      <c r="R96" s="441">
        <f>H96*K96*N96</f>
        <v>0</v>
      </c>
      <c r="S96" s="442"/>
      <c r="T96" s="442"/>
      <c r="U96" s="442"/>
      <c r="V96" s="442"/>
      <c r="W96" s="442"/>
      <c r="X96" s="442"/>
      <c r="Y96" s="442"/>
      <c r="Z96" s="442"/>
      <c r="AA96" s="442"/>
      <c r="AB96" s="442"/>
      <c r="AC96" s="442"/>
      <c r="AD96" s="442"/>
      <c r="AE96" s="434"/>
    </row>
    <row r="97" spans="1:42" s="433" customFormat="1" ht="15.75" customHeight="1">
      <c r="A97" s="1303" t="s">
        <v>558</v>
      </c>
      <c r="B97" s="1299" t="s">
        <v>534</v>
      </c>
      <c r="C97" s="1299"/>
      <c r="D97" s="426"/>
      <c r="E97" s="427"/>
      <c r="F97" s="427"/>
      <c r="G97" s="428">
        <f>G98+G100+G102+G104</f>
        <v>12296850</v>
      </c>
      <c r="H97" s="429"/>
      <c r="I97" s="429"/>
      <c r="J97" s="429"/>
      <c r="K97" s="429"/>
      <c r="L97" s="429"/>
      <c r="M97" s="429"/>
      <c r="N97" s="429"/>
      <c r="O97" s="429"/>
      <c r="P97" s="429"/>
      <c r="Q97" s="429"/>
      <c r="R97" s="430"/>
      <c r="S97" s="426"/>
      <c r="T97" s="426"/>
      <c r="U97" s="426"/>
      <c r="V97" s="426"/>
      <c r="W97" s="426"/>
      <c r="X97" s="426"/>
      <c r="Y97" s="426"/>
      <c r="Z97" s="426"/>
      <c r="AA97" s="426"/>
      <c r="AB97" s="426"/>
      <c r="AC97" s="426"/>
      <c r="AD97" s="426"/>
      <c r="AE97" s="431" t="s">
        <v>926</v>
      </c>
      <c r="AF97" s="432"/>
      <c r="AG97" s="432"/>
      <c r="AH97" s="432"/>
      <c r="AI97" s="432"/>
      <c r="AJ97" s="432"/>
      <c r="AL97" s="432"/>
      <c r="AM97" s="432"/>
      <c r="AN97" s="432"/>
      <c r="AO97" s="432"/>
      <c r="AP97" s="432"/>
    </row>
    <row r="98" spans="1:42" s="433" customFormat="1" ht="15.75" customHeight="1">
      <c r="A98" s="1302"/>
      <c r="B98" s="1299" t="s">
        <v>535</v>
      </c>
      <c r="C98" s="427" t="s">
        <v>534</v>
      </c>
      <c r="D98" s="426"/>
      <c r="E98" s="427"/>
      <c r="F98" s="427"/>
      <c r="G98" s="428">
        <f>G99</f>
        <v>0</v>
      </c>
      <c r="H98" s="429"/>
      <c r="I98" s="429"/>
      <c r="J98" s="429"/>
      <c r="K98" s="429"/>
      <c r="L98" s="429"/>
      <c r="M98" s="429"/>
      <c r="N98" s="429"/>
      <c r="O98" s="429"/>
      <c r="P98" s="429"/>
      <c r="Q98" s="429"/>
      <c r="R98" s="430"/>
      <c r="S98" s="426"/>
      <c r="T98" s="426"/>
      <c r="U98" s="426"/>
      <c r="V98" s="426"/>
      <c r="W98" s="426"/>
      <c r="X98" s="426"/>
      <c r="Y98" s="426"/>
      <c r="Z98" s="426"/>
      <c r="AA98" s="426"/>
      <c r="AB98" s="426"/>
      <c r="AC98" s="426"/>
      <c r="AD98" s="426"/>
      <c r="AE98" s="434"/>
      <c r="AF98" s="432"/>
      <c r="AG98" s="432"/>
      <c r="AH98" s="432"/>
      <c r="AI98" s="432"/>
      <c r="AJ98" s="432"/>
      <c r="AL98" s="432"/>
      <c r="AM98" s="432"/>
      <c r="AN98" s="432"/>
      <c r="AO98" s="432"/>
      <c r="AP98" s="432"/>
    </row>
    <row r="99" spans="1:42" ht="15.75" customHeight="1">
      <c r="A99" s="1302"/>
      <c r="B99" s="1299"/>
      <c r="C99" s="427" t="s">
        <v>536</v>
      </c>
      <c r="D99" s="435"/>
      <c r="E99" s="436"/>
      <c r="F99" s="436"/>
      <c r="G99" s="428">
        <f>R99</f>
        <v>0</v>
      </c>
      <c r="H99" s="437"/>
      <c r="I99" s="437" t="s">
        <v>539</v>
      </c>
      <c r="J99" s="438" t="s">
        <v>540</v>
      </c>
      <c r="K99" s="437"/>
      <c r="L99" s="438" t="s">
        <v>541</v>
      </c>
      <c r="M99" s="438" t="s">
        <v>540</v>
      </c>
      <c r="N99" s="439"/>
      <c r="O99" s="438" t="s">
        <v>542</v>
      </c>
      <c r="P99" s="438" t="s">
        <v>543</v>
      </c>
      <c r="Q99" s="440"/>
      <c r="R99" s="441">
        <f>H99*K99*N99</f>
        <v>0</v>
      </c>
      <c r="S99" s="442"/>
      <c r="T99" s="442"/>
      <c r="U99" s="442"/>
      <c r="V99" s="442"/>
      <c r="W99" s="442"/>
      <c r="X99" s="442"/>
      <c r="Y99" s="442"/>
      <c r="Z99" s="442"/>
      <c r="AA99" s="442"/>
      <c r="AB99" s="442"/>
      <c r="AC99" s="442"/>
      <c r="AD99" s="442"/>
      <c r="AE99" s="434"/>
    </row>
    <row r="100" spans="1:42" ht="15.75" customHeight="1">
      <c r="A100" s="1302"/>
      <c r="B100" s="427" t="s">
        <v>534</v>
      </c>
      <c r="C100" s="427" t="s">
        <v>534</v>
      </c>
      <c r="D100" s="435"/>
      <c r="E100" s="436"/>
      <c r="F100" s="436"/>
      <c r="G100" s="428">
        <f>G101</f>
        <v>10786690</v>
      </c>
      <c r="H100" s="437"/>
      <c r="I100" s="437"/>
      <c r="J100" s="438"/>
      <c r="K100" s="437"/>
      <c r="L100" s="438"/>
      <c r="M100" s="438"/>
      <c r="N100" s="439"/>
      <c r="O100" s="438"/>
      <c r="P100" s="438"/>
      <c r="Q100" s="440"/>
      <c r="R100" s="441"/>
      <c r="S100" s="442"/>
      <c r="T100" s="442"/>
      <c r="U100" s="442"/>
      <c r="V100" s="442"/>
      <c r="W100" s="442"/>
      <c r="X100" s="442"/>
      <c r="Y100" s="442"/>
      <c r="Z100" s="442"/>
      <c r="AA100" s="442"/>
      <c r="AB100" s="442"/>
      <c r="AC100" s="442"/>
      <c r="AD100" s="442"/>
      <c r="AE100" s="434"/>
    </row>
    <row r="101" spans="1:42" ht="21" customHeight="1">
      <c r="A101" s="1302"/>
      <c r="B101" s="427" t="s">
        <v>544</v>
      </c>
      <c r="C101" s="462" t="s">
        <v>544</v>
      </c>
      <c r="D101" s="435"/>
      <c r="E101" s="436"/>
      <c r="F101" s="436"/>
      <c r="G101" s="428">
        <f>R101</f>
        <v>10786690</v>
      </c>
      <c r="H101" s="445">
        <f>H92</f>
        <v>229504</v>
      </c>
      <c r="I101" s="445" t="s">
        <v>539</v>
      </c>
      <c r="J101" s="438" t="s">
        <v>540</v>
      </c>
      <c r="K101" s="445">
        <v>47</v>
      </c>
      <c r="L101" s="438" t="s">
        <v>541</v>
      </c>
      <c r="M101" s="438" t="s">
        <v>540</v>
      </c>
      <c r="N101" s="439">
        <v>1</v>
      </c>
      <c r="O101" s="438" t="s">
        <v>528</v>
      </c>
      <c r="P101" s="438" t="s">
        <v>543</v>
      </c>
      <c r="Q101" s="440"/>
      <c r="R101" s="441">
        <f>ROUND(H101*K101*N101,-1)</f>
        <v>10786690</v>
      </c>
      <c r="S101" s="442"/>
      <c r="T101" s="442"/>
      <c r="U101" s="442"/>
      <c r="V101" s="442"/>
      <c r="W101" s="442"/>
      <c r="X101" s="442"/>
      <c r="Y101" s="442"/>
      <c r="Z101" s="442"/>
      <c r="AA101" s="442"/>
      <c r="AB101" s="442"/>
      <c r="AC101" s="442"/>
      <c r="AD101" s="442"/>
      <c r="AE101" s="434"/>
    </row>
    <row r="102" spans="1:42" ht="15.75" customHeight="1">
      <c r="A102" s="1302"/>
      <c r="B102" s="427" t="s">
        <v>534</v>
      </c>
      <c r="C102" s="427" t="s">
        <v>534</v>
      </c>
      <c r="D102" s="435"/>
      <c r="E102" s="436"/>
      <c r="F102" s="436"/>
      <c r="G102" s="428">
        <f>G103</f>
        <v>1510160</v>
      </c>
      <c r="H102" s="445"/>
      <c r="I102" s="445"/>
      <c r="J102" s="438"/>
      <c r="K102" s="445"/>
      <c r="L102" s="438"/>
      <c r="M102" s="438"/>
      <c r="N102" s="439"/>
      <c r="O102" s="438"/>
      <c r="P102" s="438"/>
      <c r="Q102" s="440"/>
      <c r="R102" s="441"/>
      <c r="S102" s="442"/>
      <c r="T102" s="442"/>
      <c r="U102" s="442"/>
      <c r="V102" s="442"/>
      <c r="W102" s="442"/>
      <c r="X102" s="442"/>
      <c r="Y102" s="442"/>
      <c r="Z102" s="442"/>
      <c r="AA102" s="442"/>
      <c r="AB102" s="442"/>
      <c r="AC102" s="442"/>
      <c r="AD102" s="442"/>
      <c r="AE102" s="434"/>
    </row>
    <row r="103" spans="1:42" ht="15.75" customHeight="1">
      <c r="A103" s="1302"/>
      <c r="B103" s="427" t="s">
        <v>545</v>
      </c>
      <c r="C103" s="427" t="s">
        <v>545</v>
      </c>
      <c r="D103" s="435"/>
      <c r="E103" s="436"/>
      <c r="F103" s="436"/>
      <c r="G103" s="428">
        <f>R103</f>
        <v>1510160</v>
      </c>
      <c r="H103" s="437">
        <f>H12</f>
        <v>32131</v>
      </c>
      <c r="I103" s="437" t="s">
        <v>539</v>
      </c>
      <c r="J103" s="438" t="s">
        <v>540</v>
      </c>
      <c r="K103" s="437">
        <v>47</v>
      </c>
      <c r="L103" s="438" t="s">
        <v>541</v>
      </c>
      <c r="M103" s="438" t="s">
        <v>540</v>
      </c>
      <c r="N103" s="439">
        <v>1</v>
      </c>
      <c r="O103" s="438" t="s">
        <v>549</v>
      </c>
      <c r="P103" s="438" t="s">
        <v>543</v>
      </c>
      <c r="Q103" s="440"/>
      <c r="R103" s="441">
        <f>ROUND(H103*K103*N103,-1)</f>
        <v>1510160</v>
      </c>
      <c r="S103" s="442"/>
      <c r="T103" s="442"/>
      <c r="U103" s="442"/>
      <c r="V103" s="442"/>
      <c r="W103" s="442"/>
      <c r="X103" s="442"/>
      <c r="Y103" s="442"/>
      <c r="Z103" s="442"/>
      <c r="AA103" s="442"/>
      <c r="AB103" s="442"/>
      <c r="AC103" s="442"/>
      <c r="AD103" s="442"/>
      <c r="AE103" s="434" t="s">
        <v>559</v>
      </c>
    </row>
    <row r="104" spans="1:42" ht="15.75" hidden="1" customHeight="1">
      <c r="A104" s="1302"/>
      <c r="B104" s="1299" t="s">
        <v>548</v>
      </c>
      <c r="C104" s="427" t="s">
        <v>534</v>
      </c>
      <c r="D104" s="435"/>
      <c r="E104" s="436"/>
      <c r="F104" s="436"/>
      <c r="G104" s="428">
        <f>SUM(G105:G106)</f>
        <v>0</v>
      </c>
      <c r="H104" s="437"/>
      <c r="I104" s="437"/>
      <c r="J104" s="438"/>
      <c r="K104" s="437"/>
      <c r="L104" s="438"/>
      <c r="M104" s="438"/>
      <c r="N104" s="439"/>
      <c r="O104" s="438"/>
      <c r="P104" s="438"/>
      <c r="Q104" s="440"/>
      <c r="R104" s="441"/>
      <c r="S104" s="442"/>
      <c r="T104" s="442"/>
      <c r="U104" s="442"/>
      <c r="V104" s="442"/>
      <c r="W104" s="442"/>
      <c r="X104" s="442"/>
      <c r="Y104" s="442"/>
      <c r="Z104" s="442"/>
      <c r="AA104" s="442"/>
      <c r="AB104" s="442"/>
      <c r="AC104" s="442"/>
      <c r="AD104" s="442"/>
      <c r="AE104" s="434"/>
    </row>
    <row r="105" spans="1:42" ht="15.75" hidden="1" customHeight="1">
      <c r="A105" s="1302"/>
      <c r="B105" s="1299"/>
      <c r="C105" s="427" t="s">
        <v>548</v>
      </c>
      <c r="D105" s="435"/>
      <c r="E105" s="436"/>
      <c r="F105" s="436"/>
      <c r="G105" s="428">
        <f>R105</f>
        <v>0</v>
      </c>
      <c r="H105" s="437">
        <f>H95</f>
        <v>0</v>
      </c>
      <c r="I105" s="437" t="s">
        <v>539</v>
      </c>
      <c r="J105" s="438" t="s">
        <v>540</v>
      </c>
      <c r="K105" s="437">
        <v>51</v>
      </c>
      <c r="L105" s="438" t="s">
        <v>541</v>
      </c>
      <c r="M105" s="438" t="s">
        <v>540</v>
      </c>
      <c r="N105" s="439">
        <v>1</v>
      </c>
      <c r="O105" s="438" t="s">
        <v>546</v>
      </c>
      <c r="P105" s="438" t="s">
        <v>543</v>
      </c>
      <c r="Q105" s="440"/>
      <c r="R105" s="441">
        <f>ROUND(H105*K105*N105,-1)</f>
        <v>0</v>
      </c>
      <c r="S105" s="442"/>
      <c r="T105" s="442"/>
      <c r="U105" s="442"/>
      <c r="V105" s="442"/>
      <c r="W105" s="442"/>
      <c r="X105" s="442"/>
      <c r="Y105" s="442"/>
      <c r="Z105" s="442"/>
      <c r="AA105" s="442"/>
      <c r="AB105" s="442"/>
      <c r="AC105" s="442"/>
      <c r="AD105" s="442"/>
      <c r="AE105" s="434"/>
    </row>
    <row r="106" spans="1:42" ht="15.75" hidden="1" customHeight="1">
      <c r="A106" s="1302"/>
      <c r="B106" s="1299"/>
      <c r="C106" s="427" t="s">
        <v>547</v>
      </c>
      <c r="D106" s="435"/>
      <c r="E106" s="436"/>
      <c r="F106" s="436"/>
      <c r="G106" s="428">
        <f>R106</f>
        <v>0</v>
      </c>
      <c r="H106" s="437"/>
      <c r="I106" s="437" t="s">
        <v>539</v>
      </c>
      <c r="J106" s="438" t="s">
        <v>540</v>
      </c>
      <c r="K106" s="437">
        <v>51</v>
      </c>
      <c r="L106" s="438" t="s">
        <v>541</v>
      </c>
      <c r="M106" s="438" t="s">
        <v>540</v>
      </c>
      <c r="N106" s="439">
        <v>1</v>
      </c>
      <c r="O106" s="438" t="s">
        <v>549</v>
      </c>
      <c r="P106" s="438" t="s">
        <v>543</v>
      </c>
      <c r="Q106" s="440"/>
      <c r="R106" s="441">
        <f>H106*K106*N106</f>
        <v>0</v>
      </c>
      <c r="S106" s="442"/>
      <c r="T106" s="442"/>
      <c r="U106" s="442"/>
      <c r="V106" s="442"/>
      <c r="W106" s="442"/>
      <c r="X106" s="442"/>
      <c r="Y106" s="442"/>
      <c r="Z106" s="442"/>
      <c r="AA106" s="442"/>
      <c r="AB106" s="442"/>
      <c r="AC106" s="442"/>
      <c r="AD106" s="442"/>
      <c r="AE106" s="434" t="s">
        <v>560</v>
      </c>
    </row>
    <row r="107" spans="1:42" s="433" customFormat="1" ht="15.75" customHeight="1">
      <c r="A107" s="1303" t="s">
        <v>561</v>
      </c>
      <c r="B107" s="1299" t="s">
        <v>562</v>
      </c>
      <c r="C107" s="1299"/>
      <c r="D107" s="426"/>
      <c r="E107" s="427"/>
      <c r="F107" s="427"/>
      <c r="G107" s="428">
        <f>G108+G110+G113</f>
        <v>10786690</v>
      </c>
      <c r="H107" s="429"/>
      <c r="I107" s="429"/>
      <c r="J107" s="429"/>
      <c r="K107" s="429"/>
      <c r="L107" s="429"/>
      <c r="M107" s="429"/>
      <c r="N107" s="429"/>
      <c r="O107" s="429"/>
      <c r="P107" s="429"/>
      <c r="Q107" s="429"/>
      <c r="R107" s="430"/>
      <c r="S107" s="426"/>
      <c r="T107" s="426"/>
      <c r="U107" s="426"/>
      <c r="V107" s="426"/>
      <c r="W107" s="426"/>
      <c r="X107" s="426"/>
      <c r="Y107" s="426"/>
      <c r="Z107" s="426"/>
      <c r="AA107" s="426"/>
      <c r="AB107" s="426"/>
      <c r="AC107" s="426"/>
      <c r="AD107" s="426"/>
      <c r="AE107" s="431" t="s">
        <v>926</v>
      </c>
      <c r="AF107" s="432"/>
      <c r="AG107" s="432"/>
      <c r="AH107" s="432"/>
      <c r="AI107" s="432"/>
      <c r="AJ107" s="432"/>
      <c r="AL107" s="432"/>
      <c r="AM107" s="432"/>
      <c r="AN107" s="432"/>
      <c r="AO107" s="432"/>
      <c r="AP107" s="432"/>
    </row>
    <row r="108" spans="1:42" s="433" customFormat="1" ht="15.75" customHeight="1">
      <c r="A108" s="1302"/>
      <c r="B108" s="1299" t="s">
        <v>563</v>
      </c>
      <c r="C108" s="427" t="s">
        <v>562</v>
      </c>
      <c r="D108" s="426"/>
      <c r="E108" s="427"/>
      <c r="F108" s="427"/>
      <c r="G108" s="428">
        <f>G109</f>
        <v>0</v>
      </c>
      <c r="H108" s="429"/>
      <c r="I108" s="429"/>
      <c r="J108" s="429"/>
      <c r="K108" s="429"/>
      <c r="L108" s="429"/>
      <c r="M108" s="429"/>
      <c r="N108" s="429"/>
      <c r="O108" s="429"/>
      <c r="P108" s="429"/>
      <c r="Q108" s="429"/>
      <c r="R108" s="430"/>
      <c r="S108" s="426"/>
      <c r="T108" s="426"/>
      <c r="U108" s="426"/>
      <c r="V108" s="426"/>
      <c r="W108" s="426"/>
      <c r="X108" s="426"/>
      <c r="Y108" s="426"/>
      <c r="Z108" s="426"/>
      <c r="AA108" s="426"/>
      <c r="AB108" s="426"/>
      <c r="AC108" s="426"/>
      <c r="AD108" s="426"/>
      <c r="AE108" s="434"/>
      <c r="AF108" s="432"/>
      <c r="AG108" s="432"/>
      <c r="AH108" s="432"/>
      <c r="AI108" s="432"/>
      <c r="AJ108" s="432"/>
      <c r="AL108" s="432"/>
      <c r="AM108" s="432"/>
      <c r="AN108" s="432"/>
      <c r="AO108" s="432"/>
      <c r="AP108" s="432"/>
    </row>
    <row r="109" spans="1:42" ht="15.75" customHeight="1">
      <c r="A109" s="1302"/>
      <c r="B109" s="1299"/>
      <c r="C109" s="427" t="s">
        <v>564</v>
      </c>
      <c r="D109" s="435"/>
      <c r="E109" s="436"/>
      <c r="F109" s="436"/>
      <c r="G109" s="428">
        <f>R109</f>
        <v>0</v>
      </c>
      <c r="H109" s="437"/>
      <c r="I109" s="437" t="s">
        <v>565</v>
      </c>
      <c r="J109" s="438" t="s">
        <v>566</v>
      </c>
      <c r="K109" s="437"/>
      <c r="L109" s="438" t="s">
        <v>567</v>
      </c>
      <c r="M109" s="438" t="s">
        <v>566</v>
      </c>
      <c r="N109" s="439">
        <v>1</v>
      </c>
      <c r="O109" s="438" t="s">
        <v>568</v>
      </c>
      <c r="P109" s="438" t="s">
        <v>569</v>
      </c>
      <c r="Q109" s="440"/>
      <c r="R109" s="441">
        <f>H109*K109*N109</f>
        <v>0</v>
      </c>
      <c r="S109" s="442"/>
      <c r="T109" s="442"/>
      <c r="U109" s="442"/>
      <c r="V109" s="442"/>
      <c r="W109" s="442"/>
      <c r="X109" s="442"/>
      <c r="Y109" s="442"/>
      <c r="Z109" s="442"/>
      <c r="AA109" s="442"/>
      <c r="AB109" s="442"/>
      <c r="AC109" s="442"/>
      <c r="AD109" s="442"/>
      <c r="AE109" s="434"/>
    </row>
    <row r="110" spans="1:42" ht="15.75" customHeight="1">
      <c r="A110" s="1302"/>
      <c r="B110" s="1299" t="s">
        <v>570</v>
      </c>
      <c r="C110" s="427" t="s">
        <v>562</v>
      </c>
      <c r="D110" s="435"/>
      <c r="E110" s="436"/>
      <c r="F110" s="436"/>
      <c r="G110" s="428">
        <f>SUM(G111:G112)</f>
        <v>10786690</v>
      </c>
      <c r="H110" s="437"/>
      <c r="I110" s="437"/>
      <c r="J110" s="438"/>
      <c r="K110" s="437"/>
      <c r="L110" s="438"/>
      <c r="M110" s="438"/>
      <c r="N110" s="439"/>
      <c r="O110" s="438"/>
      <c r="P110" s="438"/>
      <c r="Q110" s="440"/>
      <c r="R110" s="441"/>
      <c r="S110" s="442"/>
      <c r="T110" s="442"/>
      <c r="U110" s="442"/>
      <c r="V110" s="442"/>
      <c r="W110" s="442"/>
      <c r="X110" s="442"/>
      <c r="Y110" s="442"/>
      <c r="Z110" s="442"/>
      <c r="AA110" s="442"/>
      <c r="AB110" s="442"/>
      <c r="AC110" s="442"/>
      <c r="AD110" s="442"/>
      <c r="AE110" s="434"/>
    </row>
    <row r="111" spans="1:42" ht="21" customHeight="1">
      <c r="A111" s="1302"/>
      <c r="B111" s="1299"/>
      <c r="C111" s="462" t="s">
        <v>544</v>
      </c>
      <c r="D111" s="435"/>
      <c r="E111" s="436"/>
      <c r="F111" s="436"/>
      <c r="G111" s="428">
        <f>R111</f>
        <v>10786690</v>
      </c>
      <c r="H111" s="445">
        <f>H101</f>
        <v>229504</v>
      </c>
      <c r="I111" s="445" t="s">
        <v>565</v>
      </c>
      <c r="J111" s="438" t="s">
        <v>566</v>
      </c>
      <c r="K111" s="445">
        <v>47</v>
      </c>
      <c r="L111" s="438" t="s">
        <v>567</v>
      </c>
      <c r="M111" s="438" t="s">
        <v>566</v>
      </c>
      <c r="N111" s="439">
        <v>1</v>
      </c>
      <c r="O111" s="438" t="s">
        <v>571</v>
      </c>
      <c r="P111" s="438" t="s">
        <v>569</v>
      </c>
      <c r="Q111" s="440"/>
      <c r="R111" s="441">
        <f>ROUND(H111*K111*N111,-1)</f>
        <v>10786690</v>
      </c>
      <c r="S111" s="442"/>
      <c r="T111" s="442"/>
      <c r="U111" s="442"/>
      <c r="V111" s="442"/>
      <c r="W111" s="442"/>
      <c r="X111" s="442"/>
      <c r="Y111" s="442"/>
      <c r="Z111" s="442"/>
      <c r="AA111" s="442"/>
      <c r="AB111" s="442"/>
      <c r="AC111" s="442"/>
      <c r="AD111" s="442"/>
      <c r="AE111" s="434"/>
    </row>
    <row r="112" spans="1:42" ht="15.75" customHeight="1">
      <c r="A112" s="1302"/>
      <c r="B112" s="1299"/>
      <c r="C112" s="427" t="s">
        <v>572</v>
      </c>
      <c r="D112" s="435"/>
      <c r="E112" s="436"/>
      <c r="F112" s="436"/>
      <c r="G112" s="428">
        <f>R112</f>
        <v>0</v>
      </c>
      <c r="H112" s="437"/>
      <c r="I112" s="437" t="s">
        <v>565</v>
      </c>
      <c r="J112" s="438" t="s">
        <v>566</v>
      </c>
      <c r="K112" s="437"/>
      <c r="L112" s="438" t="s">
        <v>567</v>
      </c>
      <c r="M112" s="438" t="s">
        <v>566</v>
      </c>
      <c r="N112" s="439">
        <v>1</v>
      </c>
      <c r="O112" s="438" t="s">
        <v>573</v>
      </c>
      <c r="P112" s="438" t="s">
        <v>569</v>
      </c>
      <c r="Q112" s="440"/>
      <c r="R112" s="441">
        <f>ROUND(H112*K112*N112,-1)</f>
        <v>0</v>
      </c>
      <c r="S112" s="442"/>
      <c r="T112" s="442"/>
      <c r="U112" s="442"/>
      <c r="V112" s="442"/>
      <c r="W112" s="442"/>
      <c r="X112" s="442"/>
      <c r="Y112" s="442"/>
      <c r="Z112" s="442"/>
      <c r="AA112" s="442"/>
      <c r="AB112" s="442"/>
      <c r="AC112" s="442"/>
      <c r="AD112" s="442"/>
      <c r="AE112" s="434"/>
    </row>
    <row r="113" spans="1:42" ht="15.75" hidden="1" customHeight="1">
      <c r="A113" s="1302"/>
      <c r="B113" s="1299" t="s">
        <v>574</v>
      </c>
      <c r="C113" s="427" t="s">
        <v>562</v>
      </c>
      <c r="D113" s="435"/>
      <c r="E113" s="436"/>
      <c r="F113" s="436"/>
      <c r="G113" s="428">
        <f>SUM(G114:G115)</f>
        <v>0</v>
      </c>
      <c r="H113" s="437"/>
      <c r="I113" s="437"/>
      <c r="J113" s="438"/>
      <c r="K113" s="437"/>
      <c r="L113" s="438"/>
      <c r="M113" s="438"/>
      <c r="N113" s="439"/>
      <c r="O113" s="438"/>
      <c r="P113" s="438"/>
      <c r="Q113" s="440"/>
      <c r="R113" s="441"/>
      <c r="S113" s="442"/>
      <c r="T113" s="442"/>
      <c r="U113" s="442"/>
      <c r="V113" s="442"/>
      <c r="W113" s="442"/>
      <c r="X113" s="442"/>
      <c r="Y113" s="442"/>
      <c r="Z113" s="442"/>
      <c r="AA113" s="442"/>
      <c r="AB113" s="442"/>
      <c r="AC113" s="442"/>
      <c r="AD113" s="442"/>
      <c r="AE113" s="434"/>
    </row>
    <row r="114" spans="1:42" ht="15.75" hidden="1" customHeight="1">
      <c r="A114" s="1302"/>
      <c r="B114" s="1299"/>
      <c r="C114" s="427" t="s">
        <v>574</v>
      </c>
      <c r="D114" s="435"/>
      <c r="E114" s="436"/>
      <c r="F114" s="436"/>
      <c r="G114" s="428">
        <f>R114</f>
        <v>0</v>
      </c>
      <c r="H114" s="437">
        <f>H105</f>
        <v>0</v>
      </c>
      <c r="I114" s="437" t="s">
        <v>565</v>
      </c>
      <c r="J114" s="438" t="s">
        <v>566</v>
      </c>
      <c r="K114" s="437">
        <v>51</v>
      </c>
      <c r="L114" s="438" t="s">
        <v>567</v>
      </c>
      <c r="M114" s="438" t="s">
        <v>566</v>
      </c>
      <c r="N114" s="439">
        <v>1</v>
      </c>
      <c r="O114" s="438" t="s">
        <v>575</v>
      </c>
      <c r="P114" s="438" t="s">
        <v>569</v>
      </c>
      <c r="Q114" s="440"/>
      <c r="R114" s="441">
        <f>ROUND(H114*K114*N114,-1)</f>
        <v>0</v>
      </c>
      <c r="S114" s="442"/>
      <c r="T114" s="442"/>
      <c r="U114" s="442"/>
      <c r="V114" s="442"/>
      <c r="W114" s="442"/>
      <c r="X114" s="442"/>
      <c r="Y114" s="442"/>
      <c r="Z114" s="442"/>
      <c r="AA114" s="442"/>
      <c r="AB114" s="442"/>
      <c r="AC114" s="442"/>
      <c r="AD114" s="442"/>
      <c r="AE114" s="434"/>
    </row>
    <row r="115" spans="1:42" ht="15.75" hidden="1" customHeight="1">
      <c r="A115" s="1302"/>
      <c r="B115" s="1299"/>
      <c r="C115" s="427" t="s">
        <v>576</v>
      </c>
      <c r="D115" s="435"/>
      <c r="E115" s="436"/>
      <c r="F115" s="436"/>
      <c r="G115" s="428">
        <f>R115</f>
        <v>0</v>
      </c>
      <c r="H115" s="437"/>
      <c r="I115" s="437" t="s">
        <v>565</v>
      </c>
      <c r="J115" s="438" t="s">
        <v>566</v>
      </c>
      <c r="K115" s="437"/>
      <c r="L115" s="438" t="s">
        <v>567</v>
      </c>
      <c r="M115" s="438" t="s">
        <v>566</v>
      </c>
      <c r="N115" s="439">
        <v>1</v>
      </c>
      <c r="O115" s="438" t="s">
        <v>573</v>
      </c>
      <c r="P115" s="438" t="s">
        <v>569</v>
      </c>
      <c r="Q115" s="440"/>
      <c r="R115" s="441">
        <f>H115*K115*N115</f>
        <v>0</v>
      </c>
      <c r="S115" s="442"/>
      <c r="T115" s="442"/>
      <c r="U115" s="442"/>
      <c r="V115" s="442"/>
      <c r="W115" s="442"/>
      <c r="X115" s="442"/>
      <c r="Y115" s="442"/>
      <c r="Z115" s="442"/>
      <c r="AA115" s="442"/>
      <c r="AB115" s="442"/>
      <c r="AC115" s="442"/>
      <c r="AD115" s="442"/>
      <c r="AE115" s="434"/>
    </row>
    <row r="116" spans="1:42" s="433" customFormat="1" ht="15.75" customHeight="1">
      <c r="A116" s="1303" t="s">
        <v>577</v>
      </c>
      <c r="B116" s="1299" t="s">
        <v>562</v>
      </c>
      <c r="C116" s="1299"/>
      <c r="D116" s="426"/>
      <c r="E116" s="427"/>
      <c r="F116" s="427"/>
      <c r="G116" s="428">
        <f>G117+G119+G122</f>
        <v>10786690</v>
      </c>
      <c r="H116" s="429"/>
      <c r="I116" s="429"/>
      <c r="J116" s="429"/>
      <c r="K116" s="429"/>
      <c r="L116" s="429"/>
      <c r="M116" s="429"/>
      <c r="N116" s="429"/>
      <c r="O116" s="429"/>
      <c r="P116" s="429"/>
      <c r="Q116" s="429"/>
      <c r="R116" s="430"/>
      <c r="S116" s="426"/>
      <c r="T116" s="426"/>
      <c r="U116" s="426"/>
      <c r="V116" s="426"/>
      <c r="W116" s="426"/>
      <c r="X116" s="426"/>
      <c r="Y116" s="426"/>
      <c r="Z116" s="426"/>
      <c r="AA116" s="426"/>
      <c r="AB116" s="426"/>
      <c r="AC116" s="426"/>
      <c r="AD116" s="426"/>
      <c r="AE116" s="431" t="s">
        <v>925</v>
      </c>
      <c r="AF116" s="432"/>
      <c r="AG116" s="432"/>
      <c r="AH116" s="432"/>
      <c r="AI116" s="432"/>
      <c r="AJ116" s="432"/>
      <c r="AL116" s="432"/>
      <c r="AM116" s="432"/>
      <c r="AN116" s="432"/>
      <c r="AO116" s="432"/>
      <c r="AP116" s="432"/>
    </row>
    <row r="117" spans="1:42" s="433" customFormat="1" ht="15.75" customHeight="1">
      <c r="A117" s="1302"/>
      <c r="B117" s="1299" t="s">
        <v>563</v>
      </c>
      <c r="C117" s="427" t="s">
        <v>562</v>
      </c>
      <c r="D117" s="426"/>
      <c r="E117" s="427"/>
      <c r="F117" s="427"/>
      <c r="G117" s="428">
        <f>G118</f>
        <v>0</v>
      </c>
      <c r="H117" s="429"/>
      <c r="I117" s="429"/>
      <c r="J117" s="429"/>
      <c r="K117" s="429"/>
      <c r="L117" s="429"/>
      <c r="M117" s="429"/>
      <c r="N117" s="429"/>
      <c r="O117" s="429"/>
      <c r="P117" s="429"/>
      <c r="Q117" s="429"/>
      <c r="R117" s="430"/>
      <c r="S117" s="426"/>
      <c r="T117" s="426"/>
      <c r="U117" s="426"/>
      <c r="V117" s="426"/>
      <c r="W117" s="426"/>
      <c r="X117" s="426"/>
      <c r="Y117" s="426"/>
      <c r="Z117" s="426"/>
      <c r="AA117" s="426"/>
      <c r="AB117" s="426"/>
      <c r="AC117" s="426"/>
      <c r="AD117" s="426"/>
      <c r="AE117" s="434"/>
      <c r="AF117" s="432"/>
      <c r="AG117" s="432"/>
      <c r="AH117" s="432"/>
      <c r="AI117" s="432"/>
      <c r="AJ117" s="432"/>
      <c r="AL117" s="432"/>
      <c r="AM117" s="432"/>
      <c r="AN117" s="432"/>
      <c r="AO117" s="432"/>
      <c r="AP117" s="432"/>
    </row>
    <row r="118" spans="1:42" ht="15.75" customHeight="1">
      <c r="A118" s="1302"/>
      <c r="B118" s="1299"/>
      <c r="C118" s="427" t="s">
        <v>564</v>
      </c>
      <c r="D118" s="435"/>
      <c r="E118" s="436"/>
      <c r="F118" s="436"/>
      <c r="G118" s="428">
        <f>R118</f>
        <v>0</v>
      </c>
      <c r="H118" s="437"/>
      <c r="I118" s="437" t="s">
        <v>565</v>
      </c>
      <c r="J118" s="438" t="s">
        <v>566</v>
      </c>
      <c r="K118" s="437"/>
      <c r="L118" s="438" t="s">
        <v>567</v>
      </c>
      <c r="M118" s="438" t="s">
        <v>566</v>
      </c>
      <c r="N118" s="439">
        <v>1</v>
      </c>
      <c r="O118" s="438" t="s">
        <v>568</v>
      </c>
      <c r="P118" s="438" t="s">
        <v>569</v>
      </c>
      <c r="Q118" s="440"/>
      <c r="R118" s="441">
        <f>H118*K118*N118</f>
        <v>0</v>
      </c>
      <c r="S118" s="442"/>
      <c r="T118" s="442"/>
      <c r="U118" s="442"/>
      <c r="V118" s="442"/>
      <c r="W118" s="442"/>
      <c r="X118" s="442"/>
      <c r="Y118" s="442"/>
      <c r="Z118" s="442"/>
      <c r="AA118" s="442"/>
      <c r="AB118" s="442"/>
      <c r="AC118" s="442"/>
      <c r="AD118" s="442"/>
      <c r="AE118" s="434"/>
    </row>
    <row r="119" spans="1:42" ht="15.75" customHeight="1">
      <c r="A119" s="1302"/>
      <c r="B119" s="1299" t="s">
        <v>570</v>
      </c>
      <c r="C119" s="427" t="s">
        <v>562</v>
      </c>
      <c r="D119" s="435"/>
      <c r="E119" s="436"/>
      <c r="F119" s="436"/>
      <c r="G119" s="428">
        <f>SUM(G120:G121)</f>
        <v>10786690</v>
      </c>
      <c r="H119" s="437"/>
      <c r="I119" s="437"/>
      <c r="J119" s="438"/>
      <c r="K119" s="437"/>
      <c r="L119" s="438"/>
      <c r="M119" s="438"/>
      <c r="N119" s="439"/>
      <c r="O119" s="438"/>
      <c r="P119" s="438"/>
      <c r="Q119" s="440"/>
      <c r="R119" s="441"/>
      <c r="S119" s="442"/>
      <c r="T119" s="442"/>
      <c r="U119" s="442"/>
      <c r="V119" s="442"/>
      <c r="W119" s="442"/>
      <c r="X119" s="442"/>
      <c r="Y119" s="442"/>
      <c r="Z119" s="442"/>
      <c r="AA119" s="442"/>
      <c r="AB119" s="442"/>
      <c r="AC119" s="442"/>
      <c r="AD119" s="442"/>
      <c r="AE119" s="434"/>
    </row>
    <row r="120" spans="1:42" ht="21" customHeight="1">
      <c r="A120" s="1302"/>
      <c r="B120" s="1299"/>
      <c r="C120" s="462" t="s">
        <v>544</v>
      </c>
      <c r="D120" s="435"/>
      <c r="E120" s="436"/>
      <c r="F120" s="436"/>
      <c r="G120" s="428">
        <f>R120</f>
        <v>10786690</v>
      </c>
      <c r="H120" s="445">
        <f>H111</f>
        <v>229504</v>
      </c>
      <c r="I120" s="445" t="s">
        <v>565</v>
      </c>
      <c r="J120" s="438" t="s">
        <v>566</v>
      </c>
      <c r="K120" s="445">
        <v>47</v>
      </c>
      <c r="L120" s="438" t="s">
        <v>567</v>
      </c>
      <c r="M120" s="438" t="s">
        <v>566</v>
      </c>
      <c r="N120" s="439">
        <v>1</v>
      </c>
      <c r="O120" s="438" t="s">
        <v>571</v>
      </c>
      <c r="P120" s="438" t="s">
        <v>569</v>
      </c>
      <c r="Q120" s="440"/>
      <c r="R120" s="441">
        <f>ROUND(H120*K120*N120,-1)</f>
        <v>10786690</v>
      </c>
      <c r="S120" s="442"/>
      <c r="T120" s="442"/>
      <c r="U120" s="442"/>
      <c r="V120" s="442"/>
      <c r="W120" s="442"/>
      <c r="X120" s="442"/>
      <c r="Y120" s="442"/>
      <c r="Z120" s="442"/>
      <c r="AA120" s="442"/>
      <c r="AB120" s="442"/>
      <c r="AC120" s="442"/>
      <c r="AD120" s="442"/>
      <c r="AE120" s="434"/>
    </row>
    <row r="121" spans="1:42" ht="15.75" customHeight="1">
      <c r="A121" s="1302"/>
      <c r="B121" s="1299"/>
      <c r="C121" s="427" t="s">
        <v>572</v>
      </c>
      <c r="D121" s="435"/>
      <c r="E121" s="436"/>
      <c r="F121" s="436"/>
      <c r="G121" s="428">
        <f>R121</f>
        <v>0</v>
      </c>
      <c r="H121" s="437"/>
      <c r="I121" s="437" t="s">
        <v>565</v>
      </c>
      <c r="J121" s="438" t="s">
        <v>566</v>
      </c>
      <c r="K121" s="437"/>
      <c r="L121" s="438" t="s">
        <v>567</v>
      </c>
      <c r="M121" s="438" t="s">
        <v>566</v>
      </c>
      <c r="N121" s="439">
        <v>1</v>
      </c>
      <c r="O121" s="438" t="s">
        <v>573</v>
      </c>
      <c r="P121" s="438" t="s">
        <v>569</v>
      </c>
      <c r="Q121" s="440"/>
      <c r="R121" s="441">
        <f>ROUND(H121*K121*N121,-1)</f>
        <v>0</v>
      </c>
      <c r="S121" s="442"/>
      <c r="T121" s="442"/>
      <c r="U121" s="442"/>
      <c r="V121" s="442"/>
      <c r="W121" s="442"/>
      <c r="X121" s="442"/>
      <c r="Y121" s="442"/>
      <c r="Z121" s="442"/>
      <c r="AA121" s="442"/>
      <c r="AB121" s="442"/>
      <c r="AC121" s="442"/>
      <c r="AD121" s="442"/>
      <c r="AE121" s="434"/>
    </row>
    <row r="122" spans="1:42" ht="15.75" hidden="1" customHeight="1">
      <c r="A122" s="1302"/>
      <c r="B122" s="1299"/>
      <c r="C122" s="427"/>
      <c r="D122" s="435"/>
      <c r="E122" s="436"/>
      <c r="F122" s="436"/>
      <c r="G122" s="428"/>
      <c r="H122" s="437"/>
      <c r="I122" s="437"/>
      <c r="J122" s="438"/>
      <c r="K122" s="437"/>
      <c r="L122" s="438"/>
      <c r="M122" s="438"/>
      <c r="N122" s="439"/>
      <c r="O122" s="438"/>
      <c r="P122" s="438"/>
      <c r="Q122" s="440"/>
      <c r="R122" s="441"/>
      <c r="S122" s="442"/>
      <c r="T122" s="442"/>
      <c r="U122" s="442"/>
      <c r="V122" s="442"/>
      <c r="W122" s="442"/>
      <c r="X122" s="442"/>
      <c r="Y122" s="442"/>
      <c r="Z122" s="442"/>
      <c r="AA122" s="442"/>
      <c r="AB122" s="442"/>
      <c r="AC122" s="442"/>
      <c r="AD122" s="442"/>
      <c r="AE122" s="434"/>
    </row>
    <row r="123" spans="1:42" ht="15.75" hidden="1" customHeight="1">
      <c r="A123" s="1302"/>
      <c r="B123" s="1299"/>
      <c r="C123" s="427"/>
      <c r="D123" s="435"/>
      <c r="E123" s="436"/>
      <c r="F123" s="436"/>
      <c r="G123" s="428"/>
      <c r="H123" s="437"/>
      <c r="I123" s="437"/>
      <c r="J123" s="438"/>
      <c r="K123" s="437"/>
      <c r="L123" s="438"/>
      <c r="M123" s="438"/>
      <c r="N123" s="439"/>
      <c r="O123" s="438"/>
      <c r="P123" s="438"/>
      <c r="Q123" s="440"/>
      <c r="R123" s="441"/>
      <c r="S123" s="442"/>
      <c r="T123" s="442"/>
      <c r="U123" s="442"/>
      <c r="V123" s="442"/>
      <c r="W123" s="442"/>
      <c r="X123" s="442"/>
      <c r="Y123" s="442"/>
      <c r="Z123" s="442"/>
      <c r="AA123" s="442"/>
      <c r="AB123" s="442"/>
      <c r="AC123" s="442"/>
      <c r="AD123" s="442"/>
      <c r="AE123" s="434"/>
    </row>
    <row r="124" spans="1:42" ht="15.75" customHeight="1" thickBot="1">
      <c r="A124" s="1304"/>
      <c r="B124" s="1305"/>
      <c r="C124" s="466"/>
      <c r="D124" s="467"/>
      <c r="E124" s="468"/>
      <c r="F124" s="468"/>
      <c r="G124" s="469"/>
      <c r="H124" s="470"/>
      <c r="I124" s="470"/>
      <c r="J124" s="471"/>
      <c r="K124" s="470"/>
      <c r="L124" s="471"/>
      <c r="M124" s="471"/>
      <c r="N124" s="472"/>
      <c r="O124" s="471"/>
      <c r="P124" s="471"/>
      <c r="Q124" s="473"/>
      <c r="R124" s="474"/>
      <c r="S124" s="463"/>
      <c r="T124" s="463"/>
      <c r="U124" s="463"/>
      <c r="V124" s="463"/>
      <c r="W124" s="463"/>
      <c r="X124" s="463"/>
      <c r="Y124" s="463"/>
      <c r="Z124" s="463"/>
      <c r="AA124" s="463"/>
      <c r="AB124" s="463"/>
      <c r="AC124" s="463"/>
      <c r="AD124" s="463"/>
      <c r="AE124" s="464"/>
    </row>
    <row r="126" spans="1:42" hidden="1"/>
    <row r="127" spans="1:42" hidden="1">
      <c r="G127" s="413" t="s">
        <v>578</v>
      </c>
      <c r="H127" s="437"/>
      <c r="I127" s="437" t="s">
        <v>565</v>
      </c>
      <c r="J127" s="438" t="s">
        <v>566</v>
      </c>
      <c r="K127" s="437">
        <v>0</v>
      </c>
      <c r="L127" s="438" t="s">
        <v>567</v>
      </c>
      <c r="M127" s="438" t="s">
        <v>566</v>
      </c>
      <c r="N127" s="439">
        <v>1</v>
      </c>
      <c r="O127" s="438" t="s">
        <v>568</v>
      </c>
      <c r="P127" s="438" t="s">
        <v>569</v>
      </c>
      <c r="Q127" s="440"/>
      <c r="R127" s="441">
        <f>H127*K127*N127</f>
        <v>0</v>
      </c>
    </row>
    <row r="128" spans="1:42" hidden="1">
      <c r="H128" s="445">
        <v>116555</v>
      </c>
      <c r="I128" s="445" t="s">
        <v>565</v>
      </c>
      <c r="J128" s="438" t="s">
        <v>566</v>
      </c>
      <c r="K128" s="437">
        <v>0</v>
      </c>
      <c r="L128" s="438" t="s">
        <v>567</v>
      </c>
      <c r="M128" s="438" t="s">
        <v>566</v>
      </c>
      <c r="N128" s="439">
        <v>1</v>
      </c>
      <c r="O128" s="438" t="s">
        <v>571</v>
      </c>
      <c r="P128" s="438" t="s">
        <v>569</v>
      </c>
      <c r="Q128" s="440"/>
      <c r="R128" s="441">
        <f>ROUND(H128*K128*N128,-1)</f>
        <v>0</v>
      </c>
    </row>
    <row r="129" spans="1:31" hidden="1">
      <c r="H129" s="437">
        <v>23050</v>
      </c>
      <c r="I129" s="437" t="s">
        <v>565</v>
      </c>
      <c r="J129" s="438" t="s">
        <v>566</v>
      </c>
      <c r="K129" s="437">
        <v>0</v>
      </c>
      <c r="L129" s="438" t="s">
        <v>567</v>
      </c>
      <c r="M129" s="438" t="s">
        <v>566</v>
      </c>
      <c r="N129" s="439">
        <v>1</v>
      </c>
      <c r="O129" s="438" t="s">
        <v>573</v>
      </c>
      <c r="P129" s="438" t="s">
        <v>569</v>
      </c>
      <c r="Q129" s="440"/>
      <c r="R129" s="441">
        <f>ROUND(H129*K129*N129,-1)</f>
        <v>0</v>
      </c>
    </row>
    <row r="130" spans="1:31" hidden="1">
      <c r="H130" s="437">
        <v>11845</v>
      </c>
      <c r="I130" s="437" t="s">
        <v>565</v>
      </c>
      <c r="J130" s="438" t="s">
        <v>566</v>
      </c>
      <c r="K130" s="437">
        <v>0</v>
      </c>
      <c r="L130" s="438" t="s">
        <v>567</v>
      </c>
      <c r="M130" s="438" t="s">
        <v>566</v>
      </c>
      <c r="N130" s="439">
        <v>1</v>
      </c>
      <c r="O130" s="438" t="s">
        <v>575</v>
      </c>
      <c r="P130" s="438" t="s">
        <v>569</v>
      </c>
      <c r="Q130" s="440"/>
      <c r="R130" s="441">
        <f>ROUND(H130*K130*N130,-1)</f>
        <v>0</v>
      </c>
    </row>
    <row r="131" spans="1:31" hidden="1">
      <c r="H131" s="450">
        <v>17490</v>
      </c>
      <c r="I131" s="450" t="s">
        <v>565</v>
      </c>
      <c r="J131" s="451" t="s">
        <v>566</v>
      </c>
      <c r="K131" s="437">
        <v>0</v>
      </c>
      <c r="L131" s="451" t="s">
        <v>567</v>
      </c>
      <c r="M131" s="451" t="s">
        <v>566</v>
      </c>
      <c r="N131" s="452">
        <v>1</v>
      </c>
      <c r="O131" s="451" t="s">
        <v>573</v>
      </c>
      <c r="P131" s="451" t="s">
        <v>569</v>
      </c>
      <c r="Q131" s="453"/>
      <c r="R131" s="454">
        <f>H131*K131*N131</f>
        <v>0</v>
      </c>
    </row>
    <row r="132" spans="1:31" hidden="1"/>
    <row r="133" spans="1:31" hidden="1">
      <c r="G133" s="413" t="s">
        <v>579</v>
      </c>
      <c r="H133" s="437"/>
      <c r="I133" s="437" t="s">
        <v>565</v>
      </c>
      <c r="J133" s="438" t="s">
        <v>566</v>
      </c>
      <c r="K133" s="437">
        <v>0</v>
      </c>
      <c r="L133" s="438" t="s">
        <v>567</v>
      </c>
      <c r="M133" s="438" t="s">
        <v>566</v>
      </c>
      <c r="N133" s="439">
        <v>1</v>
      </c>
      <c r="O133" s="438" t="s">
        <v>568</v>
      </c>
      <c r="P133" s="438" t="s">
        <v>569</v>
      </c>
      <c r="Q133" s="440"/>
      <c r="R133" s="441">
        <f>H133*K133*N133</f>
        <v>0</v>
      </c>
    </row>
    <row r="134" spans="1:31" hidden="1">
      <c r="H134" s="445">
        <v>116555</v>
      </c>
      <c r="I134" s="445" t="s">
        <v>565</v>
      </c>
      <c r="J134" s="438" t="s">
        <v>566</v>
      </c>
      <c r="K134" s="437">
        <v>0</v>
      </c>
      <c r="L134" s="438" t="s">
        <v>567</v>
      </c>
      <c r="M134" s="438" t="s">
        <v>566</v>
      </c>
      <c r="N134" s="439">
        <v>1</v>
      </c>
      <c r="O134" s="438" t="s">
        <v>571</v>
      </c>
      <c r="P134" s="438" t="s">
        <v>569</v>
      </c>
      <c r="Q134" s="440"/>
      <c r="R134" s="441">
        <f>ROUND(H134*K134*N134,-1)</f>
        <v>0</v>
      </c>
    </row>
    <row r="135" spans="1:31" hidden="1">
      <c r="H135" s="437"/>
      <c r="I135" s="437" t="s">
        <v>565</v>
      </c>
      <c r="J135" s="438" t="s">
        <v>566</v>
      </c>
      <c r="K135" s="437">
        <v>0</v>
      </c>
      <c r="L135" s="438" t="s">
        <v>567</v>
      </c>
      <c r="M135" s="438" t="s">
        <v>566</v>
      </c>
      <c r="N135" s="439">
        <v>1</v>
      </c>
      <c r="O135" s="438" t="s">
        <v>573</v>
      </c>
      <c r="P135" s="438" t="s">
        <v>569</v>
      </c>
      <c r="Q135" s="440"/>
      <c r="R135" s="441">
        <f>ROUND(H135*K135*N135,-1)</f>
        <v>0</v>
      </c>
    </row>
    <row r="136" spans="1:31" hidden="1">
      <c r="H136" s="437">
        <v>11845</v>
      </c>
      <c r="I136" s="437" t="s">
        <v>565</v>
      </c>
      <c r="J136" s="438" t="s">
        <v>566</v>
      </c>
      <c r="K136" s="437">
        <v>0</v>
      </c>
      <c r="L136" s="438" t="s">
        <v>567</v>
      </c>
      <c r="M136" s="438" t="s">
        <v>566</v>
      </c>
      <c r="N136" s="439">
        <v>1</v>
      </c>
      <c r="O136" s="438" t="s">
        <v>575</v>
      </c>
      <c r="P136" s="438" t="s">
        <v>569</v>
      </c>
      <c r="Q136" s="440"/>
      <c r="R136" s="441">
        <f>ROUND(H136*K136*N136,-1)</f>
        <v>0</v>
      </c>
    </row>
    <row r="137" spans="1:31" hidden="1">
      <c r="H137" s="450"/>
      <c r="I137" s="450" t="s">
        <v>565</v>
      </c>
      <c r="J137" s="451" t="s">
        <v>566</v>
      </c>
      <c r="K137" s="437">
        <v>0</v>
      </c>
      <c r="L137" s="451" t="s">
        <v>567</v>
      </c>
      <c r="M137" s="451" t="s">
        <v>566</v>
      </c>
      <c r="N137" s="452">
        <v>1</v>
      </c>
      <c r="O137" s="451" t="s">
        <v>573</v>
      </c>
      <c r="P137" s="451" t="s">
        <v>569</v>
      </c>
      <c r="Q137" s="453"/>
      <c r="R137" s="454">
        <f>H137*K137*N137</f>
        <v>0</v>
      </c>
    </row>
    <row r="138" spans="1:31" hidden="1"/>
    <row r="139" spans="1:31" hidden="1">
      <c r="G139" s="413" t="s">
        <v>577</v>
      </c>
      <c r="H139" s="437"/>
      <c r="I139" s="437" t="s">
        <v>565</v>
      </c>
      <c r="J139" s="438" t="s">
        <v>566</v>
      </c>
      <c r="K139" s="437">
        <v>0</v>
      </c>
      <c r="L139" s="438" t="s">
        <v>567</v>
      </c>
      <c r="M139" s="438" t="s">
        <v>566</v>
      </c>
      <c r="N139" s="439">
        <v>1</v>
      </c>
      <c r="O139" s="438" t="s">
        <v>568</v>
      </c>
      <c r="P139" s="438" t="s">
        <v>569</v>
      </c>
      <c r="Q139" s="440"/>
      <c r="R139" s="441">
        <f>H139*K139*N139</f>
        <v>0</v>
      </c>
    </row>
    <row r="140" spans="1:31" hidden="1">
      <c r="H140" s="445">
        <v>116555</v>
      </c>
      <c r="I140" s="445" t="s">
        <v>565</v>
      </c>
      <c r="J140" s="438" t="s">
        <v>566</v>
      </c>
      <c r="K140" s="445">
        <v>0</v>
      </c>
      <c r="L140" s="438" t="s">
        <v>567</v>
      </c>
      <c r="M140" s="438" t="s">
        <v>566</v>
      </c>
      <c r="N140" s="439">
        <v>1</v>
      </c>
      <c r="O140" s="438" t="s">
        <v>571</v>
      </c>
      <c r="P140" s="438" t="s">
        <v>569</v>
      </c>
      <c r="Q140" s="440"/>
      <c r="R140" s="441">
        <f>ROUND(H140*K140*N140,-1)</f>
        <v>0</v>
      </c>
    </row>
    <row r="141" spans="1:31" hidden="1">
      <c r="H141" s="437"/>
      <c r="I141" s="437" t="s">
        <v>565</v>
      </c>
      <c r="J141" s="438" t="s">
        <v>566</v>
      </c>
      <c r="K141" s="437">
        <v>0</v>
      </c>
      <c r="L141" s="438" t="s">
        <v>567</v>
      </c>
      <c r="M141" s="438" t="s">
        <v>566</v>
      </c>
      <c r="N141" s="439">
        <v>1</v>
      </c>
      <c r="O141" s="438" t="s">
        <v>573</v>
      </c>
      <c r="P141" s="438" t="s">
        <v>569</v>
      </c>
      <c r="Q141" s="440"/>
      <c r="R141" s="441">
        <f>ROUND(H141*K141*N141,-1)</f>
        <v>0</v>
      </c>
    </row>
    <row r="142" spans="1:31" hidden="1">
      <c r="H142" s="437">
        <v>11845</v>
      </c>
      <c r="I142" s="437" t="s">
        <v>565</v>
      </c>
      <c r="J142" s="438" t="s">
        <v>566</v>
      </c>
      <c r="K142" s="437">
        <v>0</v>
      </c>
      <c r="L142" s="438" t="s">
        <v>567</v>
      </c>
      <c r="M142" s="438" t="s">
        <v>566</v>
      </c>
      <c r="N142" s="439">
        <v>1</v>
      </c>
      <c r="O142" s="438" t="s">
        <v>575</v>
      </c>
      <c r="P142" s="438" t="s">
        <v>569</v>
      </c>
      <c r="Q142" s="440"/>
      <c r="R142" s="441">
        <f>ROUND(H142*K142*N142,-1)</f>
        <v>0</v>
      </c>
    </row>
    <row r="143" spans="1:31" ht="14.25" hidden="1" thickBot="1">
      <c r="H143" s="477"/>
      <c r="I143" s="477" t="s">
        <v>565</v>
      </c>
      <c r="J143" s="478" t="s">
        <v>566</v>
      </c>
      <c r="K143" s="477">
        <v>0</v>
      </c>
      <c r="L143" s="478" t="s">
        <v>567</v>
      </c>
      <c r="M143" s="478" t="s">
        <v>566</v>
      </c>
      <c r="N143" s="479">
        <v>1</v>
      </c>
      <c r="O143" s="478" t="s">
        <v>573</v>
      </c>
      <c r="P143" s="478" t="s">
        <v>569</v>
      </c>
      <c r="Q143" s="480"/>
      <c r="R143" s="481">
        <f>H143*K143*N143</f>
        <v>0</v>
      </c>
    </row>
    <row r="144" spans="1:31" ht="14.25" hidden="1" thickTop="1">
      <c r="A144" s="482"/>
      <c r="B144" s="483"/>
      <c r="C144" s="483"/>
      <c r="D144" s="484"/>
      <c r="E144" s="482"/>
      <c r="F144" s="482"/>
      <c r="G144" s="485"/>
      <c r="H144" s="486"/>
      <c r="I144" s="486"/>
      <c r="J144" s="484"/>
      <c r="K144" s="486"/>
      <c r="L144" s="484"/>
      <c r="M144" s="484"/>
      <c r="N144" s="485"/>
      <c r="O144" s="484"/>
      <c r="P144" s="484"/>
      <c r="Q144" s="487"/>
      <c r="R144" s="486"/>
      <c r="S144" s="486"/>
      <c r="T144" s="486"/>
      <c r="U144" s="486"/>
      <c r="V144" s="486"/>
      <c r="W144" s="486"/>
      <c r="X144" s="486"/>
      <c r="Y144" s="486"/>
      <c r="Z144" s="486"/>
      <c r="AA144" s="486"/>
      <c r="AB144" s="486"/>
      <c r="AC144" s="486"/>
      <c r="AD144" s="486"/>
      <c r="AE144" s="488"/>
    </row>
    <row r="145" hidden="1"/>
  </sheetData>
  <mergeCells count="68">
    <mergeCell ref="A116:A124"/>
    <mergeCell ref="B116:C116"/>
    <mergeCell ref="B117:B118"/>
    <mergeCell ref="B119:B121"/>
    <mergeCell ref="B122:B124"/>
    <mergeCell ref="B107:C107"/>
    <mergeCell ref="B108:B109"/>
    <mergeCell ref="B110:B112"/>
    <mergeCell ref="B113:B115"/>
    <mergeCell ref="A79:A87"/>
    <mergeCell ref="B79:C79"/>
    <mergeCell ref="B80:B81"/>
    <mergeCell ref="B82:B84"/>
    <mergeCell ref="B85:B87"/>
    <mergeCell ref="A88:A96"/>
    <mergeCell ref="A97:A106"/>
    <mergeCell ref="B97:C97"/>
    <mergeCell ref="B98:B99"/>
    <mergeCell ref="B104:B106"/>
    <mergeCell ref="A107:A115"/>
    <mergeCell ref="B88:C88"/>
    <mergeCell ref="B89:B90"/>
    <mergeCell ref="B91:B93"/>
    <mergeCell ref="B94:B96"/>
    <mergeCell ref="A61:A69"/>
    <mergeCell ref="B61:C61"/>
    <mergeCell ref="B62:B63"/>
    <mergeCell ref="B64:B66"/>
    <mergeCell ref="B67:B69"/>
    <mergeCell ref="A70:A78"/>
    <mergeCell ref="B70:C70"/>
    <mergeCell ref="B71:B72"/>
    <mergeCell ref="B73:B75"/>
    <mergeCell ref="B76:B78"/>
    <mergeCell ref="B43:C43"/>
    <mergeCell ref="B44:B45"/>
    <mergeCell ref="B46:B48"/>
    <mergeCell ref="B49:B51"/>
    <mergeCell ref="A52:A60"/>
    <mergeCell ref="B52:C52"/>
    <mergeCell ref="B53:B54"/>
    <mergeCell ref="B55:B57"/>
    <mergeCell ref="B58:B60"/>
    <mergeCell ref="A43:A51"/>
    <mergeCell ref="A25:A33"/>
    <mergeCell ref="B25:C25"/>
    <mergeCell ref="B26:B27"/>
    <mergeCell ref="B28:B30"/>
    <mergeCell ref="B31:B33"/>
    <mergeCell ref="A34:A42"/>
    <mergeCell ref="B34:C34"/>
    <mergeCell ref="B35:B36"/>
    <mergeCell ref="B37:B39"/>
    <mergeCell ref="B40:B42"/>
    <mergeCell ref="A16:A24"/>
    <mergeCell ref="B16:C16"/>
    <mergeCell ref="B22:B24"/>
    <mergeCell ref="A2:P2"/>
    <mergeCell ref="B4:C4"/>
    <mergeCell ref="H4:R4"/>
    <mergeCell ref="A5:C5"/>
    <mergeCell ref="B17:B18"/>
    <mergeCell ref="B6:C6"/>
    <mergeCell ref="B7:B8"/>
    <mergeCell ref="A6:A15"/>
    <mergeCell ref="B19:B21"/>
    <mergeCell ref="B9:B10"/>
    <mergeCell ref="B11:B12"/>
  </mergeCells>
  <phoneticPr fontId="2" type="noConversion"/>
  <printOptions horizontalCentered="1"/>
  <pageMargins left="0.19685039370078741" right="0.15748031496062992" top="0.51181102362204722" bottom="0.15748031496062992" header="0.31496062992125984" footer="0.15748031496062992"/>
  <pageSetup paperSize="9" orientation="portrait" horizontalDpi="4294967293" verticalDpi="4294967293" r:id="rId1"/>
  <headerFooter alignWithMargins="0"/>
  <rowBreaks count="1" manualBreakCount="1">
    <brk id="5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N13" sqref="N13"/>
    </sheetView>
  </sheetViews>
  <sheetFormatPr defaultRowHeight="13.5"/>
  <cols>
    <col min="1" max="1" width="11.109375" style="409" customWidth="1"/>
    <col min="2" max="2" width="9.77734375" style="410" customWidth="1"/>
    <col min="3" max="3" width="9.88671875" style="410" customWidth="1"/>
    <col min="4" max="4" width="4.77734375" style="411" customWidth="1"/>
    <col min="5" max="5" width="5.77734375" style="412" customWidth="1"/>
    <col min="6" max="6" width="2.33203125" style="409" customWidth="1"/>
    <col min="7" max="7" width="1.77734375" style="413" customWidth="1"/>
    <col min="8" max="8" width="2.5546875" style="413" customWidth="1"/>
    <col min="9" max="9" width="2.33203125" style="411" customWidth="1"/>
    <col min="10" max="10" width="1.88671875" style="411" customWidth="1"/>
    <col min="11" max="11" width="4" style="411" bestFit="1" customWidth="1"/>
    <col min="12" max="12" width="3.44140625" style="411" customWidth="1"/>
    <col min="13" max="13" width="2" style="411" customWidth="1"/>
    <col min="14" max="14" width="8.44140625" style="411" bestFit="1" customWidth="1"/>
    <col min="15" max="15" width="9.5546875" style="413" customWidth="1"/>
    <col min="16" max="16" width="10.21875" style="411" customWidth="1"/>
    <col min="17" max="18" width="8.6640625" style="359" customWidth="1"/>
    <col min="19" max="19" width="8.6640625" style="349" customWidth="1"/>
    <col min="20" max="32" width="8.6640625" style="350" customWidth="1"/>
    <col min="33" max="33" width="8.6640625" style="351" customWidth="1"/>
    <col min="34" max="34" width="10.5546875" style="350" hidden="1" customWidth="1"/>
    <col min="35" max="35" width="6.21875" style="350" hidden="1" customWidth="1"/>
    <col min="36" max="36" width="4.77734375" style="350" hidden="1" customWidth="1"/>
    <col min="37" max="37" width="11.5546875" style="350" customWidth="1"/>
    <col min="38" max="38" width="13.44140625" style="350" customWidth="1"/>
    <col min="39" max="39" width="22.88671875" style="304" customWidth="1"/>
    <col min="40" max="40" width="11.21875" style="350" customWidth="1"/>
    <col min="41" max="41" width="11.44140625" style="350" customWidth="1"/>
    <col min="42" max="42" width="10" style="350" customWidth="1"/>
    <col min="43" max="44" width="8.88671875" style="350"/>
    <col min="45" max="45" width="9.33203125" style="271" bestFit="1" customWidth="1"/>
    <col min="46" max="16384" width="8.88671875" style="271"/>
  </cols>
  <sheetData>
    <row r="1" spans="1:18" ht="36" customHeight="1">
      <c r="A1" s="1283" t="s">
        <v>593</v>
      </c>
      <c r="B1" s="1283"/>
      <c r="C1" s="1283"/>
      <c r="D1" s="1283"/>
      <c r="E1" s="1283"/>
      <c r="F1" s="1283"/>
      <c r="G1" s="1283"/>
      <c r="H1" s="1283"/>
      <c r="I1" s="1283"/>
      <c r="J1" s="1283"/>
      <c r="K1" s="1283"/>
      <c r="L1" s="1283"/>
      <c r="M1" s="1283"/>
      <c r="N1" s="1283"/>
      <c r="O1" s="1283"/>
      <c r="P1" s="1283"/>
      <c r="Q1" s="348"/>
      <c r="R1" s="348"/>
    </row>
    <row r="2" spans="1:18" ht="20.25" customHeight="1">
      <c r="A2" s="352"/>
      <c r="B2" s="352"/>
      <c r="C2" s="352"/>
      <c r="D2" s="352"/>
      <c r="E2" s="352"/>
      <c r="F2" s="352"/>
      <c r="G2" s="353"/>
      <c r="H2" s="353"/>
      <c r="I2" s="353"/>
      <c r="J2" s="353"/>
      <c r="K2" s="353"/>
      <c r="L2" s="353"/>
      <c r="M2" s="353"/>
      <c r="N2" s="353"/>
      <c r="O2" s="353"/>
      <c r="P2" s="354" t="s">
        <v>475</v>
      </c>
      <c r="Q2" s="353"/>
      <c r="R2" s="353"/>
    </row>
    <row r="3" spans="1:18" ht="22.5" customHeight="1" thickBot="1">
      <c r="A3" s="355" t="s">
        <v>489</v>
      </c>
      <c r="B3" s="356" t="s">
        <v>490</v>
      </c>
      <c r="C3" s="356" t="s">
        <v>491</v>
      </c>
      <c r="D3" s="1313" t="s">
        <v>492</v>
      </c>
      <c r="E3" s="1314"/>
      <c r="F3" s="1314"/>
      <c r="G3" s="1314"/>
      <c r="H3" s="1314"/>
      <c r="I3" s="1314"/>
      <c r="J3" s="1314"/>
      <c r="K3" s="1314"/>
      <c r="L3" s="1314"/>
      <c r="M3" s="1314"/>
      <c r="N3" s="1314"/>
      <c r="O3" s="357" t="s">
        <v>493</v>
      </c>
      <c r="P3" s="358" t="s">
        <v>494</v>
      </c>
    </row>
    <row r="4" spans="1:18" ht="23.25" customHeight="1" thickTop="1">
      <c r="A4" s="1311" t="s">
        <v>495</v>
      </c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2"/>
      <c r="N4" s="1312"/>
      <c r="O4" s="360">
        <f>O5+O19+O33+O40</f>
        <v>32840000</v>
      </c>
      <c r="P4" s="361"/>
    </row>
    <row r="5" spans="1:18" ht="27.75" customHeight="1">
      <c r="A5" s="362" t="s">
        <v>496</v>
      </c>
      <c r="B5" s="363" t="s">
        <v>496</v>
      </c>
      <c r="C5" s="363" t="s">
        <v>496</v>
      </c>
      <c r="D5" s="1315" t="s">
        <v>497</v>
      </c>
      <c r="E5" s="1316"/>
      <c r="F5" s="1316"/>
      <c r="G5" s="1316"/>
      <c r="H5" s="1316"/>
      <c r="I5" s="1316"/>
      <c r="J5" s="1316"/>
      <c r="K5" s="1316"/>
      <c r="L5" s="1316"/>
      <c r="M5" s="1316"/>
      <c r="N5" s="1316"/>
      <c r="O5" s="364">
        <f>SUM(O7:O18)</f>
        <v>14600000</v>
      </c>
      <c r="P5" s="365"/>
    </row>
    <row r="6" spans="1:18" ht="27.75" hidden="1" customHeight="1">
      <c r="A6" s="366"/>
      <c r="B6" s="367"/>
      <c r="C6" s="368"/>
      <c r="D6" s="369" t="s">
        <v>488</v>
      </c>
      <c r="E6" s="370">
        <v>500</v>
      </c>
      <c r="F6" s="371" t="s">
        <v>480</v>
      </c>
      <c r="G6" s="372" t="s">
        <v>481</v>
      </c>
      <c r="H6" s="372">
        <v>80</v>
      </c>
      <c r="I6" s="373" t="s">
        <v>482</v>
      </c>
      <c r="J6" s="373" t="s">
        <v>481</v>
      </c>
      <c r="K6" s="372">
        <v>365</v>
      </c>
      <c r="L6" s="373" t="s">
        <v>483</v>
      </c>
      <c r="M6" s="373" t="s">
        <v>484</v>
      </c>
      <c r="N6" s="374">
        <f>E6*H6*K6</f>
        <v>14600000</v>
      </c>
      <c r="O6" s="375">
        <f>N6</f>
        <v>14600000</v>
      </c>
      <c r="P6" s="365"/>
    </row>
    <row r="7" spans="1:18" ht="22.5" customHeight="1">
      <c r="A7" s="376"/>
      <c r="B7" s="377"/>
      <c r="C7" s="377"/>
      <c r="D7" s="369" t="s">
        <v>498</v>
      </c>
      <c r="E7" s="370">
        <v>500</v>
      </c>
      <c r="F7" s="371" t="s">
        <v>480</v>
      </c>
      <c r="G7" s="372" t="s">
        <v>481</v>
      </c>
      <c r="H7" s="372">
        <v>80</v>
      </c>
      <c r="I7" s="373" t="s">
        <v>482</v>
      </c>
      <c r="J7" s="373" t="s">
        <v>481</v>
      </c>
      <c r="K7" s="372">
        <v>31</v>
      </c>
      <c r="L7" s="373" t="s">
        <v>483</v>
      </c>
      <c r="M7" s="373" t="s">
        <v>484</v>
      </c>
      <c r="N7" s="374">
        <f>E7*H7*K7</f>
        <v>1240000</v>
      </c>
      <c r="O7" s="375">
        <f>N7</f>
        <v>1240000</v>
      </c>
      <c r="P7" s="365"/>
    </row>
    <row r="8" spans="1:18" ht="22.5" customHeight="1">
      <c r="A8" s="378"/>
      <c r="B8" s="379"/>
      <c r="C8" s="379"/>
      <c r="D8" s="369" t="s">
        <v>499</v>
      </c>
      <c r="E8" s="370">
        <v>500</v>
      </c>
      <c r="F8" s="371" t="s">
        <v>480</v>
      </c>
      <c r="G8" s="372" t="s">
        <v>481</v>
      </c>
      <c r="H8" s="372">
        <v>80</v>
      </c>
      <c r="I8" s="373" t="s">
        <v>482</v>
      </c>
      <c r="J8" s="373" t="s">
        <v>481</v>
      </c>
      <c r="K8" s="372">
        <v>28</v>
      </c>
      <c r="L8" s="373" t="s">
        <v>483</v>
      </c>
      <c r="M8" s="373" t="s">
        <v>484</v>
      </c>
      <c r="N8" s="374">
        <f>E8*H8*K8</f>
        <v>1120000</v>
      </c>
      <c r="O8" s="375">
        <f>N8</f>
        <v>1120000</v>
      </c>
      <c r="P8" s="365"/>
    </row>
    <row r="9" spans="1:18" ht="22.5" customHeight="1">
      <c r="A9" s="378"/>
      <c r="B9" s="379"/>
      <c r="C9" s="379"/>
      <c r="D9" s="369" t="s">
        <v>500</v>
      </c>
      <c r="E9" s="370">
        <v>500</v>
      </c>
      <c r="F9" s="371" t="s">
        <v>480</v>
      </c>
      <c r="G9" s="372" t="s">
        <v>481</v>
      </c>
      <c r="H9" s="372">
        <v>80</v>
      </c>
      <c r="I9" s="373" t="s">
        <v>482</v>
      </c>
      <c r="J9" s="373" t="s">
        <v>481</v>
      </c>
      <c r="K9" s="372">
        <v>31</v>
      </c>
      <c r="L9" s="373" t="s">
        <v>483</v>
      </c>
      <c r="M9" s="373" t="s">
        <v>484</v>
      </c>
      <c r="N9" s="374">
        <f>E9*H9*K9</f>
        <v>1240000</v>
      </c>
      <c r="O9" s="375">
        <f>N9</f>
        <v>1240000</v>
      </c>
      <c r="P9" s="365"/>
    </row>
    <row r="10" spans="1:18" ht="22.5" customHeight="1">
      <c r="A10" s="376"/>
      <c r="B10" s="377"/>
      <c r="C10" s="377"/>
      <c r="D10" s="369" t="s">
        <v>501</v>
      </c>
      <c r="E10" s="370">
        <v>500</v>
      </c>
      <c r="F10" s="371" t="s">
        <v>480</v>
      </c>
      <c r="G10" s="372" t="s">
        <v>481</v>
      </c>
      <c r="H10" s="372">
        <v>80</v>
      </c>
      <c r="I10" s="373" t="s">
        <v>482</v>
      </c>
      <c r="J10" s="373" t="s">
        <v>481</v>
      </c>
      <c r="K10" s="372">
        <v>30</v>
      </c>
      <c r="L10" s="373" t="s">
        <v>483</v>
      </c>
      <c r="M10" s="373" t="s">
        <v>484</v>
      </c>
      <c r="N10" s="374">
        <f t="shared" ref="N10:N15" si="0">E10*H10*K10</f>
        <v>1200000</v>
      </c>
      <c r="O10" s="375">
        <f t="shared" ref="O10:O18" si="1">N10</f>
        <v>1200000</v>
      </c>
      <c r="P10" s="365"/>
    </row>
    <row r="11" spans="1:18" ht="22.5" customHeight="1">
      <c r="A11" s="378"/>
      <c r="B11" s="379"/>
      <c r="C11" s="379"/>
      <c r="D11" s="369" t="s">
        <v>502</v>
      </c>
      <c r="E11" s="370">
        <v>500</v>
      </c>
      <c r="F11" s="371" t="s">
        <v>480</v>
      </c>
      <c r="G11" s="372" t="s">
        <v>481</v>
      </c>
      <c r="H11" s="372">
        <v>80</v>
      </c>
      <c r="I11" s="373" t="s">
        <v>482</v>
      </c>
      <c r="J11" s="373" t="s">
        <v>481</v>
      </c>
      <c r="K11" s="372">
        <v>31</v>
      </c>
      <c r="L11" s="373" t="s">
        <v>483</v>
      </c>
      <c r="M11" s="373" t="s">
        <v>484</v>
      </c>
      <c r="N11" s="374">
        <f t="shared" si="0"/>
        <v>1240000</v>
      </c>
      <c r="O11" s="375">
        <f t="shared" si="1"/>
        <v>1240000</v>
      </c>
      <c r="P11" s="365"/>
    </row>
    <row r="12" spans="1:18" ht="22.5" customHeight="1">
      <c r="A12" s="378"/>
      <c r="B12" s="379"/>
      <c r="C12" s="379"/>
      <c r="D12" s="369" t="s">
        <v>503</v>
      </c>
      <c r="E12" s="370">
        <v>500</v>
      </c>
      <c r="F12" s="371" t="s">
        <v>480</v>
      </c>
      <c r="G12" s="372" t="s">
        <v>481</v>
      </c>
      <c r="H12" s="372">
        <v>80</v>
      </c>
      <c r="I12" s="373" t="s">
        <v>482</v>
      </c>
      <c r="J12" s="373" t="s">
        <v>481</v>
      </c>
      <c r="K12" s="372">
        <v>30</v>
      </c>
      <c r="L12" s="373" t="s">
        <v>483</v>
      </c>
      <c r="M12" s="373" t="s">
        <v>484</v>
      </c>
      <c r="N12" s="374">
        <f t="shared" si="0"/>
        <v>1200000</v>
      </c>
      <c r="O12" s="375">
        <f t="shared" si="1"/>
        <v>1200000</v>
      </c>
      <c r="P12" s="365"/>
    </row>
    <row r="13" spans="1:18" ht="22.5" customHeight="1">
      <c r="A13" s="378"/>
      <c r="B13" s="379"/>
      <c r="C13" s="379"/>
      <c r="D13" s="369" t="s">
        <v>504</v>
      </c>
      <c r="E13" s="370">
        <v>500</v>
      </c>
      <c r="F13" s="371" t="s">
        <v>480</v>
      </c>
      <c r="G13" s="372" t="s">
        <v>481</v>
      </c>
      <c r="H13" s="372">
        <v>80</v>
      </c>
      <c r="I13" s="373" t="s">
        <v>482</v>
      </c>
      <c r="J13" s="373" t="s">
        <v>481</v>
      </c>
      <c r="K13" s="372">
        <v>31</v>
      </c>
      <c r="L13" s="373" t="s">
        <v>37</v>
      </c>
      <c r="M13" s="373" t="s">
        <v>30</v>
      </c>
      <c r="N13" s="374">
        <f t="shared" si="0"/>
        <v>1240000</v>
      </c>
      <c r="O13" s="375">
        <f t="shared" si="1"/>
        <v>1240000</v>
      </c>
      <c r="P13" s="365"/>
    </row>
    <row r="14" spans="1:18" ht="22.5" customHeight="1">
      <c r="A14" s="378"/>
      <c r="B14" s="379"/>
      <c r="C14" s="379"/>
      <c r="D14" s="369" t="s">
        <v>284</v>
      </c>
      <c r="E14" s="370">
        <v>500</v>
      </c>
      <c r="F14" s="371" t="s">
        <v>34</v>
      </c>
      <c r="G14" s="372" t="s">
        <v>35</v>
      </c>
      <c r="H14" s="372">
        <v>80</v>
      </c>
      <c r="I14" s="373" t="s">
        <v>36</v>
      </c>
      <c r="J14" s="373" t="s">
        <v>35</v>
      </c>
      <c r="K14" s="372">
        <v>31</v>
      </c>
      <c r="L14" s="373" t="s">
        <v>37</v>
      </c>
      <c r="M14" s="373" t="s">
        <v>30</v>
      </c>
      <c r="N14" s="374">
        <f t="shared" si="0"/>
        <v>1240000</v>
      </c>
      <c r="O14" s="375">
        <f t="shared" si="1"/>
        <v>1240000</v>
      </c>
      <c r="P14" s="365"/>
    </row>
    <row r="15" spans="1:18" ht="22.5" customHeight="1">
      <c r="A15" s="378"/>
      <c r="B15" s="379"/>
      <c r="C15" s="379"/>
      <c r="D15" s="369" t="s">
        <v>368</v>
      </c>
      <c r="E15" s="370">
        <v>500</v>
      </c>
      <c r="F15" s="371" t="s">
        <v>34</v>
      </c>
      <c r="G15" s="372" t="s">
        <v>35</v>
      </c>
      <c r="H15" s="372">
        <v>80</v>
      </c>
      <c r="I15" s="373" t="s">
        <v>482</v>
      </c>
      <c r="J15" s="373" t="s">
        <v>481</v>
      </c>
      <c r="K15" s="372">
        <v>30</v>
      </c>
      <c r="L15" s="373" t="s">
        <v>483</v>
      </c>
      <c r="M15" s="373" t="s">
        <v>484</v>
      </c>
      <c r="N15" s="374">
        <f t="shared" si="0"/>
        <v>1200000</v>
      </c>
      <c r="O15" s="375">
        <f t="shared" si="1"/>
        <v>1200000</v>
      </c>
      <c r="P15" s="365"/>
    </row>
    <row r="16" spans="1:18" ht="22.5" customHeight="1">
      <c r="A16" s="378"/>
      <c r="B16" s="379"/>
      <c r="C16" s="379"/>
      <c r="D16" s="369" t="s">
        <v>505</v>
      </c>
      <c r="E16" s="370">
        <v>500</v>
      </c>
      <c r="F16" s="371" t="s">
        <v>480</v>
      </c>
      <c r="G16" s="372" t="s">
        <v>481</v>
      </c>
      <c r="H16" s="372">
        <v>80</v>
      </c>
      <c r="I16" s="373" t="s">
        <v>482</v>
      </c>
      <c r="J16" s="373" t="s">
        <v>481</v>
      </c>
      <c r="K16" s="372">
        <v>31</v>
      </c>
      <c r="L16" s="373" t="s">
        <v>483</v>
      </c>
      <c r="M16" s="373" t="s">
        <v>484</v>
      </c>
      <c r="N16" s="374">
        <f>E16*H16*K16</f>
        <v>1240000</v>
      </c>
      <c r="O16" s="375">
        <f t="shared" si="1"/>
        <v>1240000</v>
      </c>
      <c r="P16" s="365"/>
    </row>
    <row r="17" spans="1:16" ht="22.5" customHeight="1">
      <c r="A17" s="378"/>
      <c r="B17" s="379"/>
      <c r="C17" s="379"/>
      <c r="D17" s="369" t="s">
        <v>506</v>
      </c>
      <c r="E17" s="370">
        <v>500</v>
      </c>
      <c r="F17" s="371" t="s">
        <v>480</v>
      </c>
      <c r="G17" s="372" t="s">
        <v>481</v>
      </c>
      <c r="H17" s="372">
        <v>80</v>
      </c>
      <c r="I17" s="373" t="s">
        <v>482</v>
      </c>
      <c r="J17" s="373" t="s">
        <v>481</v>
      </c>
      <c r="K17" s="372">
        <v>30</v>
      </c>
      <c r="L17" s="373" t="s">
        <v>483</v>
      </c>
      <c r="M17" s="373" t="s">
        <v>484</v>
      </c>
      <c r="N17" s="374">
        <f>E17*H17*K17</f>
        <v>1200000</v>
      </c>
      <c r="O17" s="375">
        <f t="shared" si="1"/>
        <v>1200000</v>
      </c>
      <c r="P17" s="365"/>
    </row>
    <row r="18" spans="1:16" ht="22.5" customHeight="1">
      <c r="A18" s="380"/>
      <c r="B18" s="381"/>
      <c r="C18" s="381"/>
      <c r="D18" s="369" t="s">
        <v>507</v>
      </c>
      <c r="E18" s="370">
        <v>500</v>
      </c>
      <c r="F18" s="371" t="s">
        <v>480</v>
      </c>
      <c r="G18" s="372" t="s">
        <v>481</v>
      </c>
      <c r="H18" s="372">
        <v>80</v>
      </c>
      <c r="I18" s="373" t="s">
        <v>482</v>
      </c>
      <c r="J18" s="373" t="s">
        <v>481</v>
      </c>
      <c r="K18" s="372">
        <v>31</v>
      </c>
      <c r="L18" s="373" t="s">
        <v>483</v>
      </c>
      <c r="M18" s="373" t="s">
        <v>484</v>
      </c>
      <c r="N18" s="374">
        <f>E18*H18*K18</f>
        <v>1240000</v>
      </c>
      <c r="O18" s="375">
        <f t="shared" si="1"/>
        <v>1240000</v>
      </c>
      <c r="P18" s="365"/>
    </row>
    <row r="19" spans="1:16" ht="27.75" customHeight="1">
      <c r="A19" s="362" t="s">
        <v>508</v>
      </c>
      <c r="B19" s="363" t="s">
        <v>508</v>
      </c>
      <c r="C19" s="363" t="s">
        <v>508</v>
      </c>
      <c r="D19" s="1306" t="s">
        <v>497</v>
      </c>
      <c r="E19" s="1307"/>
      <c r="F19" s="1307"/>
      <c r="G19" s="1307"/>
      <c r="H19" s="1307"/>
      <c r="I19" s="1307"/>
      <c r="J19" s="1307"/>
      <c r="K19" s="1307"/>
      <c r="L19" s="1307"/>
      <c r="M19" s="1307"/>
      <c r="N19" s="1308"/>
      <c r="O19" s="364">
        <f>SUM(O21:O32)</f>
        <v>4800000</v>
      </c>
      <c r="P19" s="365"/>
    </row>
    <row r="20" spans="1:16" ht="27.75" hidden="1" customHeight="1">
      <c r="A20" s="382"/>
      <c r="B20" s="383"/>
      <c r="C20" s="384"/>
      <c r="D20" s="369" t="s">
        <v>488</v>
      </c>
      <c r="E20" s="370">
        <v>5000</v>
      </c>
      <c r="F20" s="371" t="s">
        <v>480</v>
      </c>
      <c r="G20" s="372" t="s">
        <v>481</v>
      </c>
      <c r="H20" s="372">
        <v>80</v>
      </c>
      <c r="I20" s="373" t="s">
        <v>482</v>
      </c>
      <c r="J20" s="373" t="s">
        <v>481</v>
      </c>
      <c r="K20" s="372">
        <v>12</v>
      </c>
      <c r="L20" s="373" t="s">
        <v>485</v>
      </c>
      <c r="M20" s="373" t="s">
        <v>484</v>
      </c>
      <c r="N20" s="374">
        <f>E20*H20*K20</f>
        <v>4800000</v>
      </c>
      <c r="O20" s="375">
        <f>N20</f>
        <v>4800000</v>
      </c>
      <c r="P20" s="365"/>
    </row>
    <row r="21" spans="1:16" ht="22.5" customHeight="1">
      <c r="A21" s="376"/>
      <c r="B21" s="377"/>
      <c r="C21" s="377"/>
      <c r="D21" s="369" t="s">
        <v>498</v>
      </c>
      <c r="E21" s="370">
        <v>5000</v>
      </c>
      <c r="F21" s="371" t="s">
        <v>480</v>
      </c>
      <c r="G21" s="372" t="s">
        <v>481</v>
      </c>
      <c r="H21" s="372">
        <v>80</v>
      </c>
      <c r="I21" s="373" t="s">
        <v>482</v>
      </c>
      <c r="J21" s="373" t="s">
        <v>481</v>
      </c>
      <c r="K21" s="372">
        <v>1</v>
      </c>
      <c r="L21" s="373" t="s">
        <v>485</v>
      </c>
      <c r="M21" s="373" t="s">
        <v>484</v>
      </c>
      <c r="N21" s="374">
        <f>E21*H21*K21</f>
        <v>400000</v>
      </c>
      <c r="O21" s="375">
        <f>N21</f>
        <v>400000</v>
      </c>
      <c r="P21" s="365"/>
    </row>
    <row r="22" spans="1:16" ht="22.5" customHeight="1">
      <c r="A22" s="378"/>
      <c r="B22" s="379"/>
      <c r="C22" s="379"/>
      <c r="D22" s="369" t="s">
        <v>499</v>
      </c>
      <c r="E22" s="370">
        <v>5000</v>
      </c>
      <c r="F22" s="371" t="s">
        <v>480</v>
      </c>
      <c r="G22" s="372" t="s">
        <v>481</v>
      </c>
      <c r="H22" s="372">
        <v>80</v>
      </c>
      <c r="I22" s="373" t="s">
        <v>482</v>
      </c>
      <c r="J22" s="373" t="s">
        <v>481</v>
      </c>
      <c r="K22" s="372">
        <v>1</v>
      </c>
      <c r="L22" s="373" t="s">
        <v>485</v>
      </c>
      <c r="M22" s="373" t="s">
        <v>484</v>
      </c>
      <c r="N22" s="374">
        <f>E22*H22*K22</f>
        <v>400000</v>
      </c>
      <c r="O22" s="375">
        <f>N22</f>
        <v>400000</v>
      </c>
      <c r="P22" s="365"/>
    </row>
    <row r="23" spans="1:16" ht="22.5" customHeight="1">
      <c r="A23" s="378"/>
      <c r="B23" s="379"/>
      <c r="C23" s="379"/>
      <c r="D23" s="369" t="s">
        <v>500</v>
      </c>
      <c r="E23" s="370">
        <v>5000</v>
      </c>
      <c r="F23" s="371" t="s">
        <v>480</v>
      </c>
      <c r="G23" s="372" t="s">
        <v>481</v>
      </c>
      <c r="H23" s="372">
        <v>80</v>
      </c>
      <c r="I23" s="373" t="s">
        <v>482</v>
      </c>
      <c r="J23" s="373" t="s">
        <v>481</v>
      </c>
      <c r="K23" s="372">
        <v>1</v>
      </c>
      <c r="L23" s="373" t="s">
        <v>485</v>
      </c>
      <c r="M23" s="373" t="s">
        <v>484</v>
      </c>
      <c r="N23" s="374">
        <f>E23*H23*K23</f>
        <v>400000</v>
      </c>
      <c r="O23" s="375">
        <f>N23</f>
        <v>400000</v>
      </c>
      <c r="P23" s="365"/>
    </row>
    <row r="24" spans="1:16" ht="22.5" customHeight="1">
      <c r="A24" s="376"/>
      <c r="B24" s="377"/>
      <c r="C24" s="377"/>
      <c r="D24" s="369" t="s">
        <v>501</v>
      </c>
      <c r="E24" s="370">
        <v>5000</v>
      </c>
      <c r="F24" s="371" t="s">
        <v>480</v>
      </c>
      <c r="G24" s="372" t="s">
        <v>481</v>
      </c>
      <c r="H24" s="372">
        <v>80</v>
      </c>
      <c r="I24" s="373" t="s">
        <v>482</v>
      </c>
      <c r="J24" s="373" t="s">
        <v>481</v>
      </c>
      <c r="K24" s="372">
        <v>1</v>
      </c>
      <c r="L24" s="373" t="s">
        <v>485</v>
      </c>
      <c r="M24" s="373" t="s">
        <v>484</v>
      </c>
      <c r="N24" s="374">
        <f t="shared" ref="N24:N29" si="2">E24*H24*K24</f>
        <v>400000</v>
      </c>
      <c r="O24" s="375">
        <f t="shared" ref="O24:O32" si="3">N24</f>
        <v>400000</v>
      </c>
      <c r="P24" s="365"/>
    </row>
    <row r="25" spans="1:16" ht="22.5" customHeight="1">
      <c r="A25" s="378"/>
      <c r="B25" s="379"/>
      <c r="C25" s="379"/>
      <c r="D25" s="369" t="s">
        <v>502</v>
      </c>
      <c r="E25" s="370">
        <v>5000</v>
      </c>
      <c r="F25" s="371" t="s">
        <v>480</v>
      </c>
      <c r="G25" s="372" t="s">
        <v>481</v>
      </c>
      <c r="H25" s="372">
        <v>80</v>
      </c>
      <c r="I25" s="373" t="s">
        <v>482</v>
      </c>
      <c r="J25" s="373" t="s">
        <v>481</v>
      </c>
      <c r="K25" s="372">
        <v>1</v>
      </c>
      <c r="L25" s="373" t="s">
        <v>485</v>
      </c>
      <c r="M25" s="373" t="s">
        <v>484</v>
      </c>
      <c r="N25" s="374">
        <f t="shared" si="2"/>
        <v>400000</v>
      </c>
      <c r="O25" s="375">
        <f t="shared" si="3"/>
        <v>400000</v>
      </c>
      <c r="P25" s="365"/>
    </row>
    <row r="26" spans="1:16" ht="22.5" customHeight="1">
      <c r="A26" s="378"/>
      <c r="B26" s="379"/>
      <c r="C26" s="379"/>
      <c r="D26" s="369" t="s">
        <v>503</v>
      </c>
      <c r="E26" s="370">
        <v>5000</v>
      </c>
      <c r="F26" s="371" t="s">
        <v>480</v>
      </c>
      <c r="G26" s="372" t="s">
        <v>481</v>
      </c>
      <c r="H26" s="372">
        <v>80</v>
      </c>
      <c r="I26" s="373" t="s">
        <v>482</v>
      </c>
      <c r="J26" s="373" t="s">
        <v>481</v>
      </c>
      <c r="K26" s="372">
        <v>1</v>
      </c>
      <c r="L26" s="373" t="s">
        <v>485</v>
      </c>
      <c r="M26" s="373" t="s">
        <v>484</v>
      </c>
      <c r="N26" s="374">
        <f t="shared" si="2"/>
        <v>400000</v>
      </c>
      <c r="O26" s="375">
        <f t="shared" si="3"/>
        <v>400000</v>
      </c>
      <c r="P26" s="365"/>
    </row>
    <row r="27" spans="1:16" ht="22.5" customHeight="1">
      <c r="A27" s="378"/>
      <c r="B27" s="379"/>
      <c r="C27" s="379"/>
      <c r="D27" s="369" t="s">
        <v>504</v>
      </c>
      <c r="E27" s="370">
        <v>5000</v>
      </c>
      <c r="F27" s="371" t="s">
        <v>480</v>
      </c>
      <c r="G27" s="372" t="s">
        <v>481</v>
      </c>
      <c r="H27" s="372">
        <v>80</v>
      </c>
      <c r="I27" s="373" t="s">
        <v>482</v>
      </c>
      <c r="J27" s="373" t="s">
        <v>481</v>
      </c>
      <c r="K27" s="372">
        <v>1</v>
      </c>
      <c r="L27" s="373" t="s">
        <v>485</v>
      </c>
      <c r="M27" s="373" t="s">
        <v>484</v>
      </c>
      <c r="N27" s="374">
        <f t="shared" si="2"/>
        <v>400000</v>
      </c>
      <c r="O27" s="375">
        <f t="shared" si="3"/>
        <v>400000</v>
      </c>
      <c r="P27" s="365"/>
    </row>
    <row r="28" spans="1:16" ht="22.5" customHeight="1">
      <c r="A28" s="378"/>
      <c r="B28" s="379"/>
      <c r="C28" s="379"/>
      <c r="D28" s="369" t="s">
        <v>509</v>
      </c>
      <c r="E28" s="370">
        <v>5000</v>
      </c>
      <c r="F28" s="371" t="s">
        <v>480</v>
      </c>
      <c r="G28" s="372" t="s">
        <v>481</v>
      </c>
      <c r="H28" s="372">
        <v>80</v>
      </c>
      <c r="I28" s="373" t="s">
        <v>482</v>
      </c>
      <c r="J28" s="373" t="s">
        <v>481</v>
      </c>
      <c r="K28" s="372">
        <v>1</v>
      </c>
      <c r="L28" s="373" t="s">
        <v>485</v>
      </c>
      <c r="M28" s="373" t="s">
        <v>484</v>
      </c>
      <c r="N28" s="374">
        <f t="shared" si="2"/>
        <v>400000</v>
      </c>
      <c r="O28" s="375">
        <f t="shared" si="3"/>
        <v>400000</v>
      </c>
      <c r="P28" s="365"/>
    </row>
    <row r="29" spans="1:16" ht="22.5" customHeight="1">
      <c r="A29" s="378"/>
      <c r="B29" s="379"/>
      <c r="C29" s="379"/>
      <c r="D29" s="369" t="s">
        <v>510</v>
      </c>
      <c r="E29" s="370">
        <v>5000</v>
      </c>
      <c r="F29" s="371" t="s">
        <v>480</v>
      </c>
      <c r="G29" s="372" t="s">
        <v>481</v>
      </c>
      <c r="H29" s="372">
        <v>80</v>
      </c>
      <c r="I29" s="373" t="s">
        <v>482</v>
      </c>
      <c r="J29" s="373" t="s">
        <v>481</v>
      </c>
      <c r="K29" s="372">
        <v>1</v>
      </c>
      <c r="L29" s="373" t="s">
        <v>485</v>
      </c>
      <c r="M29" s="373" t="s">
        <v>484</v>
      </c>
      <c r="N29" s="374">
        <f t="shared" si="2"/>
        <v>400000</v>
      </c>
      <c r="O29" s="375">
        <f t="shared" si="3"/>
        <v>400000</v>
      </c>
      <c r="P29" s="365"/>
    </row>
    <row r="30" spans="1:16" ht="22.5" customHeight="1">
      <c r="A30" s="385"/>
      <c r="B30" s="379"/>
      <c r="C30" s="386"/>
      <c r="D30" s="369" t="s">
        <v>505</v>
      </c>
      <c r="E30" s="370">
        <v>5000</v>
      </c>
      <c r="F30" s="371" t="s">
        <v>480</v>
      </c>
      <c r="G30" s="372" t="s">
        <v>481</v>
      </c>
      <c r="H30" s="372">
        <v>80</v>
      </c>
      <c r="I30" s="373" t="s">
        <v>482</v>
      </c>
      <c r="J30" s="373" t="s">
        <v>481</v>
      </c>
      <c r="K30" s="372">
        <v>1</v>
      </c>
      <c r="L30" s="373" t="s">
        <v>485</v>
      </c>
      <c r="M30" s="373" t="s">
        <v>484</v>
      </c>
      <c r="N30" s="374">
        <f>E30*H30*K30</f>
        <v>400000</v>
      </c>
      <c r="O30" s="375">
        <f t="shared" si="3"/>
        <v>400000</v>
      </c>
      <c r="P30" s="365"/>
    </row>
    <row r="31" spans="1:16" ht="22.5" customHeight="1">
      <c r="A31" s="385"/>
      <c r="B31" s="379"/>
      <c r="C31" s="386"/>
      <c r="D31" s="369" t="s">
        <v>506</v>
      </c>
      <c r="E31" s="370">
        <v>5000</v>
      </c>
      <c r="F31" s="371" t="s">
        <v>480</v>
      </c>
      <c r="G31" s="372" t="s">
        <v>481</v>
      </c>
      <c r="H31" s="372">
        <v>80</v>
      </c>
      <c r="I31" s="373" t="s">
        <v>482</v>
      </c>
      <c r="J31" s="373" t="s">
        <v>481</v>
      </c>
      <c r="K31" s="372">
        <v>1</v>
      </c>
      <c r="L31" s="373" t="s">
        <v>485</v>
      </c>
      <c r="M31" s="373" t="s">
        <v>484</v>
      </c>
      <c r="N31" s="374">
        <f>E31*H31*K31</f>
        <v>400000</v>
      </c>
      <c r="O31" s="375">
        <f t="shared" si="3"/>
        <v>400000</v>
      </c>
      <c r="P31" s="365"/>
    </row>
    <row r="32" spans="1:16" ht="22.5" customHeight="1">
      <c r="A32" s="387"/>
      <c r="B32" s="381"/>
      <c r="C32" s="388"/>
      <c r="D32" s="369" t="s">
        <v>507</v>
      </c>
      <c r="E32" s="370">
        <v>5000</v>
      </c>
      <c r="F32" s="371" t="s">
        <v>480</v>
      </c>
      <c r="G32" s="372" t="s">
        <v>481</v>
      </c>
      <c r="H32" s="372">
        <v>80</v>
      </c>
      <c r="I32" s="373" t="s">
        <v>482</v>
      </c>
      <c r="J32" s="373" t="s">
        <v>481</v>
      </c>
      <c r="K32" s="372">
        <v>1</v>
      </c>
      <c r="L32" s="373" t="s">
        <v>485</v>
      </c>
      <c r="M32" s="373" t="s">
        <v>484</v>
      </c>
      <c r="N32" s="374">
        <f>E32*H32*K32</f>
        <v>400000</v>
      </c>
      <c r="O32" s="375">
        <f t="shared" si="3"/>
        <v>400000</v>
      </c>
      <c r="P32" s="365"/>
    </row>
    <row r="33" spans="1:16" ht="27.75" customHeight="1">
      <c r="A33" s="389" t="s">
        <v>511</v>
      </c>
      <c r="B33" s="390" t="s">
        <v>511</v>
      </c>
      <c r="C33" s="391" t="s">
        <v>511</v>
      </c>
      <c r="D33" s="1306" t="s">
        <v>497</v>
      </c>
      <c r="E33" s="1307"/>
      <c r="F33" s="1307"/>
      <c r="G33" s="1307"/>
      <c r="H33" s="1307"/>
      <c r="I33" s="1307"/>
      <c r="J33" s="1307"/>
      <c r="K33" s="1307"/>
      <c r="L33" s="1307"/>
      <c r="M33" s="1307"/>
      <c r="N33" s="1308"/>
      <c r="O33" s="364">
        <f>SUM(O36:O39)</f>
        <v>10240000</v>
      </c>
      <c r="P33" s="365"/>
    </row>
    <row r="34" spans="1:16" ht="27.75" customHeight="1">
      <c r="A34" s="392"/>
      <c r="B34" s="393"/>
      <c r="C34" s="394"/>
      <c r="D34" s="369" t="s">
        <v>479</v>
      </c>
      <c r="E34" s="370">
        <v>20000</v>
      </c>
      <c r="F34" s="371" t="s">
        <v>480</v>
      </c>
      <c r="G34" s="372" t="s">
        <v>481</v>
      </c>
      <c r="H34" s="372">
        <v>80</v>
      </c>
      <c r="I34" s="373" t="s">
        <v>482</v>
      </c>
      <c r="J34" s="373" t="s">
        <v>481</v>
      </c>
      <c r="K34" s="372">
        <v>4</v>
      </c>
      <c r="L34" s="373" t="s">
        <v>486</v>
      </c>
      <c r="M34" s="373" t="s">
        <v>484</v>
      </c>
      <c r="N34" s="374">
        <f t="shared" ref="N34:N39" si="4">E34*H34*K34</f>
        <v>6400000</v>
      </c>
      <c r="O34" s="375">
        <f t="shared" ref="O34:O39" si="5">N34</f>
        <v>6400000</v>
      </c>
      <c r="P34" s="365"/>
    </row>
    <row r="35" spans="1:16" ht="27.75" customHeight="1">
      <c r="A35" s="392"/>
      <c r="B35" s="393"/>
      <c r="C35" s="394"/>
      <c r="D35" s="395" t="s">
        <v>512</v>
      </c>
      <c r="E35" s="370">
        <v>12000</v>
      </c>
      <c r="F35" s="371" t="s">
        <v>480</v>
      </c>
      <c r="G35" s="372" t="s">
        <v>481</v>
      </c>
      <c r="H35" s="372">
        <v>80</v>
      </c>
      <c r="I35" s="373" t="s">
        <v>482</v>
      </c>
      <c r="J35" s="373" t="s">
        <v>481</v>
      </c>
      <c r="K35" s="372">
        <v>4</v>
      </c>
      <c r="L35" s="373" t="s">
        <v>486</v>
      </c>
      <c r="M35" s="373" t="s">
        <v>484</v>
      </c>
      <c r="N35" s="374">
        <f t="shared" si="4"/>
        <v>3840000</v>
      </c>
      <c r="O35" s="375">
        <f t="shared" si="5"/>
        <v>3840000</v>
      </c>
      <c r="P35" s="365"/>
    </row>
    <row r="36" spans="1:16" ht="22.5" hidden="1" customHeight="1">
      <c r="A36" s="362"/>
      <c r="B36" s="363"/>
      <c r="C36" s="363"/>
      <c r="D36" s="369" t="s">
        <v>513</v>
      </c>
      <c r="E36" s="370">
        <v>32000</v>
      </c>
      <c r="F36" s="371" t="s">
        <v>480</v>
      </c>
      <c r="G36" s="372" t="s">
        <v>481</v>
      </c>
      <c r="H36" s="372">
        <v>80</v>
      </c>
      <c r="I36" s="373" t="s">
        <v>482</v>
      </c>
      <c r="J36" s="373" t="s">
        <v>481</v>
      </c>
      <c r="K36" s="372">
        <v>1</v>
      </c>
      <c r="L36" s="373" t="s">
        <v>486</v>
      </c>
      <c r="M36" s="373" t="s">
        <v>484</v>
      </c>
      <c r="N36" s="374">
        <f t="shared" si="4"/>
        <v>2560000</v>
      </c>
      <c r="O36" s="375">
        <f t="shared" si="5"/>
        <v>2560000</v>
      </c>
      <c r="P36" s="365"/>
    </row>
    <row r="37" spans="1:16" ht="22.5" hidden="1" customHeight="1">
      <c r="A37" s="362"/>
      <c r="B37" s="363"/>
      <c r="C37" s="363"/>
      <c r="D37" s="395" t="s">
        <v>514</v>
      </c>
      <c r="E37" s="370">
        <v>32000</v>
      </c>
      <c r="F37" s="371" t="s">
        <v>480</v>
      </c>
      <c r="G37" s="372" t="s">
        <v>481</v>
      </c>
      <c r="H37" s="372">
        <v>80</v>
      </c>
      <c r="I37" s="373" t="s">
        <v>482</v>
      </c>
      <c r="J37" s="373" t="s">
        <v>481</v>
      </c>
      <c r="K37" s="372">
        <v>1</v>
      </c>
      <c r="L37" s="373" t="s">
        <v>486</v>
      </c>
      <c r="M37" s="373" t="s">
        <v>484</v>
      </c>
      <c r="N37" s="374">
        <f t="shared" si="4"/>
        <v>2560000</v>
      </c>
      <c r="O37" s="375">
        <f t="shared" si="5"/>
        <v>2560000</v>
      </c>
      <c r="P37" s="365"/>
    </row>
    <row r="38" spans="1:16" ht="22.5" hidden="1" customHeight="1">
      <c r="A38" s="362"/>
      <c r="B38" s="363"/>
      <c r="C38" s="363"/>
      <c r="D38" s="369" t="s">
        <v>515</v>
      </c>
      <c r="E38" s="370">
        <v>32000</v>
      </c>
      <c r="F38" s="371" t="s">
        <v>480</v>
      </c>
      <c r="G38" s="372" t="s">
        <v>481</v>
      </c>
      <c r="H38" s="372">
        <v>80</v>
      </c>
      <c r="I38" s="373" t="s">
        <v>482</v>
      </c>
      <c r="J38" s="373" t="s">
        <v>481</v>
      </c>
      <c r="K38" s="372">
        <v>1</v>
      </c>
      <c r="L38" s="373" t="s">
        <v>486</v>
      </c>
      <c r="M38" s="373" t="s">
        <v>484</v>
      </c>
      <c r="N38" s="374">
        <f t="shared" si="4"/>
        <v>2560000</v>
      </c>
      <c r="O38" s="375">
        <f t="shared" si="5"/>
        <v>2560000</v>
      </c>
      <c r="P38" s="365"/>
    </row>
    <row r="39" spans="1:16" ht="22.5" hidden="1" customHeight="1">
      <c r="A39" s="362"/>
      <c r="B39" s="363"/>
      <c r="C39" s="363"/>
      <c r="D39" s="369" t="s">
        <v>516</v>
      </c>
      <c r="E39" s="370">
        <v>32000</v>
      </c>
      <c r="F39" s="371" t="s">
        <v>480</v>
      </c>
      <c r="G39" s="372" t="s">
        <v>481</v>
      </c>
      <c r="H39" s="372">
        <v>80</v>
      </c>
      <c r="I39" s="373" t="s">
        <v>482</v>
      </c>
      <c r="J39" s="373" t="s">
        <v>481</v>
      </c>
      <c r="K39" s="372">
        <v>1</v>
      </c>
      <c r="L39" s="373" t="s">
        <v>486</v>
      </c>
      <c r="M39" s="373" t="s">
        <v>484</v>
      </c>
      <c r="N39" s="374">
        <f t="shared" si="4"/>
        <v>2560000</v>
      </c>
      <c r="O39" s="375">
        <f t="shared" si="5"/>
        <v>2560000</v>
      </c>
      <c r="P39" s="365"/>
    </row>
    <row r="40" spans="1:16" ht="27.75" customHeight="1">
      <c r="A40" s="396" t="s">
        <v>517</v>
      </c>
      <c r="B40" s="397" t="s">
        <v>517</v>
      </c>
      <c r="C40" s="397" t="s">
        <v>517</v>
      </c>
      <c r="D40" s="1306" t="s">
        <v>497</v>
      </c>
      <c r="E40" s="1309"/>
      <c r="F40" s="1309"/>
      <c r="G40" s="1309"/>
      <c r="H40" s="1309"/>
      <c r="I40" s="1309"/>
      <c r="J40" s="1309"/>
      <c r="K40" s="1309"/>
      <c r="L40" s="1309"/>
      <c r="M40" s="1309"/>
      <c r="N40" s="1310"/>
      <c r="O40" s="364">
        <f>O41</f>
        <v>3200000</v>
      </c>
      <c r="P40" s="365"/>
    </row>
    <row r="41" spans="1:16" ht="22.5" customHeight="1">
      <c r="A41" s="398"/>
      <c r="B41" s="399"/>
      <c r="C41" s="400"/>
      <c r="D41" s="401" t="s">
        <v>518</v>
      </c>
      <c r="E41" s="402">
        <v>40000</v>
      </c>
      <c r="F41" s="403" t="s">
        <v>480</v>
      </c>
      <c r="G41" s="404" t="s">
        <v>481</v>
      </c>
      <c r="H41" s="404">
        <v>80</v>
      </c>
      <c r="I41" s="405" t="s">
        <v>482</v>
      </c>
      <c r="J41" s="405" t="s">
        <v>481</v>
      </c>
      <c r="K41" s="404">
        <v>1</v>
      </c>
      <c r="L41" s="405" t="s">
        <v>486</v>
      </c>
      <c r="M41" s="405" t="s">
        <v>484</v>
      </c>
      <c r="N41" s="406">
        <f>E41*H41*K41</f>
        <v>3200000</v>
      </c>
      <c r="O41" s="407">
        <f>N41</f>
        <v>3200000</v>
      </c>
      <c r="P41" s="408"/>
    </row>
    <row r="67" spans="5:5" hidden="1">
      <c r="E67" s="412">
        <v>0</v>
      </c>
    </row>
    <row r="73" spans="5:5" hidden="1"/>
  </sheetData>
  <mergeCells count="7">
    <mergeCell ref="A1:P1"/>
    <mergeCell ref="D33:N33"/>
    <mergeCell ref="D40:N40"/>
    <mergeCell ref="D19:N19"/>
    <mergeCell ref="A4:N4"/>
    <mergeCell ref="D3:N3"/>
    <mergeCell ref="D5:N5"/>
  </mergeCells>
  <phoneticPr fontId="2" type="noConversion"/>
  <printOptions horizontalCentered="1"/>
  <pageMargins left="0.11811023622047245" right="0.11811023622047245" top="0.3" bottom="0.15748031496062992" header="0.23622047244094491" footer="0.13"/>
  <pageSetup paperSize="9" scale="95" orientation="portrait" horizontalDpi="4294967293" verticalDpi="4294967293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39" sqref="D39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22</vt:i4>
      </vt:variant>
      <vt:variant>
        <vt:lpstr>이름이 지정된 범위</vt:lpstr>
      </vt:variant>
      <vt:variant>
        <vt:i4>24</vt:i4>
      </vt:variant>
    </vt:vector>
  </HeadingPairs>
  <TitlesOfParts>
    <vt:vector size="46" baseType="lpstr">
      <vt:lpstr>표지</vt:lpstr>
      <vt:lpstr>가.예산총칙</vt:lpstr>
      <vt:lpstr>나.세입세출(총괄)</vt:lpstr>
      <vt:lpstr>다.국도시세입</vt:lpstr>
      <vt:lpstr>다-1.도시(군)세입</vt:lpstr>
      <vt:lpstr>다-2.자부담세입</vt:lpstr>
      <vt:lpstr>다-3.후원금세입</vt:lpstr>
      <vt:lpstr>라.국도비세출</vt:lpstr>
      <vt:lpstr>라-1.도시(군)세출</vt:lpstr>
      <vt:lpstr>라-2.자부담세출</vt:lpstr>
      <vt:lpstr>라-3.후원금세출</vt:lpstr>
      <vt:lpstr>마.개요</vt:lpstr>
      <vt:lpstr>바.증감사유</vt:lpstr>
      <vt:lpstr>예산증감내역</vt:lpstr>
      <vt:lpstr>인건비총계표(보조금)</vt:lpstr>
      <vt:lpstr>인건비총계표(자부담)</vt:lpstr>
      <vt:lpstr>인건비총계표(후원금)</vt:lpstr>
      <vt:lpstr>인건비(후원금)</vt:lpstr>
      <vt:lpstr>생활보장급여</vt:lpstr>
      <vt:lpstr>4종</vt:lpstr>
      <vt:lpstr>Sheet1</vt:lpstr>
      <vt:lpstr>Sheet2</vt:lpstr>
      <vt:lpstr>'4종'!Print_Area</vt:lpstr>
      <vt:lpstr>가.예산총칙!Print_Area</vt:lpstr>
      <vt:lpstr>'나.세입세출(총괄)'!Print_Area</vt:lpstr>
      <vt:lpstr>다.국도시세입!Print_Area</vt:lpstr>
      <vt:lpstr>'다-1.도시(군)세입'!Print_Area</vt:lpstr>
      <vt:lpstr>'다-2.자부담세입'!Print_Area</vt:lpstr>
      <vt:lpstr>'다-3.후원금세입'!Print_Area</vt:lpstr>
      <vt:lpstr>라.국도비세출!Print_Area</vt:lpstr>
      <vt:lpstr>'라-1.도시(군)세출'!Print_Area</vt:lpstr>
      <vt:lpstr>'라-2.자부담세출'!Print_Area</vt:lpstr>
      <vt:lpstr>'라-3.후원금세출'!Print_Area</vt:lpstr>
      <vt:lpstr>바.증감사유!Print_Area</vt:lpstr>
      <vt:lpstr>예산증감내역!Print_Area</vt:lpstr>
      <vt:lpstr>'인건비총계표(보조금)'!Print_Area</vt:lpstr>
      <vt:lpstr>'인건비총계표(후원금)'!Print_Area</vt:lpstr>
      <vt:lpstr>표지!Print_Area</vt:lpstr>
      <vt:lpstr>라.국도비세출!Print_Titles</vt:lpstr>
      <vt:lpstr>'라-1.도시(군)세출'!Print_Titles</vt:lpstr>
      <vt:lpstr>'라-2.자부담세출'!Print_Titles</vt:lpstr>
      <vt:lpstr>'라-3.후원금세출'!Print_Titles</vt:lpstr>
      <vt:lpstr>바.증감사유!Print_Titles</vt:lpstr>
      <vt:lpstr>생활보장급여!Print_Titles</vt:lpstr>
      <vt:lpstr>'인건비(후원금)'!Print_Titles</vt:lpstr>
      <vt:lpstr>'인건비총계표(보조금)'!Print_Titles</vt:lpstr>
    </vt:vector>
  </TitlesOfParts>
  <Company>필승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박정숙</dc:creator>
  <cp:lastModifiedBy>L.S.Y</cp:lastModifiedBy>
  <cp:lastPrinted>2019-12-26T08:42:45Z</cp:lastPrinted>
  <dcterms:created xsi:type="dcterms:W3CDTF">2007-08-12T05:36:33Z</dcterms:created>
  <dcterms:modified xsi:type="dcterms:W3CDTF">2020-03-17T06:48:46Z</dcterms:modified>
</cp:coreProperties>
</file>